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朝阳区望京街9号商业楼1层1025-门总询价-报38000\"/>
    </mc:Choice>
  </mc:AlternateContent>
  <xr:revisionPtr revIDLastSave="0" documentId="13_ncr:1_{DCB35C82-8AB5-46F4-B085-5B58E228BCF9}" xr6:coauthVersionLast="47" xr6:coauthVersionMax="47" xr10:uidLastSave="{00000000-0000-0000-0000-000000000000}"/>
  <bookViews>
    <workbookView xWindow="-110" yWindow="-110" windowWidth="25820" windowHeight="14020"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比较法-商业租金" sheetId="84"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售价案例" sheetId="81" r:id="rId36"/>
    <sheet name="租金案例" sheetId="80" r:id="rId37"/>
    <sheet name="建成年代" sheetId="83" r:id="rId38"/>
    <sheet name="成本法 (元)" sheetId="69" r:id="rId39"/>
    <sheet name="基准地价修正" sheetId="43" r:id="rId40"/>
    <sheet name="Sheet3"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2"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2">'比较法-商业租金'!$A$1:$K$54,'比较法-商业租金'!$A$57:$M$131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2">'比较法-商业租金'!$B$116:$M$116</definedName>
    <definedName name="商业层高">'比较法-商业'!$B$116:$M$116</definedName>
    <definedName name="商业成新度" localSheetId="22">'比较法-商业租金'!$B$109:$M$109</definedName>
    <definedName name="商业成新度">'比较法-商业'!$B$109:$M$109</definedName>
    <definedName name="商业繁华度">定义!$L$1:$L$6</definedName>
    <definedName name="商业公共部分装修" localSheetId="22">'比较法-商业租金'!$B$107:$M$107</definedName>
    <definedName name="商业公共部分装修">'比较法-商业'!$B$107:$M$107</definedName>
    <definedName name="商业基础设施水平" localSheetId="22">'比较法-商业租金'!$B$112:$M$112</definedName>
    <definedName name="商业基础设施水平">'比较法-商业'!$B$112:$M$112</definedName>
    <definedName name="商业建筑结构" localSheetId="22">'比较法-商业租金'!$B$105:$M$105</definedName>
    <definedName name="商业建筑结构">'比较法-商业'!$B$105:$M$105</definedName>
    <definedName name="商业交易情况" localSheetId="22">'比较法-商业租金'!$A$61:$M$61</definedName>
    <definedName name="商业交易情况">'比较法-商业'!$A$61:$M$61</definedName>
    <definedName name="商业街名称">修正!$C$73:$C$140</definedName>
    <definedName name="商业进深比" localSheetId="22">'比较法-商业租金'!$B$120:$M$120</definedName>
    <definedName name="商业进深比">'比较法-商业'!$B$120:$M$120</definedName>
    <definedName name="商业类型" localSheetId="22">'比较法-商业租金'!$B$100:$M$100</definedName>
    <definedName name="商业类型">'比较法-商业'!$B$100:$M$100</definedName>
    <definedName name="商业临街状况" localSheetId="22">'比较法-商业租金'!$B$86:$M$86</definedName>
    <definedName name="商业临街状况">'比较法-商业'!$B$86:$M$86</definedName>
    <definedName name="商业楼层" localSheetId="22">'比较法-商业租金'!$B$92:$M$92</definedName>
    <definedName name="商业楼层">'比较法-商业'!$B$92:$M$92</definedName>
    <definedName name="商业内部装修" localSheetId="22">'比较法-商业租金'!$B$122:$M$122</definedName>
    <definedName name="商业内部装修">'比较法-商业'!$B$122:$M$122</definedName>
    <definedName name="商业人流量" localSheetId="22">'比较法-商业租金'!$B$90:$M$90</definedName>
    <definedName name="商业人流量">'比较法-商业'!$B$90:$M$90</definedName>
    <definedName name="商业业态" localSheetId="22">'比较法-商业租金'!$B$114:$M$114</definedName>
    <definedName name="商业业态">'比较法-商业'!$B$114:$M$114</definedName>
    <definedName name="商业用途" localSheetId="22">'比较法-商业租金'!$B$63:$M$63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13" i="33" l="1"/>
  <c r="E14" i="33"/>
  <c r="E104" i="33"/>
  <c r="F104" i="33" s="1"/>
  <c r="G104" i="33" s="1"/>
  <c r="H104" i="33" s="1"/>
  <c r="D104" i="33"/>
  <c r="I47" i="84"/>
  <c r="G47" i="84"/>
  <c r="E47" i="84"/>
  <c r="I33" i="84"/>
  <c r="G33" i="84"/>
  <c r="E33" i="84"/>
  <c r="I5" i="84"/>
  <c r="G5" i="84"/>
  <c r="E5" i="84"/>
  <c r="B130" i="84"/>
  <c r="B128" i="84"/>
  <c r="B126" i="84"/>
  <c r="G125" i="84"/>
  <c r="D125" i="84"/>
  <c r="E125" i="84" s="1"/>
  <c r="F125" i="84" s="1"/>
  <c r="D123" i="84"/>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G113" i="84"/>
  <c r="H113" i="84" s="1"/>
  <c r="I113" i="84" s="1"/>
  <c r="J113" i="84" s="1"/>
  <c r="K113" i="84" s="1"/>
  <c r="L113" i="84" s="1"/>
  <c r="M113" i="84" s="1"/>
  <c r="D113" i="84"/>
  <c r="E113" i="84" s="1"/>
  <c r="F113" i="84" s="1"/>
  <c r="E111" i="84"/>
  <c r="F111" i="84" s="1"/>
  <c r="G111" i="84" s="1"/>
  <c r="H111" i="84" s="1"/>
  <c r="I111" i="84" s="1"/>
  <c r="J111" i="84" s="1"/>
  <c r="K111" i="84" s="1"/>
  <c r="L111" i="84" s="1"/>
  <c r="M111" i="84" s="1"/>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E104" i="84"/>
  <c r="F104" i="84" s="1"/>
  <c r="G104" i="84" s="1"/>
  <c r="H104" i="84" s="1"/>
  <c r="D104" i="84"/>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B92" i="84"/>
  <c r="J28" i="84" s="1"/>
  <c r="D91" i="84"/>
  <c r="E91" i="84" s="1"/>
  <c r="F91" i="84" s="1"/>
  <c r="G91" i="84" s="1"/>
  <c r="H91" i="84" s="1"/>
  <c r="I91" i="84" s="1"/>
  <c r="J91" i="84" s="1"/>
  <c r="K91" i="84" s="1"/>
  <c r="L91" i="84" s="1"/>
  <c r="M91" i="84" s="1"/>
  <c r="B90" i="84"/>
  <c r="G89" i="84"/>
  <c r="E89" i="84"/>
  <c r="F89" i="84" s="1"/>
  <c r="D89" i="84"/>
  <c r="B88" i="84"/>
  <c r="D87" i="84"/>
  <c r="E87" i="84" s="1"/>
  <c r="F87" i="84" s="1"/>
  <c r="F85" i="84"/>
  <c r="G85" i="84" s="1"/>
  <c r="D85" i="84"/>
  <c r="E85" i="84" s="1"/>
  <c r="D83" i="84"/>
  <c r="E83" i="84" s="1"/>
  <c r="F83" i="84" s="1"/>
  <c r="G83" i="84" s="1"/>
  <c r="F81" i="84"/>
  <c r="G81" i="84" s="1"/>
  <c r="D81" i="84"/>
  <c r="E81" i="84" s="1"/>
  <c r="D79" i="84"/>
  <c r="E79" i="84" s="1"/>
  <c r="F79" i="84" s="1"/>
  <c r="G79" i="84" s="1"/>
  <c r="F77" i="84"/>
  <c r="G77" i="84" s="1"/>
  <c r="D77" i="84"/>
  <c r="E77" i="84" s="1"/>
  <c r="B74" i="84"/>
  <c r="B72" i="84"/>
  <c r="B70" i="84"/>
  <c r="E69" i="84"/>
  <c r="F69" i="84" s="1"/>
  <c r="G69" i="84" s="1"/>
  <c r="H69" i="84" s="1"/>
  <c r="I69" i="84" s="1"/>
  <c r="J69" i="84" s="1"/>
  <c r="K69" i="84" s="1"/>
  <c r="L69" i="84" s="1"/>
  <c r="M69" i="84" s="1"/>
  <c r="D69" i="84"/>
  <c r="M67" i="84"/>
  <c r="L67" i="84"/>
  <c r="K67" i="84"/>
  <c r="J67" i="84"/>
  <c r="I67" i="84"/>
  <c r="H67" i="84"/>
  <c r="G67" i="84"/>
  <c r="F67" i="84"/>
  <c r="E67" i="84"/>
  <c r="D67" i="84"/>
  <c r="C67" i="84"/>
  <c r="E66" i="84"/>
  <c r="D66" i="84"/>
  <c r="C66" i="84" s="1"/>
  <c r="C63" i="84"/>
  <c r="E54" i="84"/>
  <c r="F54" i="84" s="1"/>
  <c r="P49" i="84"/>
  <c r="P48" i="84"/>
  <c r="K48" i="84"/>
  <c r="V47" i="84"/>
  <c r="T47" i="84"/>
  <c r="P47" i="84"/>
  <c r="Q46" i="84"/>
  <c r="Z46" i="84" s="1"/>
  <c r="J46" i="84"/>
  <c r="AC46" i="84" s="1"/>
  <c r="H46" i="84"/>
  <c r="AB46" i="84" s="1"/>
  <c r="F46" i="84"/>
  <c r="S46" i="84" s="1"/>
  <c r="Z45" i="84"/>
  <c r="Q45" i="84"/>
  <c r="J45" i="84"/>
  <c r="AC45" i="84" s="1"/>
  <c r="H45" i="84"/>
  <c r="AB45" i="84" s="1"/>
  <c r="F45" i="84"/>
  <c r="AA45" i="84" s="1"/>
  <c r="W44" i="84"/>
  <c r="Q44" i="84"/>
  <c r="Z44" i="84" s="1"/>
  <c r="J44" i="84"/>
  <c r="AC44" i="84" s="1"/>
  <c r="H44" i="84"/>
  <c r="AB44" i="84" s="1"/>
  <c r="F44" i="84"/>
  <c r="AA44" i="84" s="1"/>
  <c r="Q43" i="84"/>
  <c r="Z43" i="84" s="1"/>
  <c r="J43" i="84"/>
  <c r="AC43" i="84" s="1"/>
  <c r="H43" i="84"/>
  <c r="AB43" i="84" s="1"/>
  <c r="F43" i="84"/>
  <c r="AA43" i="84" s="1"/>
  <c r="Q42" i="84"/>
  <c r="Z42" i="84" s="1"/>
  <c r="Q41" i="84"/>
  <c r="Z41" i="84" s="1"/>
  <c r="J41" i="84"/>
  <c r="AC41" i="84" s="1"/>
  <c r="H41" i="84"/>
  <c r="AB41" i="84" s="1"/>
  <c r="F41" i="84"/>
  <c r="AA41" i="84" s="1"/>
  <c r="W40" i="84"/>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S38" i="84" s="1"/>
  <c r="Z37" i="84"/>
  <c r="Q37" i="84"/>
  <c r="J37" i="84"/>
  <c r="AC37" i="84" s="1"/>
  <c r="H37" i="84"/>
  <c r="AB37" i="84" s="1"/>
  <c r="F37" i="84"/>
  <c r="AA37" i="84" s="1"/>
  <c r="Q36" i="84"/>
  <c r="Z36" i="84" s="1"/>
  <c r="J36" i="84"/>
  <c r="AC36" i="84" s="1"/>
  <c r="C36" i="84"/>
  <c r="H36" i="84" s="1"/>
  <c r="W35" i="84"/>
  <c r="Q35" i="84"/>
  <c r="Z35" i="84" s="1"/>
  <c r="J35" i="84"/>
  <c r="AC35" i="84" s="1"/>
  <c r="H35" i="84"/>
  <c r="AB35" i="84" s="1"/>
  <c r="F35" i="84"/>
  <c r="AA35" i="84" s="1"/>
  <c r="Q34" i="84"/>
  <c r="Z34" i="84" s="1"/>
  <c r="J34" i="84"/>
  <c r="AC34" i="84" s="1"/>
  <c r="H34" i="84"/>
  <c r="AB34" i="84" s="1"/>
  <c r="F34" i="84"/>
  <c r="AA34" i="84" s="1"/>
  <c r="Q33" i="84"/>
  <c r="Z33" i="84" s="1"/>
  <c r="H33" i="84"/>
  <c r="AB33" i="84" s="1"/>
  <c r="F33" i="84"/>
  <c r="AA33" i="84" s="1"/>
  <c r="C33" i="84"/>
  <c r="Q32" i="84"/>
  <c r="Z32" i="84" s="1"/>
  <c r="J32" i="84"/>
  <c r="AC32" i="84" s="1"/>
  <c r="H32" i="84"/>
  <c r="U32" i="84" s="1"/>
  <c r="F32" i="84"/>
  <c r="S32" i="84" s="1"/>
  <c r="AA31" i="84"/>
  <c r="Q31" i="84"/>
  <c r="Z31" i="84" s="1"/>
  <c r="J31" i="84"/>
  <c r="AC31" i="84" s="1"/>
  <c r="H31" i="84"/>
  <c r="AB31" i="84" s="1"/>
  <c r="F31" i="84"/>
  <c r="S31" i="84" s="1"/>
  <c r="Z30" i="84"/>
  <c r="Q30" i="84"/>
  <c r="J30" i="84"/>
  <c r="AC30" i="84" s="1"/>
  <c r="H30" i="84"/>
  <c r="AB30" i="84" s="1"/>
  <c r="F30" i="84"/>
  <c r="AA30" i="84" s="1"/>
  <c r="AB29" i="84"/>
  <c r="Q29" i="84"/>
  <c r="Z29" i="84" s="1"/>
  <c r="J29" i="84"/>
  <c r="W29" i="84" s="1"/>
  <c r="H29" i="84"/>
  <c r="U29" i="84" s="1"/>
  <c r="F29" i="84"/>
  <c r="AA29" i="84" s="1"/>
  <c r="Q28" i="84"/>
  <c r="Z28" i="84" s="1"/>
  <c r="H28" i="84"/>
  <c r="U28" i="84" s="1"/>
  <c r="F28" i="84"/>
  <c r="AA28" i="84" s="1"/>
  <c r="Q27" i="84"/>
  <c r="Z27" i="84" s="1"/>
  <c r="J27" i="84"/>
  <c r="AC27" i="84" s="1"/>
  <c r="H27" i="84"/>
  <c r="AB27" i="84" s="1"/>
  <c r="F27" i="84"/>
  <c r="S27" i="84" s="1"/>
  <c r="Q26" i="84"/>
  <c r="Z26" i="84" s="1"/>
  <c r="J26" i="84"/>
  <c r="AC26" i="84" s="1"/>
  <c r="Z25" i="84"/>
  <c r="Q25" i="84"/>
  <c r="J25" i="84"/>
  <c r="W25" i="84" s="1"/>
  <c r="AB23" i="84"/>
  <c r="AA23" i="84"/>
  <c r="Q23" i="84"/>
  <c r="Z23" i="84" s="1"/>
  <c r="J23" i="84"/>
  <c r="W23" i="84" s="1"/>
  <c r="H23" i="84"/>
  <c r="U23" i="84" s="1"/>
  <c r="F23" i="84"/>
  <c r="S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H13" i="84"/>
  <c r="AB13" i="84" s="1"/>
  <c r="F13" i="84"/>
  <c r="Q12" i="84"/>
  <c r="Z12" i="84" s="1"/>
  <c r="J12" i="84"/>
  <c r="AC12" i="84" s="1"/>
  <c r="H12" i="84"/>
  <c r="AB12" i="84" s="1"/>
  <c r="F12" i="84"/>
  <c r="AA12" i="84" s="1"/>
  <c r="Q11" i="84"/>
  <c r="Z11" i="84" s="1"/>
  <c r="J11" i="84"/>
  <c r="W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J8" i="84"/>
  <c r="H8" i="84"/>
  <c r="U8" i="84" s="1"/>
  <c r="F8" i="84"/>
  <c r="S8" i="84" s="1"/>
  <c r="I7" i="84"/>
  <c r="J7" i="84" s="1"/>
  <c r="G7" i="84"/>
  <c r="H7" i="84" s="1"/>
  <c r="E7" i="84"/>
  <c r="F7" i="84" s="1"/>
  <c r="C7" i="84"/>
  <c r="C58" i="84" s="1"/>
  <c r="D58" i="84" s="1"/>
  <c r="E58" i="84" s="1"/>
  <c r="F58" i="84" s="1"/>
  <c r="G58" i="84" s="1"/>
  <c r="H58" i="84" s="1"/>
  <c r="I58" i="84" s="1"/>
  <c r="J58" i="84" s="1"/>
  <c r="K58" i="84" s="1"/>
  <c r="L58" i="84" s="1"/>
  <c r="M58" i="84" s="1"/>
  <c r="N58" i="84" s="1"/>
  <c r="O58" i="84" s="1"/>
  <c r="D3" i="84"/>
  <c r="S13" i="80"/>
  <c r="R4" i="80"/>
  <c r="D33" i="43"/>
  <c r="E13" i="33"/>
  <c r="C36" i="33"/>
  <c r="E89" i="33"/>
  <c r="F89" i="33" s="1"/>
  <c r="G89" i="33" s="1"/>
  <c r="D89" i="33"/>
  <c r="D66" i="33"/>
  <c r="C66" i="33" s="1"/>
  <c r="E66" i="33"/>
  <c r="C33" i="33"/>
  <c r="Q19" i="1"/>
  <c r="J49" i="67"/>
  <c r="N20" i="1"/>
  <c r="Y6" i="1"/>
  <c r="B21" i="1"/>
  <c r="F19" i="6"/>
  <c r="E27" i="45"/>
  <c r="D2" i="84"/>
  <c r="E123" i="84" l="1"/>
  <c r="F123" i="84" s="1"/>
  <c r="F42" i="84" s="1"/>
  <c r="AB32" i="84"/>
  <c r="I54" i="84"/>
  <c r="J54" i="84" s="1"/>
  <c r="G54" i="84"/>
  <c r="H54" i="84" s="1"/>
  <c r="R47" i="84"/>
  <c r="S33" i="84"/>
  <c r="U13" i="84"/>
  <c r="U7" i="84"/>
  <c r="AB7" i="84"/>
  <c r="W7" i="84"/>
  <c r="AC7" i="84"/>
  <c r="AC13" i="84"/>
  <c r="W13" i="84"/>
  <c r="F25" i="84"/>
  <c r="G87" i="84"/>
  <c r="H87" i="84" s="1"/>
  <c r="I87" i="84" s="1"/>
  <c r="J87" i="84" s="1"/>
  <c r="K87" i="84" s="1"/>
  <c r="L87" i="84" s="1"/>
  <c r="M87" i="84" s="1"/>
  <c r="H25" i="84"/>
  <c r="S7" i="84"/>
  <c r="AA7" i="84"/>
  <c r="AA13" i="84"/>
  <c r="S13" i="84"/>
  <c r="S9" i="84"/>
  <c r="U10" i="84"/>
  <c r="AC11" i="84"/>
  <c r="AA8" i="84"/>
  <c r="U9" i="84"/>
  <c r="W10" i="84"/>
  <c r="S12" i="84"/>
  <c r="S14" i="84"/>
  <c r="S15" i="84"/>
  <c r="S17" i="84"/>
  <c r="S19" i="84"/>
  <c r="S21" i="84"/>
  <c r="W26" i="84"/>
  <c r="AB28" i="84"/>
  <c r="AC29" i="84"/>
  <c r="W36" i="84"/>
  <c r="AA38" i="84"/>
  <c r="AA46" i="84"/>
  <c r="J42" i="84"/>
  <c r="AB8" i="84"/>
  <c r="W9" i="84"/>
  <c r="S11" i="84"/>
  <c r="U12" i="84"/>
  <c r="U14" i="84"/>
  <c r="U15" i="84"/>
  <c r="U17" i="84"/>
  <c r="U19" i="84"/>
  <c r="U21" i="84"/>
  <c r="AC23" i="84"/>
  <c r="AC25" i="84"/>
  <c r="AA27" i="84"/>
  <c r="S28" i="84"/>
  <c r="W30" i="84"/>
  <c r="AA32" i="84"/>
  <c r="U34" i="84"/>
  <c r="AB36" i="84"/>
  <c r="U36" i="84"/>
  <c r="U39" i="84"/>
  <c r="S10" i="84"/>
  <c r="U11" i="84"/>
  <c r="W12" i="84"/>
  <c r="W14" i="84"/>
  <c r="W15" i="84"/>
  <c r="W17" i="84"/>
  <c r="W19" i="84"/>
  <c r="W21" i="84"/>
  <c r="U43" i="84"/>
  <c r="J33" i="84"/>
  <c r="H26" i="84"/>
  <c r="F26" i="84"/>
  <c r="AC28" i="84"/>
  <c r="W28" i="84"/>
  <c r="U33" i="84"/>
  <c r="W34" i="84"/>
  <c r="S37" i="84"/>
  <c r="U38" i="84"/>
  <c r="W39" i="84"/>
  <c r="S41" i="84"/>
  <c r="W43" i="84"/>
  <c r="S45" i="84"/>
  <c r="U46" i="84"/>
  <c r="U27" i="84"/>
  <c r="S30" i="84"/>
  <c r="U31" i="84"/>
  <c r="W32" i="84"/>
  <c r="S35" i="84"/>
  <c r="F36" i="84"/>
  <c r="U37" i="84"/>
  <c r="W38" i="84"/>
  <c r="S40" i="84"/>
  <c r="U41" i="84"/>
  <c r="S44" i="84"/>
  <c r="U45" i="84"/>
  <c r="W46" i="84"/>
  <c r="W27" i="84"/>
  <c r="S29" i="84"/>
  <c r="U30" i="84"/>
  <c r="W31" i="84"/>
  <c r="S34" i="84"/>
  <c r="U35" i="84"/>
  <c r="W37" i="84"/>
  <c r="S39" i="84"/>
  <c r="U40" i="84"/>
  <c r="W41" i="84"/>
  <c r="S43" i="84"/>
  <c r="U44" i="84"/>
  <c r="W45" i="84"/>
  <c r="G14" i="73"/>
  <c r="F14" i="73"/>
  <c r="E14" i="73"/>
  <c r="G123" i="84" l="1"/>
  <c r="H123" i="84" s="1"/>
  <c r="I123" i="84" s="1"/>
  <c r="J123" i="84" s="1"/>
  <c r="K123" i="84" s="1"/>
  <c r="L123" i="84" s="1"/>
  <c r="M123" i="84" s="1"/>
  <c r="AA42" i="84"/>
  <c r="S42" i="84"/>
  <c r="H42" i="84"/>
  <c r="AB42" i="84" s="1"/>
  <c r="T48" i="84" s="1"/>
  <c r="AB26" i="84"/>
  <c r="U26" i="84"/>
  <c r="AA25" i="84"/>
  <c r="S25" i="84"/>
  <c r="AC42" i="84"/>
  <c r="W42" i="84"/>
  <c r="AA36" i="84"/>
  <c r="S36" i="84"/>
  <c r="AC33" i="84"/>
  <c r="W33" i="84"/>
  <c r="AA26" i="84"/>
  <c r="S26" i="84"/>
  <c r="U25" i="84"/>
  <c r="AB25" i="84"/>
  <c r="I12" i="79"/>
  <c r="R48" i="84" l="1"/>
  <c r="U42" i="84"/>
  <c r="G48" i="84"/>
  <c r="G52" i="84" s="1"/>
  <c r="H52" i="84" s="1"/>
  <c r="V48" i="84"/>
  <c r="R49" i="84"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I48" i="84" l="1"/>
  <c r="E48" i="84"/>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I52" i="84" l="1"/>
  <c r="J52" i="84" s="1"/>
  <c r="G53" i="84"/>
  <c r="H53" i="84" s="1"/>
  <c r="E52" i="84"/>
  <c r="F52" i="84" s="1"/>
  <c r="E53" i="84"/>
  <c r="F53" i="84" s="1"/>
  <c r="I53" i="84"/>
  <c r="J53" i="84" s="1"/>
  <c r="C48" i="84"/>
  <c r="C49" i="84"/>
  <c r="AD33" i="79"/>
  <c r="AR34" i="79"/>
  <c r="AR35" i="79" s="1"/>
  <c r="AR36" i="79" s="1"/>
  <c r="AR7" i="79"/>
  <c r="AR8" i="79" s="1"/>
  <c r="D60" i="78"/>
  <c r="C60" i="78"/>
  <c r="B55" i="78"/>
  <c r="D55" i="78" s="1"/>
  <c r="D53" i="78"/>
  <c r="D52" i="78"/>
  <c r="D51" i="78" s="1"/>
  <c r="B51" i="78"/>
  <c r="B56" i="78" s="1"/>
  <c r="B3" i="84" l="1"/>
  <c r="B2" i="84"/>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5" i="79"/>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5" i="79"/>
  <c r="T34" i="79"/>
  <c r="T33" i="79"/>
  <c r="AD37" i="79"/>
  <c r="AD35" i="79"/>
  <c r="AD36" i="79"/>
  <c r="AD38" i="79"/>
  <c r="AD34" i="79"/>
  <c r="AR40" i="79"/>
  <c r="AR41" i="79" s="1"/>
  <c r="AR42" i="79" s="1"/>
  <c r="AR43" i="79" s="1"/>
  <c r="AR44" i="79" s="1"/>
  <c r="AR45" i="79" s="1"/>
  <c r="AR46" i="79" s="1"/>
  <c r="AR47" i="79" s="1"/>
  <c r="AR48" i="79" s="1"/>
  <c r="AR49" i="79" s="1"/>
  <c r="AR50" i="79" s="1"/>
  <c r="AR51" i="79" s="1"/>
  <c r="AR52" i="79" s="1"/>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1" i="79" l="1"/>
  <c r="AK11" i="79" s="1"/>
  <c r="AH11" i="79"/>
  <c r="W20" i="79"/>
  <c r="AK20" i="79" s="1"/>
  <c r="AH20" i="79"/>
  <c r="AH34" i="79"/>
  <c r="W34" i="79"/>
  <c r="AK34" i="79" s="1"/>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7" i="79"/>
  <c r="AK17" i="79" s="1"/>
  <c r="AH17" i="79"/>
  <c r="W10" i="79"/>
  <c r="AK10" i="79" s="1"/>
  <c r="AH10" i="79"/>
  <c r="W18" i="79"/>
  <c r="AK18" i="79" s="1"/>
  <c r="AH18" i="79"/>
  <c r="C18" i="78"/>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C63" i="71" s="1"/>
  <c r="N62" i="71"/>
  <c r="Q61" i="71"/>
  <c r="F62" i="71" s="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N68" i="71"/>
  <c r="C30" i="71"/>
  <c r="C31" i="71" s="1"/>
  <c r="D31" i="71" s="1"/>
  <c r="Y29" i="71"/>
  <c r="Z29" i="71" s="1"/>
  <c r="C38" i="71"/>
  <c r="D38" i="71" s="1"/>
  <c r="X38" i="71"/>
  <c r="X26" i="71"/>
  <c r="D30" i="71"/>
  <c r="C43" i="71"/>
  <c r="C44" i="71" s="1"/>
  <c r="D44" i="71" s="1"/>
  <c r="P28" i="71"/>
  <c r="E28" i="71" s="1"/>
  <c r="U56" i="71"/>
  <c r="E63" i="71"/>
  <c r="E64" i="71"/>
  <c r="U64" i="71" s="1"/>
  <c r="U68" i="71"/>
  <c r="E67" i="71"/>
  <c r="Q28" i="71"/>
  <c r="C59" i="71"/>
  <c r="D58" i="71"/>
  <c r="D62" i="71"/>
  <c r="Q67" i="71"/>
  <c r="Q68" i="71"/>
  <c r="C71" i="71"/>
  <c r="C70" i="71" s="1"/>
  <c r="D70" i="71" s="1"/>
  <c r="D72" i="71"/>
  <c r="E75" i="71"/>
  <c r="E74" i="71" s="1"/>
  <c r="C79" i="71"/>
  <c r="E79" i="71"/>
  <c r="E78" i="71" s="1"/>
  <c r="D80" i="71"/>
  <c r="C83" i="71"/>
  <c r="C87" i="71"/>
  <c r="F28" i="71"/>
  <c r="F27" i="71" s="1"/>
  <c r="F26" i="71" s="1"/>
  <c r="AA28" i="71"/>
  <c r="D83" i="71"/>
  <c r="C82" i="71"/>
  <c r="D82" i="71"/>
  <c r="D79" i="71"/>
  <c r="C78" i="71"/>
  <c r="D78" i="71" s="1"/>
  <c r="D71" i="71"/>
  <c r="C60" i="71"/>
  <c r="D60" i="71" s="1"/>
  <c r="D59" i="71"/>
  <c r="P67" i="71"/>
  <c r="E66" i="71"/>
  <c r="D43"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S21" i="33" s="1"/>
  <c r="E83" i="21"/>
  <c r="F83" i="21" s="1"/>
  <c r="H1" i="69"/>
  <c r="U29" i="39"/>
  <c r="W29" i="39"/>
  <c r="W18" i="36"/>
  <c r="S21" i="37"/>
  <c r="AC18" i="35"/>
  <c r="J21" i="37"/>
  <c r="W21" i="37" s="1"/>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C21" i="68"/>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s="1"/>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AC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c r="Q43" i="33"/>
  <c r="Z43" i="33" s="1"/>
  <c r="Q42" i="33"/>
  <c r="Z42" i="33" s="1"/>
  <c r="AC41" i="33"/>
  <c r="W41" i="33"/>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Q14" i="33"/>
  <c r="Z14" i="33" s="1"/>
  <c r="Q13" i="33"/>
  <c r="Z13" i="33" s="1"/>
  <c r="Q12" i="33"/>
  <c r="Z12" i="33" s="1"/>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U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U35" i="33"/>
  <c r="S40" i="33"/>
  <c r="H39" i="37"/>
  <c r="AB39" i="37" s="1"/>
  <c r="S27" i="35"/>
  <c r="F11" i="40"/>
  <c r="AA11" i="40"/>
  <c r="H11" i="40"/>
  <c r="AB11" i="40"/>
  <c r="W8" i="40"/>
  <c r="AB39" i="40"/>
  <c r="AA9" i="40"/>
  <c r="U9" i="40"/>
  <c r="S34" i="40"/>
  <c r="U38"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E113" i="33"/>
  <c r="F32" i="33"/>
  <c r="AA32" i="33" s="1"/>
  <c r="J19" i="33"/>
  <c r="AC19"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W13" i="33" s="1"/>
  <c r="H13" i="33"/>
  <c r="U13" i="33" s="1"/>
  <c r="F13" i="33"/>
  <c r="S13" i="33" s="1"/>
  <c r="J29" i="33"/>
  <c r="H29" i="33"/>
  <c r="U29" i="33"/>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s="1"/>
  <c r="J46" i="33"/>
  <c r="AC46" i="33" s="1"/>
  <c r="F46" i="33"/>
  <c r="AA46" i="33" s="1"/>
  <c r="H46" i="33"/>
  <c r="U46" i="33" s="1"/>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s="1"/>
  <c r="H30" i="40"/>
  <c r="AB30" i="40" s="1"/>
  <c r="F33" i="40"/>
  <c r="AA33" i="40" s="1"/>
  <c r="H33" i="40"/>
  <c r="U33" i="40" s="1"/>
  <c r="J35" i="40"/>
  <c r="AC35" i="40"/>
  <c r="J37" i="40"/>
  <c r="AC37" i="40" s="1"/>
  <c r="H13" i="40"/>
  <c r="U13" i="40"/>
  <c r="J13" i="40"/>
  <c r="W13" i="40" s="1"/>
  <c r="F13" i="40"/>
  <c r="AA13" i="40" s="1"/>
  <c r="F14" i="37"/>
  <c r="S14" i="37" s="1"/>
  <c r="F27" i="37"/>
  <c r="AA27" i="37" s="1"/>
  <c r="F13" i="39"/>
  <c r="J13" i="39"/>
  <c r="W13" i="39" s="1"/>
  <c r="H13" i="39"/>
  <c r="H14" i="40"/>
  <c r="AB14" i="40" s="1"/>
  <c r="J14" i="40"/>
  <c r="W14" i="40" s="1"/>
  <c r="F14" i="40"/>
  <c r="AA14" i="40" s="1"/>
  <c r="J14" i="37"/>
  <c r="J27" i="37"/>
  <c r="AC27" i="37"/>
  <c r="AA44" i="33"/>
  <c r="J36" i="37"/>
  <c r="AC36" i="37" s="1"/>
  <c r="J10" i="36"/>
  <c r="AC10" i="36" s="1"/>
  <c r="AB30" i="21"/>
  <c r="AA14" i="37"/>
  <c r="W31" i="34"/>
  <c r="S11" i="36"/>
  <c r="AB46" i="34"/>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s="1"/>
  <c r="F31" i="40"/>
  <c r="AA31" i="40" s="1"/>
  <c r="H31" i="40"/>
  <c r="U31" i="40" s="1"/>
  <c r="F32" i="40"/>
  <c r="S32" i="40" s="1"/>
  <c r="H32" i="40"/>
  <c r="AB32" i="40" s="1"/>
  <c r="J36" i="40"/>
  <c r="W36" i="40" s="1"/>
  <c r="H19" i="37"/>
  <c r="AB19" i="37" s="1"/>
  <c r="J43" i="33"/>
  <c r="AC43" i="33" s="1"/>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44" i="3"/>
  <c r="AZ168" i="3"/>
  <c r="AZ176" i="3"/>
  <c r="AZ184" i="3"/>
  <c r="AZ10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6" i="3"/>
  <c r="AZ500" i="3"/>
  <c r="BA16" i="3"/>
  <c r="AZ16" i="3" s="1"/>
  <c r="BL303" i="3"/>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AZ366" i="3" s="1"/>
  <c r="G367" i="3"/>
  <c r="BA369" i="3"/>
  <c r="AZ369" i="3"/>
  <c r="BL370" i="3"/>
  <c r="G371" i="3"/>
  <c r="BA373" i="3"/>
  <c r="AZ373" i="3"/>
  <c r="BL374" i="3"/>
  <c r="G375" i="3"/>
  <c r="BA377" i="3"/>
  <c r="AZ241" i="3"/>
  <c r="BA379" i="3"/>
  <c r="AZ379" i="3" s="1"/>
  <c r="BL380" i="3"/>
  <c r="AZ380" i="3" s="1"/>
  <c r="G381" i="3"/>
  <c r="BA383" i="3"/>
  <c r="AZ383" i="3" s="1"/>
  <c r="BL384" i="3"/>
  <c r="G385" i="3"/>
  <c r="BA387" i="3"/>
  <c r="BL388" i="3"/>
  <c r="G389" i="3"/>
  <c r="BA391" i="3"/>
  <c r="AZ391" i="3" s="1"/>
  <c r="BL392" i="3"/>
  <c r="G393" i="3"/>
  <c r="AZ291" i="3"/>
  <c r="BO5" i="3"/>
  <c r="BM5" i="3"/>
  <c r="F29" i="6" s="1"/>
  <c r="BJ5" i="3"/>
  <c r="BH5" i="3"/>
  <c r="BF5" i="3"/>
  <c r="BD5" i="3"/>
  <c r="AZ341" i="3"/>
  <c r="AC5" i="3"/>
  <c r="AZ506" i="3"/>
  <c r="AZ496" i="3"/>
  <c r="G548" i="3"/>
  <c r="G538" i="3"/>
  <c r="G520" i="3"/>
  <c r="G502" i="3"/>
  <c r="BS5" i="3"/>
  <c r="BP5" i="3"/>
  <c r="BN5" i="3"/>
  <c r="BK5" i="3"/>
  <c r="BI5" i="3"/>
  <c r="BG5" i="3"/>
  <c r="BE5" i="3"/>
  <c r="BC5" i="3"/>
  <c r="G17" i="3"/>
  <c r="BA17" i="3"/>
  <c r="BT5" i="3"/>
  <c r="AZ356" i="3"/>
  <c r="BA15" i="3"/>
  <c r="BR5" i="3"/>
  <c r="AZ392" i="3"/>
  <c r="AZ49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2"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586" i="3"/>
  <c r="W12" i="33"/>
  <c r="AA32" i="36"/>
  <c r="S32" i="36"/>
  <c r="BL14" i="3"/>
  <c r="U30" i="33"/>
  <c r="AC13" i="34"/>
  <c r="AA47" i="34"/>
  <c r="W28" i="37"/>
  <c r="S19" i="39"/>
  <c r="F12" i="33"/>
  <c r="H12" i="39"/>
  <c r="U12" i="39" s="1"/>
  <c r="AB12" i="39"/>
  <c r="F39" i="40"/>
  <c r="BA14" i="3"/>
  <c r="AZ254" i="3"/>
  <c r="AZ297" i="3"/>
  <c r="AZ189" i="3"/>
  <c r="B12" i="1"/>
  <c r="E12" i="1" s="1"/>
  <c r="B10" i="1"/>
  <c r="E10" i="1" s="1"/>
  <c r="K12" i="1"/>
  <c r="M12" i="1" s="1"/>
  <c r="S13" i="1"/>
  <c r="AR13" i="1" s="1"/>
  <c r="R13" i="1"/>
  <c r="J51" i="67"/>
  <c r="C42" i="1"/>
  <c r="C24" i="12" s="1"/>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AB29" i="33"/>
  <c r="W38" i="33"/>
  <c r="H41" i="33"/>
  <c r="F121" i="33"/>
  <c r="G121" i="33" s="1"/>
  <c r="H121" i="33" s="1"/>
  <c r="I121" i="33" s="1"/>
  <c r="J121" i="33" s="1"/>
  <c r="K121" i="33" s="1"/>
  <c r="L121" i="33" s="1"/>
  <c r="M121" i="33" s="1"/>
  <c r="F36" i="33"/>
  <c r="AA36" i="33" s="1"/>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H25" i="33"/>
  <c r="U25" i="33" s="1"/>
  <c r="F25" i="33"/>
  <c r="S25" i="33" s="1"/>
  <c r="J23" i="33"/>
  <c r="AC23" i="33" s="1"/>
  <c r="H23" i="33"/>
  <c r="U23" i="33" s="1"/>
  <c r="F81" i="33"/>
  <c r="G81" i="33" s="1"/>
  <c r="F19" i="33"/>
  <c r="S19" i="33" s="1"/>
  <c r="W19" i="33"/>
  <c r="J17" i="33"/>
  <c r="W17" i="33" s="1"/>
  <c r="F79" i="33"/>
  <c r="G79" i="33" s="1"/>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A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S33" i="33"/>
  <c r="U44" i="33"/>
  <c r="AB44" i="33"/>
  <c r="S30" i="33"/>
  <c r="AA30" i="33"/>
  <c r="AC14" i="33"/>
  <c r="W14" i="33"/>
  <c r="AC30" i="33"/>
  <c r="W30" i="33"/>
  <c r="S31" i="33"/>
  <c r="AA31"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J36" i="33"/>
  <c r="W36" i="33" s="1"/>
  <c r="H36" i="33"/>
  <c r="U36" i="33" s="1"/>
  <c r="J25" i="33"/>
  <c r="AC25" i="33" s="1"/>
  <c r="F23" i="33"/>
  <c r="AA19" i="33"/>
  <c r="H19" i="33"/>
  <c r="AB19" i="33" s="1"/>
  <c r="H17" i="33"/>
  <c r="U17" i="33" s="1"/>
  <c r="F17" i="33"/>
  <c r="S17" i="33" s="1"/>
  <c r="S37" i="21"/>
  <c r="AA23" i="21"/>
  <c r="AB15" i="21"/>
  <c r="J23" i="21"/>
  <c r="F85" i="21"/>
  <c r="G85" i="21" s="1"/>
  <c r="H23" i="21"/>
  <c r="AB23" i="21" s="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U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9" i="67"/>
  <c r="M6" i="67"/>
  <c r="F9" i="15"/>
  <c r="M24" i="15"/>
  <c r="F5" i="73"/>
  <c r="F42" i="15"/>
  <c r="F36" i="67"/>
  <c r="AO13" i="1"/>
  <c r="E8" i="76"/>
  <c r="B12" i="76"/>
  <c r="C76" i="67"/>
  <c r="J15" i="67"/>
  <c r="E13" i="76"/>
  <c r="F40" i="15"/>
  <c r="F4" i="73"/>
  <c r="F6" i="73"/>
  <c r="F8" i="15"/>
  <c r="E12" i="76"/>
  <c r="F26" i="67"/>
  <c r="E2" i="68"/>
  <c r="M22" i="67"/>
  <c r="F16" i="15"/>
  <c r="F37" i="67"/>
  <c r="M9" i="15"/>
  <c r="M29" i="67"/>
  <c r="F7" i="15"/>
  <c r="M29" i="15"/>
  <c r="F6" i="15"/>
  <c r="B8" i="76"/>
  <c r="B10" i="76"/>
  <c r="M22" i="15"/>
  <c r="F13" i="15"/>
  <c r="F7" i="67"/>
  <c r="C76" i="15"/>
  <c r="F8" i="67"/>
  <c r="M26" i="15"/>
  <c r="F43" i="67"/>
  <c r="E7" i="76"/>
  <c r="M6" i="15"/>
  <c r="L47" i="15"/>
  <c r="F40" i="67"/>
  <c r="F20" i="31"/>
  <c r="F37" i="15"/>
  <c r="J15" i="15"/>
  <c r="M23" i="67"/>
  <c r="F26" i="15"/>
  <c r="F43" i="15"/>
  <c r="F38" i="15"/>
  <c r="B13" i="76"/>
  <c r="D6" i="73"/>
  <c r="F42" i="67"/>
  <c r="F36" i="15"/>
  <c r="E2" i="69"/>
  <c r="M24" i="67"/>
  <c r="M28" i="67"/>
  <c r="M26" i="67"/>
  <c r="E9" i="76"/>
  <c r="L47" i="67"/>
  <c r="F38" i="67"/>
  <c r="E10" i="76"/>
  <c r="F6" i="67"/>
  <c r="F3" i="73"/>
  <c r="M28" i="15"/>
  <c r="B7" i="76"/>
  <c r="E11" i="76"/>
  <c r="F16" i="67"/>
  <c r="L48" i="15"/>
  <c r="M8" i="67"/>
  <c r="F13" i="67"/>
  <c r="F7" i="73"/>
  <c r="M23" i="15"/>
  <c r="M8" i="15"/>
  <c r="M9" i="67"/>
  <c r="B9" i="76"/>
  <c r="B11" i="76"/>
  <c r="AC13" i="33" l="1"/>
  <c r="J27" i="33"/>
  <c r="W27" i="33" s="1"/>
  <c r="H27" i="33"/>
  <c r="U27" i="33" s="1"/>
  <c r="F27" i="33"/>
  <c r="AA27" i="33" s="1"/>
  <c r="W39" i="33"/>
  <c r="AA14" i="33"/>
  <c r="G123" i="33"/>
  <c r="H123" i="33" s="1"/>
  <c r="I123" i="33" s="1"/>
  <c r="J123" i="33" s="1"/>
  <c r="K123" i="33" s="1"/>
  <c r="L123" i="33" s="1"/>
  <c r="M123" i="33" s="1"/>
  <c r="H42" i="33"/>
  <c r="AB42" i="33" s="1"/>
  <c r="F42" i="33"/>
  <c r="AA42" i="33" s="1"/>
  <c r="J42" i="33"/>
  <c r="AC42" i="33" s="1"/>
  <c r="AC26" i="33"/>
  <c r="W42" i="33"/>
  <c r="S42" i="33"/>
  <c r="U39" i="33"/>
  <c r="S39" i="33"/>
  <c r="U37" i="33"/>
  <c r="W32" i="33"/>
  <c r="U32" i="33"/>
  <c r="AB23" i="33"/>
  <c r="AA21" i="33"/>
  <c r="U19" i="33"/>
  <c r="A15" i="62"/>
  <c r="B61" i="72" s="1"/>
  <c r="I7" i="33"/>
  <c r="G7" i="33"/>
  <c r="E7" i="33"/>
  <c r="F6" i="1"/>
  <c r="A4" i="52"/>
  <c r="B41" i="72" s="1"/>
  <c r="D51" i="43"/>
  <c r="D55" i="43"/>
  <c r="S36" i="33"/>
  <c r="AB36" i="33"/>
  <c r="S38" i="33"/>
  <c r="U38" i="33"/>
  <c r="AA29" i="33"/>
  <c r="W28" i="33"/>
  <c r="S28" i="33"/>
  <c r="AB26" i="33"/>
  <c r="S26" i="33"/>
  <c r="AA25" i="33"/>
  <c r="AB25" i="33"/>
  <c r="W8" i="33"/>
  <c r="AC11" i="33"/>
  <c r="W33" i="33"/>
  <c r="U33" i="33"/>
  <c r="S43" i="33"/>
  <c r="W43" i="33"/>
  <c r="AC37" i="33"/>
  <c r="AB34" i="33"/>
  <c r="AC34" i="33"/>
  <c r="S32" i="33"/>
  <c r="AB27" i="33"/>
  <c r="S27" i="33"/>
  <c r="W25" i="33"/>
  <c r="AC21" i="33"/>
  <c r="AC17" i="33"/>
  <c r="AA17" i="33"/>
  <c r="J15" i="33"/>
  <c r="AC15" i="33" s="1"/>
  <c r="F15" i="33"/>
  <c r="H15" i="33"/>
  <c r="AB15" i="33" s="1"/>
  <c r="W15" i="33"/>
  <c r="W9" i="33"/>
  <c r="U9" i="33"/>
  <c r="A24" i="51"/>
  <c r="B18" i="72" s="1"/>
  <c r="B41" i="1"/>
  <c r="F48" i="9" s="1"/>
  <c r="O52" i="9" s="1"/>
  <c r="F31" i="12"/>
  <c r="D68" i="9"/>
  <c r="F30" i="69"/>
  <c r="F48" i="69" s="1"/>
  <c r="M18" i="15"/>
  <c r="F30" i="11"/>
  <c r="C48" i="11" s="1"/>
  <c r="F54" i="9"/>
  <c r="F32" i="15"/>
  <c r="F60" i="15" s="1"/>
  <c r="F52" i="9"/>
  <c r="F30" i="68"/>
  <c r="F48" i="68" s="1"/>
  <c r="F28" i="15"/>
  <c r="F32" i="67"/>
  <c r="F60" i="67" s="1"/>
  <c r="F28" i="67"/>
  <c r="M18" i="67"/>
  <c r="C40" i="68"/>
  <c r="AA32" i="37"/>
  <c r="AZ384" i="3"/>
  <c r="AZ357" i="3"/>
  <c r="AZ313" i="3"/>
  <c r="AZ160" i="3"/>
  <c r="AZ394" i="3"/>
  <c r="AZ583" i="3"/>
  <c r="AZ576" i="3"/>
  <c r="S29" i="35"/>
  <c r="AA29" i="35"/>
  <c r="U17" i="34"/>
  <c r="AB17" i="34"/>
  <c r="AC27" i="33"/>
  <c r="AC23" i="37"/>
  <c r="AZ14" i="3"/>
  <c r="AZ183" i="3"/>
  <c r="AZ515" i="3"/>
  <c r="AZ523" i="3"/>
  <c r="AZ533" i="3"/>
  <c r="AZ547" i="3"/>
  <c r="AZ561" i="3"/>
  <c r="AZ569" i="3"/>
  <c r="AZ571" i="3"/>
  <c r="AZ579" i="3"/>
  <c r="AZ524" i="3"/>
  <c r="U45" i="33"/>
  <c r="AB45" i="33"/>
  <c r="AC31" i="40"/>
  <c r="W31" i="40"/>
  <c r="AA27" i="40"/>
  <c r="AA34" i="33"/>
  <c r="AZ387" i="3"/>
  <c r="AZ362" i="3"/>
  <c r="AZ338" i="3"/>
  <c r="AZ390" i="3"/>
  <c r="AZ371" i="3"/>
  <c r="AZ351" i="3"/>
  <c r="AZ336" i="3"/>
  <c r="AZ305" i="3"/>
  <c r="AZ360" i="3"/>
  <c r="AZ539" i="3"/>
  <c r="AZ529" i="3"/>
  <c r="AZ537" i="3"/>
  <c r="AZ518" i="3"/>
  <c r="AZ526" i="3"/>
  <c r="AZ546" i="3"/>
  <c r="AZ564" i="3"/>
  <c r="AZ580" i="3"/>
  <c r="AZ203" i="3"/>
  <c r="AZ306" i="3"/>
  <c r="AZ513" i="3"/>
  <c r="AZ548" i="3"/>
  <c r="AZ502" i="3"/>
  <c r="BL587" i="3"/>
  <c r="AZ587" i="3" s="1"/>
  <c r="B79" i="43"/>
  <c r="AZ585" i="3"/>
  <c r="AB34" i="21"/>
  <c r="J24" i="36"/>
  <c r="H24" i="36"/>
  <c r="G582" i="3"/>
  <c r="G574" i="3"/>
  <c r="AZ451" i="3"/>
  <c r="BL550" i="3"/>
  <c r="AZ480" i="3"/>
  <c r="G586" i="3"/>
  <c r="B97" i="43"/>
  <c r="B75" i="43"/>
  <c r="J36" i="35"/>
  <c r="AC36" i="35" s="1"/>
  <c r="G552" i="3"/>
  <c r="AZ469" i="3"/>
  <c r="AZ404" i="3"/>
  <c r="AZ405" i="3"/>
  <c r="AZ419" i="3"/>
  <c r="AZ466" i="3"/>
  <c r="BL467" i="3"/>
  <c r="AZ467" i="3" s="1"/>
  <c r="BL468" i="3"/>
  <c r="BL470" i="3"/>
  <c r="G472" i="3"/>
  <c r="G473" i="3"/>
  <c r="BL473" i="3"/>
  <c r="AZ473" i="3" s="1"/>
  <c r="BA482" i="3"/>
  <c r="BA484" i="3"/>
  <c r="AZ484" i="3" s="1"/>
  <c r="G491" i="3"/>
  <c r="BA303" i="3"/>
  <c r="AZ303" i="3" s="1"/>
  <c r="G364" i="3"/>
  <c r="BA367" i="3"/>
  <c r="AZ367" i="3" s="1"/>
  <c r="BA370" i="3"/>
  <c r="AZ370" i="3" s="1"/>
  <c r="BL208" i="3"/>
  <c r="G210" i="3"/>
  <c r="BA214" i="3"/>
  <c r="BA217" i="3"/>
  <c r="AZ217" i="3" s="1"/>
  <c r="BL219" i="3"/>
  <c r="G220" i="3"/>
  <c r="BL220" i="3"/>
  <c r="BL221" i="3"/>
  <c r="G222" i="3"/>
  <c r="BA225" i="3"/>
  <c r="AZ177" i="3"/>
  <c r="AZ65" i="3"/>
  <c r="BA551" i="3"/>
  <c r="AZ551" i="3" s="1"/>
  <c r="BA550" i="3"/>
  <c r="BL548" i="3"/>
  <c r="G399" i="3"/>
  <c r="BL400" i="3"/>
  <c r="AZ400" i="3" s="1"/>
  <c r="BL408" i="3"/>
  <c r="BL411" i="3"/>
  <c r="BL413" i="3"/>
  <c r="AZ413" i="3" s="1"/>
  <c r="G416" i="3"/>
  <c r="BL417" i="3"/>
  <c r="BL418" i="3"/>
  <c r="BL420" i="3"/>
  <c r="AZ420" i="3" s="1"/>
  <c r="G423" i="3"/>
  <c r="BL424" i="3"/>
  <c r="G427" i="3"/>
  <c r="BL428" i="3"/>
  <c r="BL429" i="3"/>
  <c r="BL432" i="3"/>
  <c r="BL435" i="3"/>
  <c r="BL436" i="3"/>
  <c r="BA439" i="3"/>
  <c r="BA440" i="3"/>
  <c r="AZ440" i="3" s="1"/>
  <c r="BA442" i="3"/>
  <c r="AZ442" i="3" s="1"/>
  <c r="BA445" i="3"/>
  <c r="AZ445" i="3" s="1"/>
  <c r="BA447" i="3"/>
  <c r="AZ447" i="3" s="1"/>
  <c r="BA449" i="3"/>
  <c r="BL453" i="3"/>
  <c r="BL454" i="3"/>
  <c r="G458" i="3"/>
  <c r="BL459" i="3"/>
  <c r="G462" i="3"/>
  <c r="BA465" i="3"/>
  <c r="AZ465" i="3" s="1"/>
  <c r="BL475" i="3"/>
  <c r="BL324" i="3"/>
  <c r="AZ324" i="3" s="1"/>
  <c r="BL328" i="3"/>
  <c r="AZ328" i="3" s="1"/>
  <c r="BA335" i="3"/>
  <c r="AZ335" i="3" s="1"/>
  <c r="BA339" i="3"/>
  <c r="AZ339" i="3" s="1"/>
  <c r="BA348" i="3"/>
  <c r="BA350" i="3"/>
  <c r="AZ350" i="3" s="1"/>
  <c r="BA354" i="3"/>
  <c r="BL585" i="3"/>
  <c r="AC31" i="35"/>
  <c r="G558" i="3"/>
  <c r="BL398" i="3"/>
  <c r="G402" i="3"/>
  <c r="BL403" i="3"/>
  <c r="AZ403" i="3" s="1"/>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AZ446" i="3" s="1"/>
  <c r="BA450" i="3"/>
  <c r="BA453" i="3"/>
  <c r="BA455" i="3"/>
  <c r="AZ455" i="3" s="1"/>
  <c r="BL457" i="3"/>
  <c r="BL460" i="3"/>
  <c r="BL461" i="3"/>
  <c r="BL463" i="3"/>
  <c r="AZ463" i="3" s="1"/>
  <c r="G465" i="3"/>
  <c r="BA471" i="3"/>
  <c r="AZ471" i="3" s="1"/>
  <c r="G486" i="3"/>
  <c r="G488" i="3"/>
  <c r="BL317" i="3"/>
  <c r="G318" i="3"/>
  <c r="BA349" i="3"/>
  <c r="AZ349" i="3" s="1"/>
  <c r="BA353" i="3"/>
  <c r="BL353" i="3"/>
  <c r="BA385" i="3"/>
  <c r="BA397" i="3"/>
  <c r="BL397" i="3"/>
  <c r="BL214" i="3"/>
  <c r="G218" i="3"/>
  <c r="BL224" i="3"/>
  <c r="BL225" i="3"/>
  <c r="BL226" i="3"/>
  <c r="BL15" i="3"/>
  <c r="AZ15" i="3" s="1"/>
  <c r="BA398" i="3"/>
  <c r="BA399" i="3"/>
  <c r="AZ399" i="3" s="1"/>
  <c r="BL401" i="3"/>
  <c r="AZ401" i="3" s="1"/>
  <c r="BL404" i="3"/>
  <c r="BL405" i="3"/>
  <c r="BL407" i="3"/>
  <c r="AZ407" i="3" s="1"/>
  <c r="BA412" i="3"/>
  <c r="AZ412" i="3" s="1"/>
  <c r="BA414" i="3"/>
  <c r="BA415" i="3"/>
  <c r="AZ415" i="3" s="1"/>
  <c r="BA416" i="3"/>
  <c r="AZ416" i="3" s="1"/>
  <c r="BA418" i="3"/>
  <c r="AZ418" i="3" s="1"/>
  <c r="BA421" i="3"/>
  <c r="BA423" i="3"/>
  <c r="AZ423" i="3" s="1"/>
  <c r="BA425" i="3"/>
  <c r="AZ425" i="3" s="1"/>
  <c r="BA426" i="3"/>
  <c r="AZ426" i="3" s="1"/>
  <c r="BA427" i="3"/>
  <c r="AZ427" i="3" s="1"/>
  <c r="BA433" i="3"/>
  <c r="AZ433" i="3" s="1"/>
  <c r="BA435" i="3"/>
  <c r="AZ435" i="3" s="1"/>
  <c r="BL437" i="3"/>
  <c r="AZ437" i="3" s="1"/>
  <c r="G439" i="3"/>
  <c r="BL441" i="3"/>
  <c r="AZ441" i="3" s="1"/>
  <c r="BL442" i="3"/>
  <c r="BL444" i="3"/>
  <c r="AZ444" i="3" s="1"/>
  <c r="G446" i="3"/>
  <c r="BL448" i="3"/>
  <c r="AZ448" i="3" s="1"/>
  <c r="G450" i="3"/>
  <c r="BA454" i="3"/>
  <c r="AZ454" i="3" s="1"/>
  <c r="BA457" i="3"/>
  <c r="BA459" i="3"/>
  <c r="AZ459" i="3" s="1"/>
  <c r="BA460" i="3"/>
  <c r="AZ460" i="3" s="1"/>
  <c r="BA461" i="3"/>
  <c r="AZ461" i="3" s="1"/>
  <c r="BL464" i="3"/>
  <c r="AZ464" i="3" s="1"/>
  <c r="BL466" i="3"/>
  <c r="G468"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6" i="3"/>
  <c r="AZ386" i="3" s="1"/>
  <c r="BL211" i="3"/>
  <c r="BA218" i="3"/>
  <c r="BL218" i="3"/>
  <c r="AZ228" i="3"/>
  <c r="BL230"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AZ27" i="3"/>
  <c r="P65" i="71"/>
  <c r="P66" i="71"/>
  <c r="B27" i="71"/>
  <c r="B26" i="71" s="1"/>
  <c r="S28" i="71"/>
  <c r="AA38" i="71"/>
  <c r="AA37" i="71"/>
  <c r="AA27" i="71"/>
  <c r="C47" i="71"/>
  <c r="D47" i="71" s="1"/>
  <c r="D46" i="71"/>
  <c r="C55" i="71"/>
  <c r="D54" i="71"/>
  <c r="C64" i="71"/>
  <c r="D63" i="71"/>
  <c r="C67" i="71"/>
  <c r="T68" i="71"/>
  <c r="O68" i="71"/>
  <c r="T76" i="71"/>
  <c r="D76" i="71"/>
  <c r="C75" i="71"/>
  <c r="S80" i="71"/>
  <c r="B79" i="71"/>
  <c r="B78" i="71" s="1"/>
  <c r="Y27" i="71"/>
  <c r="Z27" i="71" s="1"/>
  <c r="Y26" i="71"/>
  <c r="Z26" i="71" s="1"/>
  <c r="AA3" i="71"/>
  <c r="AZ284" i="3"/>
  <c r="AZ125" i="3"/>
  <c r="BA142" i="3"/>
  <c r="BL149" i="3"/>
  <c r="AZ149" i="3" s="1"/>
  <c r="BL150" i="3"/>
  <c r="BA152" i="3"/>
  <c r="AZ152" i="3" s="1"/>
  <c r="BA154" i="3"/>
  <c r="AZ154" i="3" s="1"/>
  <c r="BA160" i="3"/>
  <c r="BL162" i="3"/>
  <c r="AZ162" i="3" s="1"/>
  <c r="BL165" i="3"/>
  <c r="BL170" i="3"/>
  <c r="BA173" i="3"/>
  <c r="AZ173" i="3" s="1"/>
  <c r="BA174" i="3"/>
  <c r="BL179" i="3"/>
  <c r="AZ179" i="3" s="1"/>
  <c r="BA181" i="3"/>
  <c r="AZ181" i="3" s="1"/>
  <c r="BA182" i="3"/>
  <c r="BL185" i="3"/>
  <c r="BL193" i="3"/>
  <c r="AZ193" i="3" s="1"/>
  <c r="BL194" i="3"/>
  <c r="AZ194" i="3" s="1"/>
  <c r="BA198" i="3"/>
  <c r="AZ198" i="3" s="1"/>
  <c r="G199" i="3"/>
  <c r="G205" i="3"/>
  <c r="BL206" i="3"/>
  <c r="BA19" i="3"/>
  <c r="AZ19" i="3" s="1"/>
  <c r="G27" i="3"/>
  <c r="BA27" i="3"/>
  <c r="BL30" i="3"/>
  <c r="BL31" i="3"/>
  <c r="AZ31" i="3" s="1"/>
  <c r="G37" i="3"/>
  <c r="BL40" i="3"/>
  <c r="AZ40" i="3" s="1"/>
  <c r="BL41" i="3"/>
  <c r="AZ41" i="3" s="1"/>
  <c r="BL45" i="3"/>
  <c r="BA48" i="3"/>
  <c r="BA49" i="3"/>
  <c r="AZ49" i="3" s="1"/>
  <c r="BA51" i="3"/>
  <c r="AZ51" i="3" s="1"/>
  <c r="G55" i="3"/>
  <c r="BL56" i="3"/>
  <c r="BA58" i="3"/>
  <c r="AZ58" i="3" s="1"/>
  <c r="BL59" i="3"/>
  <c r="AZ59" i="3" s="1"/>
  <c r="BL60" i="3"/>
  <c r="BA61" i="3"/>
  <c r="AZ61" i="3" s="1"/>
  <c r="BA75" i="3"/>
  <c r="AZ75" i="3" s="1"/>
  <c r="BA91" i="3"/>
  <c r="AZ91" i="3" s="1"/>
  <c r="AZ100" i="3"/>
  <c r="BA110" i="3"/>
  <c r="AZ110" i="3" s="1"/>
  <c r="B13" i="1"/>
  <c r="E13" i="1" s="1"/>
  <c r="K13" i="1"/>
  <c r="M13" i="1" s="1"/>
  <c r="O13" i="1" s="1"/>
  <c r="P13" i="1" s="1"/>
  <c r="F40" i="69"/>
  <c r="C40" i="69"/>
  <c r="AB21" i="37"/>
  <c r="U21" i="37"/>
  <c r="AB27" i="71"/>
  <c r="D68" i="71"/>
  <c r="T28" i="71"/>
  <c r="D28" i="71"/>
  <c r="U28" i="71" s="1"/>
  <c r="C27" i="71"/>
  <c r="X33" i="71"/>
  <c r="X31" i="71"/>
  <c r="X34" i="71"/>
  <c r="X36" i="71"/>
  <c r="X35" i="71"/>
  <c r="AB37" i="71"/>
  <c r="AB35" i="71"/>
  <c r="F38" i="71"/>
  <c r="F39" i="71" s="1"/>
  <c r="F40" i="71" s="1"/>
  <c r="V40" i="71" s="1"/>
  <c r="C23" i="71"/>
  <c r="B22" i="71"/>
  <c r="B21" i="71" s="1"/>
  <c r="B20" i="71" s="1"/>
  <c r="BA358" i="3"/>
  <c r="AZ358" i="3" s="1"/>
  <c r="G362" i="3"/>
  <c r="BL365" i="3"/>
  <c r="AZ365" i="3" s="1"/>
  <c r="G366" i="3"/>
  <c r="BA368" i="3"/>
  <c r="AZ368" i="3" s="1"/>
  <c r="BL368" i="3"/>
  <c r="BA374" i="3"/>
  <c r="AZ374" i="3" s="1"/>
  <c r="BA388" i="3"/>
  <c r="AZ388" i="3" s="1"/>
  <c r="BA396" i="3"/>
  <c r="BA209" i="3"/>
  <c r="BL217" i="3"/>
  <c r="BA219" i="3"/>
  <c r="AZ219" i="3" s="1"/>
  <c r="BA221" i="3"/>
  <c r="AZ221" i="3" s="1"/>
  <c r="BA223" i="3"/>
  <c r="AZ223" i="3" s="1"/>
  <c r="BL228" i="3"/>
  <c r="BA230" i="3"/>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AZ276" i="3" s="1"/>
  <c r="BA279" i="3"/>
  <c r="BA281" i="3"/>
  <c r="BL286" i="3"/>
  <c r="AZ286" i="3" s="1"/>
  <c r="G29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BL183" i="3"/>
  <c r="BA186" i="3"/>
  <c r="AZ186" i="3" s="1"/>
  <c r="BA190" i="3"/>
  <c r="AZ190" i="3" s="1"/>
  <c r="BA197" i="3"/>
  <c r="AZ197" i="3" s="1"/>
  <c r="BL201" i="3"/>
  <c r="AZ201" i="3" s="1"/>
  <c r="BL203" i="3"/>
  <c r="BA204" i="3"/>
  <c r="AZ204" i="3" s="1"/>
  <c r="BA18" i="3"/>
  <c r="BL21" i="3"/>
  <c r="G23" i="3"/>
  <c r="BL29" i="3"/>
  <c r="G33" i="3"/>
  <c r="G34" i="3"/>
  <c r="BA37" i="3"/>
  <c r="BL39" i="3"/>
  <c r="G43" i="3"/>
  <c r="G44" i="3"/>
  <c r="BA45" i="3"/>
  <c r="AZ45" i="3" s="1"/>
  <c r="BA46" i="3"/>
  <c r="AZ46" i="3" s="1"/>
  <c r="BL49" i="3"/>
  <c r="BL50" i="3"/>
  <c r="AZ50" i="3" s="1"/>
  <c r="BL51" i="3"/>
  <c r="BL53" i="3"/>
  <c r="BL64" i="3"/>
  <c r="AZ64" i="3" s="1"/>
  <c r="BL65" i="3"/>
  <c r="BL66" i="3"/>
  <c r="BL67" i="3"/>
  <c r="AZ67" i="3" s="1"/>
  <c r="G72" i="3"/>
  <c r="BL73" i="3"/>
  <c r="BA74" i="3"/>
  <c r="AZ74" i="3" s="1"/>
  <c r="BL79" i="3"/>
  <c r="BL81" i="3"/>
  <c r="BA82" i="3"/>
  <c r="AZ82" i="3" s="1"/>
  <c r="BL83" i="3"/>
  <c r="BA87" i="3"/>
  <c r="AZ87" i="3" s="1"/>
  <c r="BA89" i="3"/>
  <c r="BL93" i="3"/>
  <c r="BL94" i="3"/>
  <c r="AZ94" i="3" s="1"/>
  <c r="BL101" i="3"/>
  <c r="BL102" i="3"/>
  <c r="AZ102" i="3" s="1"/>
  <c r="G105" i="3"/>
  <c r="BL106" i="3"/>
  <c r="BA108" i="3"/>
  <c r="BL111" i="3"/>
  <c r="AZ111" i="3" s="1"/>
  <c r="AC25" i="40"/>
  <c r="U21" i="33"/>
  <c r="AB21" i="33"/>
  <c r="C32" i="71"/>
  <c r="E71" i="71"/>
  <c r="E70" i="71" s="1"/>
  <c r="C51" i="71"/>
  <c r="AA35" i="71"/>
  <c r="AB32" i="71"/>
  <c r="C34" i="71"/>
  <c r="Y28" i="71"/>
  <c r="Z28" i="71" s="1"/>
  <c r="Y35" i="71"/>
  <c r="Z35" i="71" s="1"/>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2" i="3"/>
  <c r="BA52" i="3"/>
  <c r="AZ52" i="3" s="1"/>
  <c r="BA53" i="3"/>
  <c r="BA54" i="3"/>
  <c r="BL57" i="3"/>
  <c r="G62" i="3"/>
  <c r="BL62" i="3"/>
  <c r="AZ62" i="3" s="1"/>
  <c r="BL63" i="3"/>
  <c r="G67" i="3"/>
  <c r="BL68" i="3"/>
  <c r="BA69" i="3"/>
  <c r="AZ69" i="3" s="1"/>
  <c r="BA73" i="3"/>
  <c r="G78" i="3"/>
  <c r="G79" i="3"/>
  <c r="G81" i="3"/>
  <c r="G85" i="3"/>
  <c r="BL85" i="3"/>
  <c r="BA86" i="3"/>
  <c r="AZ86" i="3" s="1"/>
  <c r="G93" i="3"/>
  <c r="G96" i="3"/>
  <c r="BL97" i="3"/>
  <c r="AZ97" i="3" s="1"/>
  <c r="G103" i="3"/>
  <c r="BA103" i="3"/>
  <c r="AZ103" i="3" s="1"/>
  <c r="BA104" i="3"/>
  <c r="BA106" i="3"/>
  <c r="BL108" i="3"/>
  <c r="W21" i="21"/>
  <c r="C86" i="71"/>
  <c r="D86" i="71" s="1"/>
  <c r="D87" i="71"/>
  <c r="B66" i="71"/>
  <c r="AB25" i="71"/>
  <c r="AB28" i="71"/>
  <c r="AB26" i="71"/>
  <c r="Y25" i="71"/>
  <c r="Z25" i="71" s="1"/>
  <c r="E39" i="71"/>
  <c r="E40" i="71" s="1"/>
  <c r="U40" i="71" s="1"/>
  <c r="X25" i="71"/>
  <c r="V24" i="71"/>
  <c r="E23" i="71"/>
  <c r="E22" i="71" s="1"/>
  <c r="E21" i="71" s="1"/>
  <c r="E20" i="71" s="1"/>
  <c r="E19" i="71" s="1"/>
  <c r="E18" i="71" s="1"/>
  <c r="E17" i="71" s="1"/>
  <c r="E16" i="71" s="1"/>
  <c r="C39" i="71"/>
  <c r="X28" i="71"/>
  <c r="X32" i="71"/>
  <c r="BA56" i="3"/>
  <c r="BA57" i="3"/>
  <c r="BL58" i="3"/>
  <c r="G60" i="3"/>
  <c r="BA60" i="3"/>
  <c r="AZ60" i="3" s="1"/>
  <c r="BA63" i="3"/>
  <c r="AZ63" i="3" s="1"/>
  <c r="BA66" i="3"/>
  <c r="BA71" i="3"/>
  <c r="AZ71" i="3" s="1"/>
  <c r="G76" i="3"/>
  <c r="BL77" i="3"/>
  <c r="AZ77" i="3" s="1"/>
  <c r="BA79" i="3"/>
  <c r="G82" i="3"/>
  <c r="G83" i="3"/>
  <c r="BA84" i="3"/>
  <c r="AZ84" i="3" s="1"/>
  <c r="BL88" i="3"/>
  <c r="AZ88" i="3" s="1"/>
  <c r="G90" i="3"/>
  <c r="BL90" i="3"/>
  <c r="BL92" i="3"/>
  <c r="G101" i="3"/>
  <c r="BA101" i="3"/>
  <c r="G108" i="3"/>
  <c r="G109" i="3"/>
  <c r="BL112" i="3"/>
  <c r="U25" i="40"/>
  <c r="S21" i="34"/>
  <c r="B68" i="43"/>
  <c r="B88" i="43"/>
  <c r="F35" i="71"/>
  <c r="F36" i="71" s="1"/>
  <c r="V36" i="71" s="1"/>
  <c r="AA34" i="71"/>
  <c r="AC21" i="37"/>
  <c r="U21" i="34"/>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9" i="3"/>
  <c r="AZ452" i="3"/>
  <c r="AZ456" i="3"/>
  <c r="AZ468" i="3"/>
  <c r="AZ470" i="3"/>
  <c r="W35" i="39"/>
  <c r="F27" i="34"/>
  <c r="C21" i="39"/>
  <c r="U9" i="36"/>
  <c r="U14" i="37"/>
  <c r="H12" i="21"/>
  <c r="G526" i="3"/>
  <c r="AZ424" i="3"/>
  <c r="AZ434" i="3"/>
  <c r="AZ436" i="3"/>
  <c r="AZ438" i="3"/>
  <c r="AZ450" i="3"/>
  <c r="G28" i="6"/>
  <c r="G30" i="6" s="1"/>
  <c r="G31" i="6" s="1"/>
  <c r="U26" i="21"/>
  <c r="W36" i="39"/>
  <c r="U23" i="40"/>
  <c r="AA39" i="37"/>
  <c r="AC16" i="36"/>
  <c r="AB12" i="33"/>
  <c r="C27" i="39"/>
  <c r="U40" i="40"/>
  <c r="AC9" i="40"/>
  <c r="J12" i="21"/>
  <c r="B73" i="43"/>
  <c r="B76" i="43"/>
  <c r="F9" i="36"/>
  <c r="J40" i="40"/>
  <c r="G562" i="3"/>
  <c r="AZ489" i="3"/>
  <c r="AZ385"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G378" i="3"/>
  <c r="G395" i="3"/>
  <c r="G208" i="3"/>
  <c r="G211" i="3"/>
  <c r="BA213" i="3"/>
  <c r="AZ213" i="3" s="1"/>
  <c r="BA215" i="3"/>
  <c r="AZ215" i="3" s="1"/>
  <c r="G219" i="3"/>
  <c r="AZ225" i="3"/>
  <c r="G230" i="3"/>
  <c r="BA232" i="3"/>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BA261" i="3"/>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G301" i="3"/>
  <c r="G114" i="3"/>
  <c r="BL114" i="3"/>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D3" i="73"/>
  <c r="D7" i="73"/>
  <c r="D5" i="73"/>
  <c r="C16" i="15"/>
  <c r="L48" i="67"/>
  <c r="D4" i="73"/>
  <c r="C36" i="69"/>
  <c r="C16" i="67"/>
  <c r="F27" i="69"/>
  <c r="D9" i="69"/>
  <c r="U42" i="33" l="1"/>
  <c r="I54" i="67"/>
  <c r="L58" i="67"/>
  <c r="Q73" i="67" s="1"/>
  <c r="J57" i="67"/>
  <c r="J55" i="67" s="1"/>
  <c r="J58" i="67" s="1"/>
  <c r="Q50" i="67" s="1"/>
  <c r="J53" i="67"/>
  <c r="F1" i="67" s="1"/>
  <c r="L56" i="67"/>
  <c r="J7" i="36"/>
  <c r="I24" i="43"/>
  <c r="C24" i="43" s="1"/>
  <c r="U15" i="33"/>
  <c r="AA15" i="33"/>
  <c r="S15" i="33"/>
  <c r="F26" i="43"/>
  <c r="N94" i="46"/>
  <c r="N370" i="46"/>
  <c r="J26" i="43"/>
  <c r="AZ101" i="3"/>
  <c r="C52" i="71"/>
  <c r="D51" i="71"/>
  <c r="AZ271" i="3"/>
  <c r="AZ230" i="3"/>
  <c r="B19" i="71"/>
  <c r="B18" i="71" s="1"/>
  <c r="B17" i="71" s="1"/>
  <c r="B16" i="71" s="1"/>
  <c r="S20" i="71"/>
  <c r="AZ249" i="3"/>
  <c r="AZ353" i="3"/>
  <c r="AZ428" i="3"/>
  <c r="AZ214" i="3"/>
  <c r="AB24" i="36"/>
  <c r="U24" i="36"/>
  <c r="D67" i="71"/>
  <c r="C66" i="71"/>
  <c r="O67" i="71"/>
  <c r="E28" i="6"/>
  <c r="K14" i="1" s="1"/>
  <c r="K16" i="1" s="1"/>
  <c r="AZ296" i="3"/>
  <c r="AZ354" i="3"/>
  <c r="E26" i="43"/>
  <c r="H26" i="43"/>
  <c r="AZ206" i="3"/>
  <c r="AZ170" i="3"/>
  <c r="AZ114" i="3"/>
  <c r="AZ261" i="3"/>
  <c r="AZ396" i="3"/>
  <c r="AZ492" i="3"/>
  <c r="AZ232" i="3"/>
  <c r="AZ333" i="3"/>
  <c r="W36" i="35"/>
  <c r="V20" i="71"/>
  <c r="AZ79" i="3"/>
  <c r="AZ66" i="3"/>
  <c r="D34" i="71"/>
  <c r="C35" i="71"/>
  <c r="AZ121" i="3"/>
  <c r="D23" i="71"/>
  <c r="C22" i="71"/>
  <c r="AZ118" i="3"/>
  <c r="AZ398" i="3"/>
  <c r="AZ397" i="3"/>
  <c r="AZ453" i="3"/>
  <c r="AZ550" i="3"/>
  <c r="AC24" i="36"/>
  <c r="W24" i="36"/>
  <c r="N65" i="71"/>
  <c r="N66" i="71"/>
  <c r="AZ108" i="3"/>
  <c r="C56" i="71"/>
  <c r="D55" i="71"/>
  <c r="D20" i="53"/>
  <c r="B40" i="72" s="1"/>
  <c r="H16" i="1"/>
  <c r="G5" i="3"/>
  <c r="B3" i="3" s="1"/>
  <c r="E510" i="3" s="1"/>
  <c r="AZ113" i="3"/>
  <c r="AZ295" i="3"/>
  <c r="AZ142" i="3"/>
  <c r="AZ253" i="3"/>
  <c r="AZ317" i="3"/>
  <c r="AZ57" i="3"/>
  <c r="C40" i="71"/>
  <c r="D39" i="71"/>
  <c r="AZ53" i="3"/>
  <c r="AZ29" i="3"/>
  <c r="T32" i="71"/>
  <c r="D32" i="71"/>
  <c r="C26" i="71"/>
  <c r="D26" i="71" s="1"/>
  <c r="D27" i="71"/>
  <c r="AZ182" i="3"/>
  <c r="D75" i="71"/>
  <c r="C74" i="71"/>
  <c r="D74" i="71" s="1"/>
  <c r="AZ218" i="3"/>
  <c r="AZ457" i="3"/>
  <c r="AZ421" i="3"/>
  <c r="AZ414" i="3"/>
  <c r="G16" i="1"/>
  <c r="F10" i="39" s="1"/>
  <c r="S10" i="39" s="1"/>
  <c r="J7" i="37"/>
  <c r="AC7" i="37" s="1"/>
  <c r="K1" i="73"/>
  <c r="E81" i="3"/>
  <c r="E497" i="3"/>
  <c r="E105" i="3"/>
  <c r="E276" i="3"/>
  <c r="E234" i="3"/>
  <c r="E62" i="3"/>
  <c r="E58" i="3"/>
  <c r="E446" i="3"/>
  <c r="E584" i="3"/>
  <c r="E87" i="3"/>
  <c r="E224" i="3"/>
  <c r="E168" i="3"/>
  <c r="E411" i="3"/>
  <c r="E126" i="3"/>
  <c r="E328" i="3"/>
  <c r="E321" i="3"/>
  <c r="E221" i="3"/>
  <c r="E434" i="3"/>
  <c r="E429" i="3"/>
  <c r="E32" i="3"/>
  <c r="E581" i="3"/>
  <c r="E366" i="3"/>
  <c r="E151" i="3"/>
  <c r="E415" i="3"/>
  <c r="E336" i="3"/>
  <c r="E193" i="3"/>
  <c r="E111" i="3"/>
  <c r="E515" i="3"/>
  <c r="E162" i="3"/>
  <c r="E508" i="3"/>
  <c r="E380" i="3"/>
  <c r="E180" i="3"/>
  <c r="E568" i="3"/>
  <c r="E587" i="3"/>
  <c r="E362" i="3"/>
  <c r="E345" i="3"/>
  <c r="E217" i="3"/>
  <c r="E201" i="3"/>
  <c r="E278" i="3"/>
  <c r="E246" i="3"/>
  <c r="E242"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AA7" i="36" s="1"/>
  <c r="H7" i="36"/>
  <c r="E369"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G1" i="73"/>
  <c r="AE6" i="1"/>
  <c r="Q60" i="67" l="1"/>
  <c r="Q52" i="67"/>
  <c r="AA10" i="39"/>
  <c r="H10" i="40"/>
  <c r="AB10" i="40" s="1"/>
  <c r="J10" i="39"/>
  <c r="W10" i="39" s="1"/>
  <c r="F10" i="40"/>
  <c r="S10" i="40" s="1"/>
  <c r="J10" i="40"/>
  <c r="AC10" i="40" s="1"/>
  <c r="E275" i="3"/>
  <c r="E263" i="3"/>
  <c r="E215" i="3"/>
  <c r="E247" i="3"/>
  <c r="E273" i="3"/>
  <c r="AO6" i="3"/>
  <c r="E315" i="3"/>
  <c r="E560" i="3"/>
  <c r="E399" i="3"/>
  <c r="E503" i="3"/>
  <c r="AR6" i="3"/>
  <c r="E530" i="3"/>
  <c r="E27" i="3"/>
  <c r="E269" i="3"/>
  <c r="E450" i="3"/>
  <c r="E45" i="3"/>
  <c r="E382" i="3"/>
  <c r="E230" i="3"/>
  <c r="E229" i="3"/>
  <c r="E334" i="3"/>
  <c r="P6" i="3"/>
  <c r="E580" i="3"/>
  <c r="E481" i="3"/>
  <c r="AA6" i="3"/>
  <c r="E302" i="3"/>
  <c r="E523" i="3"/>
  <c r="E501" i="3"/>
  <c r="E92" i="3"/>
  <c r="E207" i="3"/>
  <c r="E471" i="3"/>
  <c r="E136" i="3"/>
  <c r="AD6" i="3"/>
  <c r="E297" i="3"/>
  <c r="E500" i="3"/>
  <c r="E460" i="3"/>
  <c r="E38" i="3"/>
  <c r="E108" i="3"/>
  <c r="E158" i="3"/>
  <c r="E405" i="3"/>
  <c r="E249" i="3"/>
  <c r="E142" i="3"/>
  <c r="E148" i="3"/>
  <c r="E161" i="3"/>
  <c r="E335" i="3"/>
  <c r="AJ6" i="3"/>
  <c r="E70" i="3"/>
  <c r="Z6" i="3"/>
  <c r="E106" i="3"/>
  <c r="E277" i="3"/>
  <c r="E124" i="3"/>
  <c r="E261" i="3"/>
  <c r="E143" i="3"/>
  <c r="E175" i="3"/>
  <c r="E505" i="3"/>
  <c r="E31" i="3"/>
  <c r="E571" i="3"/>
  <c r="E85" i="3"/>
  <c r="E290" i="3"/>
  <c r="E294" i="3"/>
  <c r="E239" i="3"/>
  <c r="E166" i="3"/>
  <c r="E448" i="3"/>
  <c r="E203" i="3"/>
  <c r="E330" i="3"/>
  <c r="E280" i="3"/>
  <c r="E304" i="3"/>
  <c r="E97" i="3"/>
  <c r="E319" i="3"/>
  <c r="E547" i="3"/>
  <c r="E93" i="3"/>
  <c r="E537" i="3"/>
  <c r="E127" i="3"/>
  <c r="E163" i="3"/>
  <c r="E149" i="3"/>
  <c r="E244" i="3"/>
  <c r="E141" i="3"/>
  <c r="E112" i="3"/>
  <c r="E473" i="3"/>
  <c r="E401" i="3"/>
  <c r="E220" i="3"/>
  <c r="E22" i="3"/>
  <c r="E292" i="3"/>
  <c r="E139" i="3"/>
  <c r="E118" i="3"/>
  <c r="E340" i="3"/>
  <c r="E94" i="3"/>
  <c r="E219" i="3"/>
  <c r="X6" i="3"/>
  <c r="E535" i="3"/>
  <c r="E570" i="3"/>
  <c r="E526" i="3"/>
  <c r="E28" i="3"/>
  <c r="E368" i="3"/>
  <c r="E577" i="3"/>
  <c r="E228" i="3"/>
  <c r="E301" i="3"/>
  <c r="E231" i="3"/>
  <c r="E337" i="3"/>
  <c r="E331" i="3"/>
  <c r="E478" i="3"/>
  <c r="E318" i="3"/>
  <c r="E458" i="3"/>
  <c r="E583" i="3"/>
  <c r="E117" i="3"/>
  <c r="E551" i="3"/>
  <c r="E553" i="3"/>
  <c r="E121" i="3"/>
  <c r="E252" i="3"/>
  <c r="E496" i="3"/>
  <c r="E177" i="3"/>
  <c r="E303" i="3"/>
  <c r="E298" i="3"/>
  <c r="E285" i="3"/>
  <c r="E317" i="3"/>
  <c r="E548" i="3"/>
  <c r="E14" i="3"/>
  <c r="E474" i="3"/>
  <c r="E187" i="3"/>
  <c r="E374" i="3"/>
  <c r="E48" i="3"/>
  <c r="E24" i="3"/>
  <c r="E365" i="3"/>
  <c r="E392" i="3"/>
  <c r="L6" i="3"/>
  <c r="E422" i="3"/>
  <c r="E115" i="3"/>
  <c r="E96" i="3"/>
  <c r="E255" i="3"/>
  <c r="D26" i="43"/>
  <c r="C25" i="43" s="1"/>
  <c r="H10" i="39"/>
  <c r="U10" i="39" s="1"/>
  <c r="E378" i="3"/>
  <c r="E248" i="3"/>
  <c r="E131" i="3"/>
  <c r="E119" i="3"/>
  <c r="E423" i="3"/>
  <c r="E563" i="3"/>
  <c r="M6" i="3"/>
  <c r="E509" i="3"/>
  <c r="E377" i="3"/>
  <c r="E557" i="3"/>
  <c r="E89" i="3"/>
  <c r="E146" i="3"/>
  <c r="E472" i="3"/>
  <c r="E181" i="3"/>
  <c r="E350" i="3"/>
  <c r="E528" i="3"/>
  <c r="E561" i="3"/>
  <c r="E388" i="3"/>
  <c r="E384" i="3"/>
  <c r="AS6" i="3"/>
  <c r="E271" i="3"/>
  <c r="E150" i="3"/>
  <c r="E527" i="3"/>
  <c r="E314" i="3"/>
  <c r="E578" i="3"/>
  <c r="E395" i="3"/>
  <c r="V6" i="3"/>
  <c r="E516" i="3"/>
  <c r="E30" i="3"/>
  <c r="E444" i="3"/>
  <c r="E164" i="3"/>
  <c r="E256" i="3"/>
  <c r="E424" i="3"/>
  <c r="E128" i="3"/>
  <c r="E402" i="3"/>
  <c r="E565" i="3"/>
  <c r="E506" i="3"/>
  <c r="O6" i="3"/>
  <c r="AM6" i="3"/>
  <c r="E403" i="3"/>
  <c r="E145" i="3"/>
  <c r="E208" i="3"/>
  <c r="E438" i="3"/>
  <c r="E352" i="3"/>
  <c r="E504" i="3"/>
  <c r="E459" i="3"/>
  <c r="E39" i="3"/>
  <c r="E375" i="3"/>
  <c r="E284" i="3"/>
  <c r="E520" i="3"/>
  <c r="E250" i="3"/>
  <c r="E90" i="3"/>
  <c r="E524" i="3"/>
  <c r="E364" i="3"/>
  <c r="AQ6" i="3"/>
  <c r="E170" i="3"/>
  <c r="E60" i="3"/>
  <c r="E178" i="3"/>
  <c r="J6" i="3"/>
  <c r="E427" i="3"/>
  <c r="E188" i="3"/>
  <c r="E232" i="3"/>
  <c r="E412" i="3"/>
  <c r="E26" i="3"/>
  <c r="E451" i="3"/>
  <c r="E525" i="3"/>
  <c r="E113" i="3"/>
  <c r="E42" i="3"/>
  <c r="E355" i="3"/>
  <c r="E46" i="3"/>
  <c r="E152" i="3"/>
  <c r="E466" i="3"/>
  <c r="AH6" i="3"/>
  <c r="E543" i="3"/>
  <c r="E16" i="3"/>
  <c r="E49" i="3"/>
  <c r="E428" i="3"/>
  <c r="E420" i="3"/>
  <c r="E408" i="3"/>
  <c r="E173" i="3"/>
  <c r="E206" i="3"/>
  <c r="E281" i="3"/>
  <c r="E33" i="3"/>
  <c r="E484" i="3"/>
  <c r="E479" i="3"/>
  <c r="E499" i="3"/>
  <c r="E313" i="3"/>
  <c r="E82" i="3"/>
  <c r="E154" i="3"/>
  <c r="E66" i="3"/>
  <c r="E341" i="3"/>
  <c r="E464" i="3"/>
  <c r="E138" i="3"/>
  <c r="E312" i="3"/>
  <c r="E521" i="3"/>
  <c r="E552" i="3"/>
  <c r="E176" i="3"/>
  <c r="E123" i="3"/>
  <c r="E299" i="3"/>
  <c r="E15" i="3"/>
  <c r="E346" i="3"/>
  <c r="E463" i="3"/>
  <c r="E440" i="3"/>
  <c r="E393" i="3"/>
  <c r="E326" i="3"/>
  <c r="E324" i="3"/>
  <c r="E225" i="3"/>
  <c r="E13" i="3"/>
  <c r="E456" i="3"/>
  <c r="E205" i="3"/>
  <c r="E383" i="3"/>
  <c r="E513" i="3"/>
  <c r="E492" i="3"/>
  <c r="E544" i="3"/>
  <c r="E517" i="3"/>
  <c r="E212" i="3"/>
  <c r="E102" i="3"/>
  <c r="E34" i="3"/>
  <c r="E235" i="3"/>
  <c r="E18" i="3"/>
  <c r="AL6" i="3"/>
  <c r="E198" i="3"/>
  <c r="E309" i="3"/>
  <c r="E63" i="3"/>
  <c r="E233" i="3"/>
  <c r="E67" i="3"/>
  <c r="E310" i="3"/>
  <c r="E267" i="3"/>
  <c r="E64" i="3"/>
  <c r="E409" i="3"/>
  <c r="E389" i="3"/>
  <c r="E241" i="3"/>
  <c r="E95" i="3"/>
  <c r="E417" i="3"/>
  <c r="E554" i="3"/>
  <c r="E449" i="3"/>
  <c r="E442" i="3"/>
  <c r="E575" i="3"/>
  <c r="E536" i="3"/>
  <c r="T40" i="71"/>
  <c r="D40" i="71"/>
  <c r="E3" i="6"/>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C36" i="71"/>
  <c r="D35" i="71"/>
  <c r="O65" i="71"/>
  <c r="D66" i="71"/>
  <c r="O66" i="71"/>
  <c r="R36" i="36"/>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C21" i="71"/>
  <c r="D22" i="71"/>
  <c r="T52" i="71"/>
  <c r="D52"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67"/>
  <c r="M27" i="67"/>
  <c r="M27" i="15"/>
  <c r="F41" i="15"/>
  <c r="F69" i="67" l="1"/>
  <c r="B14" i="74"/>
  <c r="B1" i="74" s="1"/>
  <c r="F25" i="12"/>
  <c r="C26" i="12" s="1"/>
  <c r="D25" i="12" s="1"/>
  <c r="AA10" i="40"/>
  <c r="AB10" i="39"/>
  <c r="AC6" i="3"/>
  <c r="H6" i="3"/>
  <c r="E6" i="3" s="1"/>
  <c r="D116" i="43"/>
  <c r="D21" i="71"/>
  <c r="C20" i="71"/>
  <c r="D36" i="71"/>
  <c r="T36"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8"/>
  <c r="C14" i="67"/>
  <c r="D10" i="69"/>
  <c r="C17" i="67"/>
  <c r="C17" i="15"/>
  <c r="C34" i="69"/>
  <c r="F41" i="68" l="1"/>
  <c r="C26" i="68"/>
  <c r="D22" i="68" s="1"/>
  <c r="C23" i="68"/>
  <c r="H25" i="6"/>
  <c r="C26" i="11"/>
  <c r="D22" i="11" s="1"/>
  <c r="C44" i="11"/>
  <c r="D41" i="11" s="1"/>
  <c r="C19" i="71"/>
  <c r="T20" i="71"/>
  <c r="D20" i="71"/>
  <c r="U20" i="71" s="1"/>
  <c r="C25" i="11"/>
  <c r="C24" i="1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T16" i="71" l="1"/>
  <c r="D16" i="71"/>
  <c r="U16" i="71" s="1"/>
  <c r="C15"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19" i="9"/>
  <c r="C19" i="9"/>
  <c r="D2" i="37"/>
  <c r="L51" i="15"/>
  <c r="D2" i="35"/>
  <c r="D2" i="34"/>
  <c r="C102" i="9" l="1"/>
  <c r="C21" i="9"/>
  <c r="B3" i="33"/>
  <c r="G19" i="9"/>
  <c r="G21" i="9" s="1"/>
  <c r="D102" i="9"/>
  <c r="D22" i="9"/>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7" i="1"/>
  <c r="AO10" i="1"/>
  <c r="D20" i="9"/>
  <c r="AO11" i="1"/>
  <c r="C20" i="9"/>
  <c r="AO12" i="1"/>
  <c r="AO9" i="1"/>
  <c r="C103" i="9" l="1"/>
  <c r="D103" i="9"/>
  <c r="G20" i="9"/>
  <c r="C32" i="9" s="1"/>
  <c r="D34"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F4" i="52" s="1"/>
  <c r="B51" i="72" s="1"/>
  <c r="I118" i="9"/>
  <c r="H118" i="9" s="1"/>
  <c r="G4" i="52" l="1"/>
  <c r="B52" i="72" s="1"/>
  <c r="H102" i="9"/>
  <c r="D7" i="53" s="1"/>
  <c r="B21" i="72" s="1"/>
  <c r="E14" i="74"/>
  <c r="F119" i="9"/>
  <c r="F5" i="52" s="1"/>
  <c r="B53" i="72" s="1"/>
  <c r="E118" i="9"/>
  <c r="C105" i="9"/>
  <c r="I4" i="52"/>
  <c r="D14" i="74"/>
  <c r="G14" i="74" s="1"/>
  <c r="B6" i="74" s="1"/>
  <c r="D6" i="74" s="1"/>
  <c r="B5" i="74" l="1"/>
  <c r="F14" i="74"/>
  <c r="D118" i="9"/>
  <c r="E4" i="52"/>
  <c r="B48" i="72" s="1"/>
  <c r="H4" i="52"/>
  <c r="H101" i="9"/>
  <c r="H119" i="9"/>
  <c r="H5" i="52" s="1"/>
  <c r="C104" i="9"/>
  <c r="D5" i="74" l="1"/>
  <c r="C5" i="74"/>
  <c r="M48" i="9"/>
  <c r="H107" i="9"/>
  <c r="D45" i="9"/>
  <c r="D5" i="53"/>
  <c r="D4" i="52"/>
  <c r="B47" i="72" s="1"/>
  <c r="D119" i="9"/>
  <c r="D5" i="52" s="1"/>
  <c r="B49" i="72" s="1"/>
  <c r="D6" i="53" l="1"/>
  <c r="B22" i="72" s="1"/>
  <c r="B20" i="72"/>
  <c r="C78" i="9"/>
  <c r="C73" i="9" s="1"/>
  <c r="D52" i="9"/>
  <c r="C85" i="9"/>
  <c r="D53" i="9"/>
  <c r="C72" i="9"/>
  <c r="C93" i="9"/>
  <c r="C86" i="9" s="1"/>
  <c r="D55" i="9"/>
  <c r="M53" i="9" s="1"/>
  <c r="C64" i="9"/>
  <c r="C63" i="9" s="1"/>
  <c r="C67" i="9" s="1"/>
  <c r="D122" i="9"/>
  <c r="D13" i="53"/>
  <c r="M49" i="9"/>
  <c r="H108" i="9"/>
  <c r="C79" i="9" l="1"/>
  <c r="D123" i="9"/>
  <c r="D9" i="52" s="1"/>
  <c r="D8" i="52"/>
  <c r="L68" i="9"/>
  <c r="M68" i="9" s="1"/>
  <c r="L65" i="9"/>
  <c r="M65" i="9" s="1"/>
  <c r="L67" i="9"/>
  <c r="M67" i="9" s="1"/>
  <c r="L66" i="9"/>
  <c r="M66" i="9" s="1"/>
  <c r="L63" i="9"/>
  <c r="M63" i="9" s="1"/>
  <c r="L64" i="9"/>
  <c r="M64" i="9" s="1"/>
  <c r="B30" i="72"/>
  <c r="D14" i="53"/>
  <c r="B32" i="72" s="1"/>
  <c r="D15" i="53"/>
  <c r="B31" i="72" s="1"/>
  <c r="C6" i="74"/>
  <c r="C68" i="9"/>
  <c r="D54" i="9" s="1"/>
  <c r="D59" i="9"/>
  <c r="M55" i="9" s="1"/>
  <c r="C95" i="9"/>
  <c r="M69" i="9" l="1"/>
  <c r="N69" i="9" s="1"/>
  <c r="C80" i="9"/>
  <c r="E80" i="9" s="1"/>
  <c r="E81" i="9" s="1"/>
  <c r="C96" i="9"/>
  <c r="E96" i="9" s="1"/>
  <c r="E97" i="9" s="1"/>
  <c r="C81" i="9" l="1"/>
  <c r="C97" i="9"/>
  <c r="D58" i="9" s="1"/>
  <c r="D56" i="9" s="1"/>
  <c r="M54" i="9" s="1"/>
  <c r="N57" i="9" s="1"/>
  <c r="N59" i="9" s="1"/>
  <c r="N58"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B28CF114-9F29-412A-8540-CE12C87E7BC3}">
      <text>
        <r>
          <rPr>
            <b/>
            <sz val="9"/>
            <color indexed="81"/>
            <rFont val="宋体"/>
            <family val="3"/>
            <charset val="134"/>
          </rPr>
          <t>权重验证</t>
        </r>
        <r>
          <rPr>
            <sz val="9"/>
            <color indexed="81"/>
            <rFont val="宋体"/>
            <family val="3"/>
            <charset val="134"/>
          </rPr>
          <t xml:space="preserve">
</t>
        </r>
      </text>
    </comment>
    <comment ref="C58" authorId="1" shapeId="0" xr:uid="{C806A15C-A41D-4548-A57D-521D47F59664}">
      <text>
        <r>
          <rPr>
            <b/>
            <sz val="12"/>
            <color indexed="81"/>
            <rFont val="宋体"/>
            <family val="3"/>
            <charset val="134"/>
          </rPr>
          <t>价值时点所在月度</t>
        </r>
        <r>
          <rPr>
            <sz val="12"/>
            <color indexed="81"/>
            <rFont val="宋体"/>
            <family val="3"/>
            <charset val="134"/>
          </rPr>
          <t xml:space="preserve">
</t>
        </r>
      </text>
    </comment>
    <comment ref="B102" authorId="1" shapeId="0" xr:uid="{2C9FAE93-D148-426E-88D7-A2E80FB7BB18}">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<sst xmlns="http://schemas.openxmlformats.org/spreadsheetml/2006/main" count="8375" uniqueCount="3523">
  <si>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</si>
  <si>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</si>
  <si>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</si>
  <si>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</si>
  <si>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</si>
  <si>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</si>
  <si>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</si>
  <si>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</si>
  <si>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</si>
  <si>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</si>
  <si>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</si>
  <si>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</si>
  <si>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</si>
  <si>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</si>
  <si>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</si>
  <si>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</si>
  <si>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</si>
  <si>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</si>
  <si>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</si>
  <si>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</si>
  <si>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</si>
  <si>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</si>
  <si>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</si>
  <si>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</si>
  <si>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</si>
  <si>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</si>
  <si>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</si>
  <si>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</si>
  <si>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</si>
  <si>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</si>
  <si>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</si>
  <si>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</si>
  <si>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</si>
  <si>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</si>
  <si>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</si>
  <si>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</si>
  <si>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</si>
  <si>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</si>
  <si>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</si>
  <si>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</si>
  <si>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</si>
  <si>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</si>
  <si>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</si>
  <si>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</si>
  <si>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</si>
  <si>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</si>
  <si>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</si>
  <si>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</si>
  <si>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</si>
  <si>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</si>
  <si>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</si>
  <si>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</si>
  <si>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</si>
  <si>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</si>
  <si>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</si>
  <si>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</si>
  <si>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</si>
  <si>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</si>
  <si>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</si>
  <si>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</si>
  <si>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</si>
  <si>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</si>
  <si>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</si>
  <si>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</si>
  <si>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</si>
  <si>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</si>
  <si>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</si>
  <si>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</si>
  <si>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</si>
  <si>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</si>
  <si>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</si>
  <si>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</si>
  <si>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</si>
  <si>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</si>
  <si>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</si>
  <si>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</si>
  <si>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</si>
  <si>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</si>
  <si>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</si>
  <si>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</si>
  <si>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</si>
  <si>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</si>
  <si>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</si>
  <si>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</si>
  <si>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</si>
  <si>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</si>
  <si>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</si>
  <si>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</si>
  <si>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</si>
  <si>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</si>
  <si>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</si>
  <si>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</si>
  <si>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</si>
  <si>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</si>
  <si>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</si>
  <si>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</si>
  <si>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</si>
  <si>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</si>
  <si>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</si>
  <si>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</si>
  <si>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</si>
  <si>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</si>
  <si>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</si>
  <si>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</si>
  <si>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</si>
  <si>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</si>
  <si>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</si>
  <si>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</si>
  <si>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</si>
  <si>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</si>
  <si>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</si>
  <si>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</si>
  <si>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</si>
  <si>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</si>
  <si>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</si>
  <si>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</si>
  <si>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</si>
  <si>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</si>
  <si>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</si>
  <si>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</si>
  <si>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</si>
  <si>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</si>
  <si>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</si>
  <si>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</si>
  <si>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</si>
  <si>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</si>
  <si>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</si>
  <si>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</si>
  <si>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</si>
  <si>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</si>
  <si>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</si>
  <si>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</si>
  <si>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</si>
  <si>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</si>
  <si>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</si>
  <si>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</si>
  <si>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</si>
  <si>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</si>
  <si>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</si>
  <si>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</si>
  <si>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</si>
  <si>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</si>
  <si>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</si>
  <si>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</si>
  <si>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</si>
  <si>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</si>
  <si>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</si>
  <si>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</si>
  <si>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</si>
  <si>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</si>
  <si>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</si>
  <si>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</si>
  <si>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</si>
  <si>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</si>
  <si>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</si>
  <si>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</si>
  <si>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</si>
  <si>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</si>
  <si>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</si>
  <si>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</si>
  <si>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</si>
  <si>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</si>
  <si>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</si>
  <si>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</si>
  <si>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</si>
  <si>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</si>
  <si>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</si>
  <si>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</si>
  <si>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</si>
  <si>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</si>
  <si>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</si>
  <si>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</si>
  <si>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</si>
  <si>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</si>
  <si>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</si>
  <si>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</si>
  <si>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</si>
  <si>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</si>
  <si>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</si>
  <si>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</si>
  <si>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</si>
  <si>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</si>
  <si>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</si>
  <si>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</si>
  <si>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</si>
  <si>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</si>
  <si>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</si>
  <si>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</si>
  <si>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</si>
  <si>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</si>
  <si>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</si>
  <si>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</si>
  <si>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</si>
  <si>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</si>
  <si>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</si>
  <si>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</si>
  <si>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</si>
  <si>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</si>
  <si>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</si>
  <si>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</si>
  <si>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</si>
  <si>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</si>
  <si>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</si>
  <si>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</si>
  <si>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</si>
  <si>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</si>
  <si>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</si>
  <si>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</si>
  <si>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</si>
  <si>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</si>
  <si>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</si>
  <si>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</si>
  <si>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</si>
  <si>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</si>
  <si>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</si>
  <si>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</si>
  <si>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</si>
  <si>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</si>
  <si>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</si>
  <si>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</si>
  <si>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</si>
  <si>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</si>
  <si>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</si>
  <si>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</si>
  <si>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</si>
  <si>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</si>
  <si>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</si>
  <si>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</si>
  <si>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</si>
  <si>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</si>
  <si>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</si>
  <si>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</si>
  <si>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</si>
  <si>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</si>
  <si>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</si>
  <si>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</si>
  <si>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</si>
  <si>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</si>
  <si>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</si>
  <si>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</si>
  <si>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</si>
  <si>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</si>
  <si>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</si>
  <si>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</si>
  <si>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</si>
  <si>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</si>
  <si>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</si>
  <si>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</si>
  <si>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</si>
  <si>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</si>
  <si>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</si>
  <si>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</si>
  <si>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</si>
  <si>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</si>
  <si>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</si>
  <si>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</si>
  <si>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</si>
  <si>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</si>
  <si>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</si>
  <si>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</si>
  <si>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</si>
  <si>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</si>
  <si>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</si>
  <si>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</si>
  <si>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</si>
  <si>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</si>
  <si>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</si>
  <si>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</si>
  <si>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</si>
  <si>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</si>
  <si>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</si>
  <si>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</si>
  <si>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</si>
  <si>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</si>
  <si>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</si>
  <si>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</si>
  <si>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</si>
  <si>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</si>
  <si>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</si>
  <si>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</si>
  <si>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</si>
  <si>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</si>
  <si>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</si>
  <si>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</si>
  <si>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</si>
  <si>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</si>
  <si>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</si>
  <si>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</si>
  <si>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</si>
  <si>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</si>
  <si>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</si>
  <si>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</si>
  <si>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</si>
  <si>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</si>
  <si>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</si>
  <si>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</si>
  <si>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</si>
  <si>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</si>
  <si>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</si>
  <si>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</si>
  <si>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</si>
  <si>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</si>
  <si>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</si>
  <si>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</si>
  <si>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</si>
  <si>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</si>
  <si>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</si>
  <si>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</si>
  <si>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</si>
  <si>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</si>
  <si>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</si>
  <si>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</si>
  <si>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</si>
  <si>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</si>
  <si>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</si>
  <si>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</si>
  <si>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</si>
  <si>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</si>
  <si>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</si>
  <si>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</si>
  <si>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</si>
  <si>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</si>
  <si>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</si>
  <si>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</si>
  <si>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</si>
  <si>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</si>
  <si>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</si>
  <si>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</si>
  <si>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</si>
  <si>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</si>
  <si>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</si>
  <si>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</si>
  <si>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</si>
  <si>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</si>
  <si>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</si>
  <si>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</si>
  <si>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</si>
  <si>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</si>
  <si>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</si>
  <si>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</si>
  <si>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</si>
  <si>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</si>
  <si>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</si>
  <si>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</si>
  <si>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</si>
  <si>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</si>
  <si>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</si>
  <si>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</si>
  <si>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</si>
  <si>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</si>
  <si>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</si>
  <si>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</si>
  <si>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</si>
  <si>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</si>
  <si>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</si>
  <si>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</si>
  <si>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</si>
  <si>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</si>
  <si>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</si>
  <si>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</si>
  <si>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</si>
  <si>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</si>
  <si>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</si>
  <si>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</si>
  <si>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</si>
  <si>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</si>
  <si>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</si>
  <si>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</si>
  <si>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</si>
  <si>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</si>
  <si>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</si>
  <si>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</si>
  <si>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</si>
  <si>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</si>
  <si>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</si>
  <si>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</si>
  <si>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</si>
  <si>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</si>
  <si>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</si>
  <si>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</si>
  <si>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</si>
  <si>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</si>
  <si>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</si>
  <si>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</si>
  <si>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</si>
  <si>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</si>
  <si>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</si>
  <si>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</si>
  <si>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</si>
  <si>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</si>
  <si>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</si>
  <si>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</si>
  <si>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</si>
  <si>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</si>
  <si>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</si>
  <si>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</si>
  <si>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</si>
  <si>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</si>
  <si>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</si>
  <si>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</si>
  <si>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</si>
  <si>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</si>
  <si>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</si>
  <si>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</si>
  <si>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</si>
  <si>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</si>
  <si>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</si>
  <si>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</si>
  <si>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</si>
  <si>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</si>
  <si>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</si>
  <si>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</si>
  <si>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</si>
  <si>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</si>
  <si>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</si>
  <si>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</si>
  <si>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</si>
  <si>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</si>
  <si>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</si>
  <si>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</si>
  <si>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</si>
  <si>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</si>
  <si>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</si>
  <si>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</si>
  <si>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</si>
  <si>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</si>
  <si>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</si>
  <si>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</si>
  <si>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</si>
  <si>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</si>
  <si>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</si>
  <si>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</si>
  <si>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</si>
  <si>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</si>
  <si>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</si>
  <si>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</si>
  <si>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</si>
  <si>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</si>
  <si>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</si>
  <si>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</si>
  <si>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</si>
  <si>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</si>
  <si>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</si>
  <si>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</si>
  <si>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</si>
  <si>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</si>
  <si>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</si>
  <si>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</si>
  <si>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</si>
  <si>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</si>
  <si>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</si>
  <si>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</si>
  <si>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</si>
  <si>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</si>
  <si>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</si>
  <si>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</si>
  <si>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</si>
  <si>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</si>
  <si>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</si>
  <si>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</si>
  <si>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</si>
  <si>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</si>
  <si>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</si>
  <si>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</si>
  <si>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</si>
  <si>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</si>
  <si>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</si>
  <si>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</si>
  <si>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</si>
  <si>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</si>
  <si>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</si>
  <si>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</si>
  <si>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</si>
  <si>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</si>
  <si>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</si>
  <si>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</si>
  <si>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</si>
  <si>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</si>
  <si>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</si>
  <si>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</si>
  <si>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</si>
  <si>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</si>
  <si>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</si>
  <si>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</si>
  <si>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</si>
  <si>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</si>
  <si>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</si>
  <si>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</si>
  <si>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</si>
  <si>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</si>
  <si>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</si>
  <si>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</si>
  <si>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</si>
  <si>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</si>
  <si>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</si>
  <si>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</si>
  <si>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</si>
  <si>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</si>
  <si>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</si>
  <si>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</si>
  <si>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</si>
  <si>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</si>
  <si>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</si>
  <si>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</si>
  <si>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</si>
  <si>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</si>
  <si>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</si>
  <si>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</si>
  <si>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</si>
  <si>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</si>
  <si>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</si>
  <si>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</si>
  <si>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</si>
  <si>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</si>
  <si>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</si>
  <si>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</si>
  <si>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</si>
  <si>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</si>
  <si>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</si>
  <si>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</si>
  <si>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</si>
  <si>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</si>
  <si>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</si>
  <si>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</si>
  <si>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</si>
  <si>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</si>
  <si>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</si>
  <si>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</si>
  <si>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</si>
  <si>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</si>
  <si>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</si>
  <si>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</si>
  <si>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</si>
  <si>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</si>
  <si>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</si>
  <si>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</si>
  <si>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</si>
  <si>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</si>
  <si>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</si>
  <si>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</si>
  <si>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</si>
  <si>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</si>
  <si>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</si>
  <si>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</si>
  <si>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</si>
  <si>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</si>
  <si>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</si>
  <si>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</si>
  <si>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</si>
  <si>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</si>
  <si>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</si>
  <si>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</si>
  <si>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</si>
  <si>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</si>
  <si>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</si>
  <si>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</si>
  <si>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</si>
  <si>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</si>
  <si>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</si>
  <si>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</si>
  <si>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</si>
  <si>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</si>
  <si>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</si>
  <si>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</si>
  <si>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</si>
  <si>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</si>
  <si>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</si>
  <si>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</si>
  <si>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</si>
  <si>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</si>
  <si>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</si>
  <si>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</si>
  <si>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</si>
  <si>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</si>
  <si>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</si>
  <si>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</si>
  <si>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</si>
  <si>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</si>
  <si>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</si>
  <si>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</si>
  <si>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</si>
  <si>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</si>
  <si>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</si>
  <si>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</si>
  <si>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</si>
  <si>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</si>
  <si>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</si>
  <si>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</si>
  <si>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</si>
  <si>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</si>
  <si>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</si>
  <si>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</si>
  <si>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</si>
  <si>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</si>
  <si>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</si>
  <si>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</si>
  <si>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</si>
  <si>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</si>
  <si>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</si>
  <si>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</si>
  <si>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</si>
  <si>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</si>
  <si>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</si>
  <si>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</si>
  <si>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</si>
  <si>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</si>
  <si>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</si>
  <si>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</si>
  <si>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</si>
  <si>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</si>
  <si>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</si>
  <si>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</si>
  <si>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</si>
  <si>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</si>
  <si>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</si>
  <si>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</si>
  <si>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</si>
  <si>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</si>
  <si>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</si>
  <si>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</si>
  <si>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</si>
  <si>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</si>
  <si>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</si>
  <si>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</si>
  <si>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</si>
  <si>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</si>
  <si>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</si>
  <si>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</si>
  <si>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</si>
  <si>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</si>
  <si>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</si>
  <si>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</si>
  <si>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</si>
  <si>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</si>
  <si>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</si>
  <si>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</si>
  <si>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</si>
  <si>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</si>
  <si>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</si>
  <si>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</si>
  <si>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</si>
  <si>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</si>
  <si>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</si>
  <si>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</si>
  <si>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</si>
  <si>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</si>
  <si>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</si>
  <si>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</si>
  <si>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</si>
  <si>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</si>
  <si>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</si>
  <si>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</si>
  <si>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</si>
  <si>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</si>
  <si>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</si>
  <si>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</si>
  <si>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</si>
  <si>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</si>
  <si>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</si>
  <si>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</si>
  <si>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</si>
  <si>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</si>
  <si>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</si>
  <si>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</si>
  <si>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</si>
  <si>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</si>
  <si>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</si>
  <si>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</si>
  <si>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</si>
  <si>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</si>
  <si>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</si>
  <si>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</si>
  <si>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</si>
  <si>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</si>
  <si>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</si>
  <si>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</si>
  <si>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</si>
  <si>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</si>
  <si>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</si>
  <si>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</si>
  <si>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</si>
  <si>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</si>
  <si>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</si>
  <si>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</si>
  <si>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</si>
  <si>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</si>
  <si>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</si>
  <si>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</si>
  <si>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</si>
  <si>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</si>
  <si>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</si>
  <si>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</si>
  <si>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</si>
  <si>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</si>
  <si>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</si>
  <si>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</si>
  <si>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</si>
  <si>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</si>
  <si>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</si>
  <si>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</si>
  <si>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</si>
  <si>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</si>
  <si>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</si>
  <si>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</si>
  <si>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</si>
  <si>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</si>
  <si>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</si>
  <si>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</si>
  <si>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</si>
  <si>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</si>
  <si>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</si>
  <si>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</si>
  <si>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</si>
  <si>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</si>
  <si>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</si>
  <si>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</si>
  <si>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</si>
  <si>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</si>
  <si>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</si>
  <si>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</si>
  <si>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</si>
  <si>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</si>
  <si>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</si>
  <si>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</si>
  <si>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</si>
  <si>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</si>
  <si>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</si>
  <si>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</si>
  <si>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</si>
  <si>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</si>
  <si>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</si>
  <si>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</si>
  <si>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</si>
  <si>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</si>
  <si>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</si>
  <si>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</si>
  <si>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</si>
  <si>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</si>
  <si>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</si>
  <si>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</si>
  <si>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</si>
  <si>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</si>
  <si>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</si>
  <si>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</si>
  <si>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</si>
  <si>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</si>
  <si>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</si>
  <si>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</si>
  <si>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</si>
  <si>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</si>
  <si>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</si>
  <si>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</si>
  <si>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</si>
  <si>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</si>
  <si>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</si>
  <si>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</si>
  <si>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</si>
  <si>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</si>
  <si>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</si>
  <si>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</si>
  <si>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</si>
  <si>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</si>
  <si>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</si>
  <si>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</si>
  <si>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</si>
  <si>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</si>
  <si>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</si>
  <si>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</si>
  <si>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</si>
  <si>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</si>
  <si>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</si>
  <si>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</si>
  <si>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</si>
  <si>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</si>
  <si>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</si>
  <si>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</si>
  <si>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</si>
  <si>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</si>
  <si>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</si>
  <si>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</si>
  <si>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</si>
  <si>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</si>
  <si>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</si>
  <si>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</si>
  <si>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</si>
  <si>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</si>
  <si>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</si>
  <si>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</si>
  <si>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</si>
  <si>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</si>
  <si>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</si>
  <si>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</si>
  <si>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</si>
  <si>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</si>
  <si>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</si>
  <si>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</si>
  <si>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</si>
  <si>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</si>
  <si>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</si>
  <si>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</si>
  <si>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</si>
  <si>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</si>
  <si>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</si>
  <si>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</si>
  <si>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</si>
  <si>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</si>
  <si>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</si>
  <si>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</si>
  <si>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</si>
  <si>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</si>
  <si>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</si>
  <si>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</si>
  <si>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</si>
  <si>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</si>
  <si>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</si>
  <si>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</si>
  <si>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</si>
  <si>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</si>
  <si>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</si>
  <si>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</si>
  <si>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</si>
  <si>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</si>
  <si>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</si>
  <si>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</si>
  <si>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</si>
  <si>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</si>
  <si>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</si>
  <si>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</si>
  <si>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</si>
  <si>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</si>
  <si>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</si>
  <si>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</si>
  <si>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</si>
  <si>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</si>
  <si>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</si>
  <si>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</si>
  <si>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</si>
  <si>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</si>
  <si>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</si>
  <si>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</si>
  <si>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</si>
  <si>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</si>
  <si>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</si>
  <si>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</si>
  <si>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</si>
  <si>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</si>
  <si>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</si>
  <si>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</si>
  <si>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</si>
  <si>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</si>
  <si>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</si>
  <si>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</si>
  <si>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</si>
  <si>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</si>
  <si>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</si>
  <si>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</si>
  <si>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</si>
  <si>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</si>
  <si>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</si>
  <si>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</si>
  <si>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</si>
  <si>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</si>
  <si>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</si>
  <si>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</si>
  <si>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</si>
  <si>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</si>
  <si>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</si>
  <si>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</si>
  <si>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</si>
  <si>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</si>
  <si>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</si>
  <si>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</si>
  <si>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</si>
  <si>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</si>
  <si>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</si>
  <si>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</si>
  <si>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</si>
  <si>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</si>
  <si>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</si>
  <si>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</si>
  <si>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</si>
  <si>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</si>
  <si>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</si>
  <si>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</si>
  <si>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</si>
  <si>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</si>
  <si>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</si>
  <si>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</si>
  <si>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</si>
  <si>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</si>
  <si>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</si>
  <si>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</si>
  <si>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</si>
  <si>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</si>
  <si>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</si>
  <si>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</si>
  <si>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</si>
  <si>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</si>
  <si>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</si>
  <si>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</si>
  <si>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</si>
  <si>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</si>
  <si>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</si>
  <si>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</si>
  <si>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</si>
  <si>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</si>
  <si>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</si>
  <si>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</si>
  <si>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</si>
  <si>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</si>
  <si>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</si>
  <si>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</si>
  <si>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</si>
  <si>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</si>
  <si>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</si>
  <si>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</si>
  <si>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</si>
  <si>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</si>
  <si>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</si>
  <si>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</si>
  <si>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</si>
  <si>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</si>
  <si>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</si>
  <si>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</si>
  <si>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</si>
  <si>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</si>
  <si>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</si>
  <si>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</si>
  <si>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</si>
  <si>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</si>
  <si>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</si>
  <si>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</si>
  <si>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</si>
  <si>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</si>
  <si>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</si>
  <si>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</si>
  <si>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</si>
  <si>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</si>
  <si>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</si>
  <si>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</si>
  <si>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</si>
  <si>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</si>
  <si>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</si>
  <si>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</si>
  <si>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</si>
  <si>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</si>
  <si>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</si>
  <si>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</si>
  <si>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</si>
  <si>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</si>
  <si>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</si>
  <si>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</si>
  <si>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</si>
  <si>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</si>
  <si>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</si>
  <si>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</si>
  <si>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</si>
  <si>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</si>
  <si>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</si>
  <si>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</si>
  <si>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</si>
  <si>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</si>
  <si>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</si>
  <si>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</si>
  <si>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</si>
  <si>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</si>
  <si>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</si>
  <si>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</si>
  <si>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</si>
  <si>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</si>
  <si>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</si>
  <si>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</si>
  <si>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</si>
  <si>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</si>
  <si>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</si>
  <si>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</si>
  <si>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</si>
  <si>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</si>
  <si>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</si>
  <si>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</si>
  <si>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</si>
  <si>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</si>
  <si>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</si>
  <si>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</si>
  <si>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</si>
  <si>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</si>
  <si>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</si>
  <si>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</si>
  <si>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</si>
  <si>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</si>
  <si>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</si>
  <si>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</si>
  <si>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</si>
  <si>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</si>
  <si>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</si>
  <si>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</si>
  <si>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</si>
  <si>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</si>
  <si>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</si>
  <si>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</si>
  <si>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</si>
  <si>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</si>
  <si>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</si>
  <si>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</si>
  <si>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</si>
  <si>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</si>
  <si>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</si>
  <si>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</si>
  <si>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</si>
  <si>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</si>
  <si>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</si>
  <si>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</si>
  <si>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</si>
  <si>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</si>
  <si>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</si>
  <si>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</si>
  <si>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</si>
  <si>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</si>
  <si>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</si>
  <si>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</si>
  <si>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</si>
  <si>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</si>
  <si>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</si>
  <si>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</si>
  <si>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</si>
  <si>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</si>
  <si>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</si>
  <si>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</si>
  <si>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</si>
  <si>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</si>
  <si>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</si>
  <si>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</si>
  <si>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</si>
  <si>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</si>
  <si>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</si>
  <si>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</si>
  <si>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</si>
  <si>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</si>
  <si>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</si>
  <si>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</si>
  <si>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</si>
  <si>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</si>
  <si>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</si>
  <si>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</si>
  <si>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</si>
  <si>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</si>
  <si>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</si>
  <si>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</si>
  <si>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</si>
  <si>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</si>
  <si>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</si>
  <si>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</si>
  <si>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</si>
  <si>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</si>
  <si>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</si>
  <si>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</si>
  <si>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</si>
  <si>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</si>
  <si>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</si>
  <si>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</si>
  <si>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</si>
  <si>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</si>
  <si>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</si>
  <si>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</si>
  <si>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</si>
  <si>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</si>
  <si>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</si>
  <si>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</si>
  <si>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</si>
  <si>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</si>
  <si>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</si>
  <si>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</si>
  <si>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</si>
  <si>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</si>
  <si>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</si>
  <si>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</si>
  <si>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</si>
  <si>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</si>
  <si>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</si>
  <si>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</si>
  <si>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</si>
  <si>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</si>
  <si>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</si>
  <si>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</si>
  <si>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</si>
  <si>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</si>
  <si>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</si>
  <si>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</si>
  <si>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</si>
  <si>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</si>
  <si>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</si>
  <si>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</si>
  <si>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</si>
  <si>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</si>
  <si>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</si>
  <si>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</si>
  <si>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</si>
  <si>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</si>
  <si>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</si>
  <si>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</si>
  <si>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</si>
  <si>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</si>
  <si>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</si>
  <si>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</si>
  <si>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</si>
  <si>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</si>
  <si>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</si>
  <si>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</si>
  <si>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</si>
  <si>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</si>
  <si>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</si>
  <si>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</si>
  <si>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</si>
  <si>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</si>
  <si>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</si>
  <si>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</si>
  <si>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</si>
  <si>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</si>
  <si>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</si>
  <si>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</si>
  <si>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</si>
  <si>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</si>
  <si>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</si>
  <si>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</si>
  <si>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</si>
  <si>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</si>
  <si>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</si>
  <si>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</si>
  <si>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</si>
  <si>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</si>
  <si>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</si>
  <si>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</si>
  <si>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</si>
  <si>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</si>
  <si>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</si>
  <si>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</si>
  <si>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</si>
  <si>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</si>
  <si>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</si>
  <si>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</si>
  <si>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</si>
  <si>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</si>
  <si>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</si>
  <si>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</si>
  <si>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</si>
  <si>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</si>
  <si>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</si>
  <si>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</si>
  <si>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</si>
  <si>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</si>
  <si>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</si>
  <si>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</si>
  <si>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</si>
  <si>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</si>
  <si>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</si>
  <si>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</si>
  <si>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</si>
  <si>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</si>
  <si>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</si>
  <si>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</si>
  <si>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</si>
  <si>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</si>
  <si>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</si>
  <si>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</si>
  <si>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</si>
  <si>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</si>
  <si>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</si>
  <si>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</si>
  <si>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</si>
  <si>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</si>
  <si>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</si>
  <si>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</si>
  <si>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</si>
  <si>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</si>
  <si>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</si>
  <si>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</si>
  <si>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</si>
  <si>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</si>
  <si>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</si>
  <si>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</si>
  <si>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</si>
  <si>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</si>
  <si>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</si>
  <si>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</si>
  <si>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</si>
  <si>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</si>
  <si>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</si>
  <si>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</si>
  <si>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</si>
  <si>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</si>
  <si>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</si>
  <si>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</si>
  <si>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</si>
  <si>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</si>
  <si>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</si>
  <si>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</si>
  <si>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</si>
  <si>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</si>
  <si>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</si>
  <si>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</si>
  <si>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</si>
  <si>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</si>
  <si>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</si>
  <si>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</si>
  <si>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</si>
  <si>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</si>
  <si>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</si>
  <si>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</si>
  <si>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</si>
  <si>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</si>
  <si>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</si>
  <si>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</si>
  <si>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</si>
  <si>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</si>
  <si>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</si>
  <si>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</si>
  <si>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</si>
  <si>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</si>
  <si>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</si>
  <si>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</si>
  <si>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</si>
  <si>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</si>
  <si>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</si>
  <si>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</si>
  <si>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</si>
  <si>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</si>
  <si>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</si>
  <si>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</si>
  <si>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</si>
  <si>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</si>
  <si>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</si>
  <si>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</si>
  <si>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</si>
  <si>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</si>
  <si>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</si>
  <si>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</si>
  <si>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</si>
  <si>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</si>
  <si>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</si>
  <si>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</si>
  <si>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</si>
  <si>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</si>
  <si>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</si>
  <si>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</si>
  <si>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</si>
  <si>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</si>
  <si>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</si>
  <si>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</si>
  <si>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</si>
  <si>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</si>
  <si>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</si>
  <si>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</si>
  <si>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</si>
  <si>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</si>
  <si>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</si>
  <si>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</si>
  <si>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</si>
  <si>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</si>
  <si>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</si>
  <si>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</si>
  <si>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</si>
  <si>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</si>
  <si>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</si>
  <si>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</si>
  <si>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</si>
  <si>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</si>
  <si>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</si>
  <si>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</si>
  <si>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</si>
  <si>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</si>
  <si>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</si>
  <si>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</si>
  <si>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</si>
  <si>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</si>
  <si>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</si>
  <si>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</si>
  <si>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</si>
  <si>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</si>
  <si>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</si>
  <si>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</si>
  <si>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</si>
  <si>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</si>
  <si>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</si>
  <si>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</si>
  <si>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</si>
  <si>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</si>
  <si>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</si>
  <si>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</si>
  <si>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</si>
  <si>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</si>
  <si>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</si>
  <si>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</si>
  <si>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</si>
  <si>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</si>
  <si>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</si>
  <si>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</si>
  <si>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</si>
  <si>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</si>
  <si>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</si>
  <si>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</si>
  <si>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</si>
  <si>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</si>
  <si>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</si>
  <si>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</si>
  <si>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</si>
  <si>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</si>
  <si>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</si>
  <si>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</si>
  <si>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</si>
  <si>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</si>
  <si>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</si>
  <si>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</si>
  <si>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</si>
  <si>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</si>
  <si>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</si>
  <si>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</si>
  <si>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</si>
  <si>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</si>
  <si>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</si>
  <si>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</si>
  <si>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</si>
  <si>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</si>
  <si>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</si>
  <si>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</si>
  <si>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</si>
  <si>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</si>
  <si>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</si>
  <si>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</si>
  <si>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</si>
  <si>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</si>
  <si>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</si>
  <si>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</si>
  <si>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</si>
  <si>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</si>
  <si>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</si>
  <si>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</si>
  <si>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</si>
  <si>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</si>
  <si>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</si>
  <si>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</si>
  <si>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</si>
  <si>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</si>
  <si>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</si>
  <si>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</si>
  <si>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</si>
  <si>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</si>
  <si>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</si>
  <si>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</si>
  <si>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</si>
  <si>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</si>
  <si>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</si>
  <si>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</si>
  <si>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</si>
  <si>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</si>
  <si>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</si>
  <si>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</si>
  <si>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</si>
  <si>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</si>
  <si>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</si>
  <si>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</si>
  <si>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</si>
  <si>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</si>
  <si>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</si>
  <si>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</si>
  <si>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</si>
  <si>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</si>
  <si>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</si>
  <si>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</si>
  <si>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</si>
  <si>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</si>
  <si>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</si>
  <si>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</si>
  <si>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</si>
  <si>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</si>
  <si>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</si>
  <si>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</si>
  <si>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</si>
  <si>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</si>
  <si>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</si>
  <si>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</si>
  <si>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</si>
  <si>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</si>
  <si>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</si>
  <si>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</si>
  <si>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</si>
  <si>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</si>
  <si>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</si>
  <si>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</si>
  <si>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</si>
  <si>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</si>
  <si>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</si>
  <si>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</si>
  <si>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</si>
  <si>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</si>
  <si>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</si>
  <si>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</si>
  <si>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</si>
  <si>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</si>
  <si>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</si>
  <si>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</si>
  <si>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</si>
  <si>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</si>
  <si>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</si>
  <si>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</si>
  <si>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</si>
  <si>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</si>
  <si>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</si>
  <si>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</si>
  <si>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</si>
  <si>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</si>
  <si>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</si>
  <si>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</si>
  <si>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</si>
  <si>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</si>
  <si>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</si>
  <si>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</si>
  <si>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</si>
  <si>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</si>
  <si>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</si>
  <si>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</si>
  <si>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</si>
  <si>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</si>
  <si>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</si>
  <si>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</si>
  <si>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</si>
  <si>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</si>
  <si>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</si>
  <si>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</si>
  <si>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</si>
  <si>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</si>
  <si>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</si>
  <si>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</si>
  <si>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</si>
  <si>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</si>
  <si>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</si>
  <si>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</si>
  <si>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</si>
  <si>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</si>
  <si>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</si>
  <si>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</si>
  <si>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</si>
  <si>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</si>
  <si>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</si>
  <si>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</si>
  <si>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</si>
  <si>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</si>
  <si>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</si>
  <si>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</si>
  <si>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</si>
  <si>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</si>
  <si>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</si>
  <si>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</si>
  <si>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</si>
  <si>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</si>
  <si>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</si>
  <si>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</si>
  <si>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</si>
  <si>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</si>
  <si>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</si>
  <si>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</si>
  <si>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</si>
  <si>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</si>
  <si>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</si>
  <si>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</si>
  <si>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</si>
  <si>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</si>
  <si>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</si>
  <si>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</si>
  <si>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</si>
  <si>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</si>
  <si>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</si>
  <si>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</si>
  <si>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</si>
  <si>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</si>
  <si>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</si>
  <si>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</si>
  <si>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</si>
  <si>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</si>
  <si>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</si>
  <si>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</si>
  <si>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</si>
  <si>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</si>
  <si>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</si>
  <si>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</si>
  <si>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</si>
  <si>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</si>
  <si>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</si>
  <si>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</si>
  <si>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</si>
  <si>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</si>
  <si>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</si>
  <si>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</si>
  <si>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</si>
  <si>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</si>
  <si>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</si>
  <si>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</si>
  <si>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</si>
  <si>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</si>
  <si>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</si>
  <si>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</si>
  <si>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</si>
  <si>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</si>
  <si>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</si>
  <si>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</si>
  <si>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</si>
  <si>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</si>
  <si>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</si>
  <si>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</si>
  <si>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</si>
  <si>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</si>
  <si>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</si>
  <si>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</si>
  <si>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</si>
  <si>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</si>
  <si>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</si>
  <si>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</si>
  <si>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</si>
  <si>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</si>
  <si>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</si>
  <si>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</si>
  <si>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</si>
  <si>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</si>
  <si>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</si>
  <si>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</si>
  <si>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</si>
  <si>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</si>
  <si>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</si>
  <si>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</si>
  <si>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</si>
  <si>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</si>
  <si>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</si>
  <si>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</si>
  <si>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</si>
  <si>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</si>
  <si>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</si>
  <si>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</si>
  <si>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</si>
  <si>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</si>
  <si>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</si>
  <si>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</si>
  <si>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</si>
  <si>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</si>
  <si>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</si>
  <si>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</si>
  <si>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</si>
  <si>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</si>
  <si>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</si>
  <si>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</si>
  <si>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</si>
  <si>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</si>
  <si>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</si>
  <si>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</si>
  <si>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</si>
  <si>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</si>
  <si>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</si>
  <si>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</si>
  <si>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</si>
  <si>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</si>
  <si>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</si>
  <si>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</si>
  <si>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</si>
  <si>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</si>
  <si>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</si>
  <si>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</si>
  <si>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</si>
  <si>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</si>
  <si>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</si>
  <si>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</si>
  <si>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</si>
  <si>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</si>
  <si>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</si>
  <si>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</si>
  <si>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</si>
  <si>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</si>
  <si>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</si>
  <si>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</si>
  <si>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</si>
  <si>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</si>
  <si>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</si>
  <si>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</si>
  <si>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</si>
  <si>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</si>
  <si>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</si>
  <si>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</si>
  <si>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</si>
  <si>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</si>
  <si>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</si>
  <si>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</si>
  <si>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</si>
  <si>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</si>
  <si>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</si>
  <si>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</si>
  <si>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</si>
  <si>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</si>
  <si>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</si>
  <si>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</si>
  <si>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</si>
  <si>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</si>
  <si>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</si>
  <si>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</si>
  <si>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</si>
  <si>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</si>
  <si>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</si>
  <si>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</si>
  <si>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</si>
  <si>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</si>
  <si>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</si>
  <si>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</si>
  <si>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</si>
  <si>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</si>
  <si>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</si>
  <si>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</si>
  <si>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</si>
  <si>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</si>
  <si>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</si>
  <si>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</si>
  <si>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</si>
  <si>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</si>
  <si>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</si>
  <si>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</si>
  <si>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</si>
  <si>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</si>
  <si>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</si>
  <si>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</si>
  <si>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</si>
  <si>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</si>
  <si>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</si>
  <si>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</si>
  <si>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</si>
  <si>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</si>
  <si>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</si>
  <si>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</si>
  <si>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</si>
  <si>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</si>
  <si>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</si>
  <si>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</si>
  <si>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</si>
  <si>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</si>
  <si>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</si>
  <si>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</si>
  <si>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</si>
  <si>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</si>
  <si>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</si>
  <si>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</si>
  <si>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</si>
  <si>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</si>
  <si>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</si>
  <si>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</si>
  <si>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</si>
  <si>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</si>
  <si>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</si>
  <si>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</si>
  <si>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</si>
  <si>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</si>
  <si>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</si>
  <si>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</si>
  <si>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</si>
  <si>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</si>
  <si>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</si>
  <si>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</si>
  <si>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</si>
  <si>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</si>
  <si>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</si>
  <si>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</si>
  <si>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</si>
  <si>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</si>
  <si>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</si>
  <si>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</si>
  <si>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</si>
  <si>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</si>
  <si>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</si>
  <si>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</si>
  <si>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</si>
  <si>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</si>
  <si>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</si>
  <si>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</si>
  <si>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</si>
  <si>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</si>
  <si>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</si>
  <si>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</si>
  <si>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</si>
  <si>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</si>
  <si>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</si>
  <si>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</si>
  <si>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</si>
  <si>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</si>
  <si>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</si>
  <si>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</si>
  <si>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</si>
  <si>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</si>
  <si>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</si>
  <si>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</si>
  <si>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</si>
  <si>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</si>
  <si>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</si>
  <si>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</si>
  <si>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</si>
  <si>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</si>
  <si>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</si>
  <si>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</si>
  <si>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</si>
  <si>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</si>
  <si>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</si>
  <si>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</si>
  <si>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</si>
  <si>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</si>
  <si>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</si>
  <si>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</si>
  <si>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</si>
  <si>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</si>
  <si>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</si>
  <si>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</si>
  <si>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</si>
  <si>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</si>
  <si>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</si>
  <si>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</si>
  <si>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</si>
  <si>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</si>
  <si>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</si>
  <si>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</si>
  <si>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</si>
  <si>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</si>
  <si>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</si>
  <si>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</si>
  <si>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</si>
  <si>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</si>
  <si>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</si>
  <si>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</si>
  <si>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</si>
  <si>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</si>
  <si>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</si>
  <si>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</si>
  <si>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</si>
  <si>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</si>
  <si>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</si>
  <si>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</si>
  <si>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</si>
  <si>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</si>
  <si>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</si>
  <si>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</si>
  <si>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</si>
  <si>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</si>
  <si>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</si>
  <si>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</si>
  <si>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</si>
  <si>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</si>
  <si>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</si>
  <si>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</si>
  <si>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</si>
  <si>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</si>
  <si>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</si>
  <si>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</si>
  <si>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</si>
  <si>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</si>
  <si>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</si>
  <si>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</si>
  <si>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</si>
  <si>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</si>
  <si>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</si>
  <si>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</si>
  <si>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</si>
  <si>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</si>
  <si>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</si>
  <si>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</si>
  <si>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</si>
  <si>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</si>
  <si>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</si>
  <si>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</si>
  <si>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</si>
  <si>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</si>
  <si>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</si>
  <si>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</si>
  <si>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</si>
  <si>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</si>
  <si>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</si>
  <si>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</si>
  <si>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</si>
  <si>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</si>
  <si>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</si>
  <si>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</si>
  <si>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</si>
  <si>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</si>
  <si>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</si>
  <si>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</si>
  <si>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</si>
  <si>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</si>
  <si>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</si>
  <si>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</si>
  <si>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</si>
  <si>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</si>
  <si>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</si>
  <si>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</si>
  <si>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</si>
  <si>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</si>
  <si>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</si>
  <si>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</si>
  <si>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</si>
  <si>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</si>
  <si>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</si>
  <si>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</si>
  <si>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</si>
  <si>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</si>
  <si>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</si>
  <si>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</si>
  <si>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</si>
  <si>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</si>
  <si>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</si>
  <si>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</si>
  <si>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</si>
  <si>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</si>
  <si>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</si>
  <si>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</si>
  <si>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</si>
  <si>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</si>
  <si>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</si>
  <si>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</si>
  <si>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</si>
  <si>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</si>
  <si>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</si>
  <si>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</si>
  <si>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</si>
  <si>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</si>
  <si>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</si>
  <si>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</si>
  <si>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</si>
  <si>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</si>
  <si>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</si>
  <si>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</si>
  <si>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</si>
  <si>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</si>
  <si>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</si>
  <si>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</si>
  <si>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</si>
  <si>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</si>
  <si>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</si>
  <si>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</si>
  <si>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</si>
  <si>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</si>
  <si>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</si>
  <si>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</si>
  <si>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</si>
  <si>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</si>
  <si>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</si>
  <si>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</si>
  <si>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</si>
  <si>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</si>
  <si>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</si>
  <si>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</si>
  <si>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</si>
  <si>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</si>
  <si>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</si>
  <si>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</si>
  <si>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</si>
  <si>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</si>
  <si>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</si>
  <si>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</si>
  <si>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</si>
  <si>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</si>
  <si>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</si>
  <si>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</si>
  <si>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</si>
  <si>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</si>
  <si>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</si>
  <si>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</si>
  <si>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</si>
  <si>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</si>
  <si>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</si>
  <si>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</si>
  <si>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</si>
  <si>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</si>
  <si>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</si>
  <si>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</si>
  <si>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</si>
  <si>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</si>
  <si>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</si>
  <si>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</si>
  <si>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</si>
  <si>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</si>
  <si>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</si>
  <si>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</si>
  <si>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</si>
  <si>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</si>
  <si>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</si>
  <si>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</si>
  <si>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</si>
  <si>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</si>
  <si>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</si>
  <si>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</si>
  <si>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</si>
  <si>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</si>
  <si>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</si>
  <si>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</si>
  <si>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</si>
  <si>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</si>
  <si>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</si>
  <si>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</si>
  <si>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</si>
  <si>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</si>
  <si>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</si>
  <si>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</si>
  <si>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</si>
  <si>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</si>
  <si>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</si>
  <si>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</si>
  <si>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</si>
  <si>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</si>
  <si>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</si>
  <si>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</si>
  <si>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</si>
  <si>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</si>
  <si>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</si>
  <si>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</si>
  <si>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</si>
  <si>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</si>
  <si>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</si>
  <si>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</si>
  <si>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</si>
  <si>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</si>
  <si>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</si>
  <si>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</si>
  <si>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</si>
  <si>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</si>
  <si>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</si>
  <si>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</si>
  <si>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</si>
  <si>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</si>
  <si>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</si>
  <si>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</si>
  <si>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</si>
  <si>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</si>
  <si>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</si>
  <si>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</si>
  <si>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</si>
  <si>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</si>
  <si>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</si>
  <si>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</si>
  <si>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</si>
  <si>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</si>
  <si>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</si>
  <si>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</si>
  <si>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</si>
  <si>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</si>
  <si>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</si>
  <si>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</si>
  <si>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</si>
  <si>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</si>
  <si>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</si>
  <si>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</si>
  <si>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</si>
  <si>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</si>
  <si>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</si>
  <si>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</si>
  <si>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</si>
  <si>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</si>
  <si>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</si>
  <si>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</si>
  <si>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</si>
  <si>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</si>
  <si>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</si>
  <si>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</si>
  <si>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</si>
  <si>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</si>
  <si>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</si>
  <si>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</si>
  <si>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</si>
  <si>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</si>
  <si>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</si>
  <si>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</si>
  <si>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</si>
  <si>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</si>
  <si>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</si>
  <si>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</si>
  <si>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</si>
  <si>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</si>
  <si>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</si>
  <si>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</si>
  <si>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</si>
  <si>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</si>
  <si>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</si>
  <si>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</si>
  <si>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</si>
  <si>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</si>
  <si>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</si>
  <si>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</si>
  <si>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</si>
  <si>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</si>
  <si>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</si>
  <si>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</si>
  <si>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</si>
  <si>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</si>
  <si>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</si>
  <si>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</si>
  <si>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</si>
  <si>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</si>
  <si>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</si>
  <si>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</si>
  <si>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</si>
  <si>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</si>
  <si>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</si>
  <si>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</si>
  <si>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</si>
  <si>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</si>
  <si>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</si>
  <si>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</si>
  <si>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</si>
  <si>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</si>
  <si>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</si>
  <si>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</si>
  <si>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</si>
  <si>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</si>
  <si>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</si>
  <si>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</si>
  <si>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</si>
  <si>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</si>
  <si>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</si>
  <si>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</si>
  <si>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</si>
  <si>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</si>
  <si>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</si>
  <si>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</si>
  <si>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</si>
  <si>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</si>
  <si>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</si>
  <si>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</si>
  <si>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</si>
  <si>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</si>
  <si>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</si>
  <si>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</si>
  <si>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</si>
  <si>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</si>
  <si>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</si>
  <si>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</si>
  <si>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</si>
  <si>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</si>
  <si>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</si>
  <si>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</si>
  <si>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</si>
  <si>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</si>
  <si>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</si>
  <si>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</si>
  <si>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</si>
  <si>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</si>
  <si>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</si>
  <si>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</si>
  <si>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</si>
  <si>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</si>
  <si>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</si>
  <si>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</si>
  <si>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</si>
  <si>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</si>
  <si>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</si>
  <si>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</si>
  <si>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</si>
  <si>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</si>
  <si>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</si>
  <si>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</si>
  <si>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</si>
  <si>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</si>
  <si>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</si>
  <si>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</si>
  <si>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</si>
  <si>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</si>
  <si>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</si>
  <si>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</si>
  <si>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</si>
  <si>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</si>
  <si>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</si>
  <si>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</si>
  <si>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</si>
  <si>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</si>
  <si>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</si>
  <si>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</si>
  <si>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</si>
  <si>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</si>
  <si>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</si>
  <si>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</si>
  <si>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</si>
  <si>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</si>
  <si>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</si>
  <si>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</si>
  <si>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</si>
  <si>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</si>
  <si>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</si>
  <si>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</si>
  <si>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</si>
  <si>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</si>
  <si>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</si>
  <si>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</si>
  <si>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</si>
  <si>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</si>
  <si>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</si>
  <si>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</si>
  <si>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</si>
  <si>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</si>
  <si>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</si>
  <si>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</si>
  <si>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</si>
  <si>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</si>
  <si>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</si>
  <si>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</si>
  <si>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</si>
  <si>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</si>
  <si>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</si>
  <si>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</si>
  <si>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</si>
  <si>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</si>
  <si>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</si>
  <si>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</si>
  <si>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</si>
  <si>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</si>
  <si>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</si>
  <si>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</si>
  <si>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</si>
  <si>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</si>
  <si>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</si>
  <si>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</si>
  <si>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</si>
  <si>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</si>
  <si>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</si>
  <si>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</si>
  <si>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</si>
  <si>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</si>
  <si>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</si>
  <si>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</si>
  <si>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</si>
  <si>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</si>
  <si>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</si>
  <si>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</si>
  <si>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</si>
  <si>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</si>
  <si>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</si>
  <si>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</si>
  <si>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</si>
  <si>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</si>
  <si>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</si>
  <si>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</si>
  <si>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</si>
  <si>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</si>
  <si>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</si>
  <si>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</si>
  <si>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</si>
  <si>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</si>
  <si>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</si>
  <si>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</si>
  <si>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</si>
  <si>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</si>
  <si>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</si>
  <si>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</si>
  <si>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</si>
  <si>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</si>
  <si>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</si>
  <si>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</si>
  <si>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</si>
  <si>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</si>
  <si>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</si>
  <si>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</si>
  <si>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</si>
  <si>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</si>
  <si>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</si>
  <si>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</si>
  <si>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</si>
  <si>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</si>
  <si>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</si>
  <si>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</si>
  <si>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</si>
  <si>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</si>
  <si>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</si>
  <si>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</si>
  <si>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</si>
  <si>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</si>
  <si>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</si>
  <si>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</si>
  <si>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</si>
  <si>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</si>
  <si>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</si>
  <si>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</si>
  <si>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</si>
  <si>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</si>
  <si>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</si>
  <si>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</si>
  <si>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</si>
  <si>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</si>
  <si>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</si>
  <si>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</si>
  <si>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</si>
  <si>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</si>
  <si>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</si>
  <si>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</si>
  <si>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</si>
  <si>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</si>
  <si>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</si>
  <si>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</si>
  <si>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</si>
  <si>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</si>
  <si>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</si>
  <si>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</si>
  <si>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</si>
  <si>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</si>
  <si>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</si>
  <si>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</si>
  <si>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</si>
  <si>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</si>
  <si>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</si>
  <si>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</si>
  <si>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</si>
  <si>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</si>
  <si>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</si>
  <si>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</si>
  <si>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</si>
  <si>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</si>
  <si>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</si>
  <si>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</si>
  <si>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</si>
  <si>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</si>
  <si>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</si>
  <si>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</si>
  <si>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</si>
  <si>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</si>
  <si>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</si>
  <si>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</si>
  <si>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</si>
  <si>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</si>
  <si>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</si>
  <si>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</si>
  <si>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</si>
  <si>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</si>
  <si>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</si>
  <si>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</si>
  <si>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</si>
  <si>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</si>
  <si>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</si>
  <si>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</si>
  <si>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</si>
  <si>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</si>
  <si>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</si>
  <si>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</si>
  <si>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</si>
  <si>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</si>
  <si>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</si>
  <si>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</si>
  <si>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</si>
  <si>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</si>
  <si>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</si>
  <si>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</si>
  <si>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</si>
  <si>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</si>
  <si>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</si>
  <si>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</si>
  <si>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</si>
  <si>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</si>
  <si>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</si>
  <si>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</si>
  <si>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</si>
  <si>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</si>
  <si>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</si>
  <si>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</si>
  <si>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</si>
  <si>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</si>
  <si>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</si>
  <si>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</si>
  <si>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</si>
  <si>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</si>
  <si>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</si>
  <si>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</si>
  <si>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</si>
  <si>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</si>
  <si>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</si>
  <si>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</si>
  <si>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</si>
  <si>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</si>
  <si>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</si>
  <si>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</si>
  <si>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</si>
  <si>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</si>
  <si>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</si>
  <si>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</si>
  <si>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</si>
  <si>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</si>
  <si>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</si>
  <si>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</si>
  <si>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</si>
  <si>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</si>
  <si>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</si>
  <si>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</si>
  <si>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</si>
  <si>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</si>
  <si>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</si>
  <si>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</si>
  <si>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</si>
  <si>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</si>
  <si>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</si>
  <si>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</si>
  <si>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</si>
  <si>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</si>
  <si>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</si>
  <si>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</si>
  <si>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</si>
  <si>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</si>
  <si>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</si>
  <si>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</si>
  <si>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</si>
  <si>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</si>
  <si>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</si>
  <si>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</si>
  <si>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</si>
  <si>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</si>
  <si>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</si>
  <si>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</si>
  <si>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</si>
  <si>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</si>
  <si>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</si>
  <si>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</si>
  <si>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</si>
  <si>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</si>
  <si>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</si>
  <si>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</si>
  <si>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</si>
  <si>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</si>
  <si>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</si>
  <si>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</si>
  <si>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</si>
  <si>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</si>
  <si>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</si>
  <si>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</si>
  <si>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</si>
  <si>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</si>
  <si>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</si>
  <si>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</si>
  <si>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</si>
  <si>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</si>
  <si>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</si>
  <si>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</si>
  <si>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</si>
  <si>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</si>
  <si>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</si>
  <si>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</si>
  <si>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</si>
  <si>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</si>
  <si>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</si>
  <si>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</si>
  <si>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</si>
  <si>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</si>
  <si>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</si>
  <si>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</si>
  <si>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</si>
  <si>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</si>
  <si>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</si>
  <si>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</si>
  <si>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</si>
  <si>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</si>
  <si>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</si>
  <si>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</si>
  <si>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</si>
  <si>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</si>
  <si>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</si>
  <si>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</si>
  <si>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</si>
  <si>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</si>
  <si>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</si>
  <si>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</si>
  <si>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</si>
  <si>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</si>
  <si>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</si>
  <si>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</si>
  <si>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</si>
  <si>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</si>
  <si>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</si>
  <si>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</si>
  <si>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</si>
  <si>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</si>
  <si>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</si>
  <si>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</si>
  <si>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</si>
  <si>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</si>
  <si>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</si>
  <si>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</si>
  <si>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</si>
  <si>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</si>
  <si>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</si>
  <si>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</si>
  <si>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</si>
  <si>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</si>
  <si>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</si>
  <si>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</si>
  <si>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</si>
  <si>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</si>
  <si>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</si>
  <si>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</si>
  <si>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</si>
  <si>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</si>
  <si>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</si>
  <si>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</si>
  <si>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</si>
  <si>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</si>
  <si>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</si>
  <si>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</si>
  <si>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</si>
  <si>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</si>
  <si>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</si>
  <si>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</si>
  <si>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</si>
  <si>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</si>
  <si>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</si>
  <si>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</si>
  <si>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</si>
  <si>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</si>
  <si>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</si>
  <si>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</si>
  <si>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</si>
  <si>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</si>
  <si>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</si>
  <si>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</si>
  <si>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</si>
  <si>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</si>
  <si>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</si>
  <si>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</si>
  <si>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</si>
  <si>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</si>
  <si>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</si>
  <si>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</si>
  <si>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</si>
  <si>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</si>
  <si>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</si>
  <si>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</si>
  <si>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</si>
  <si>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</si>
  <si>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</si>
  <si>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</si>
  <si>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</si>
  <si>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</si>
  <si>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</si>
  <si>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</si>
  <si>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</si>
  <si>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</si>
  <si>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</si>
  <si>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</si>
  <si>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</si>
  <si>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</si>
  <si>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</si>
  <si>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</si>
  <si>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</si>
  <si>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</si>
  <si>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</si>
  <si>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</si>
  <si>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</si>
  <si>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</si>
  <si>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</si>
  <si>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</si>
  <si>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</si>
  <si>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</si>
  <si>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</si>
  <si>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</si>
  <si>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</si>
  <si>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</si>
  <si>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</si>
  <si>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</si>
  <si>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</si>
  <si>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</si>
  <si>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</si>
  <si>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</si>
  <si>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</si>
  <si>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</si>
  <si>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</si>
  <si>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</si>
  <si>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</si>
  <si>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</si>
  <si>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</si>
  <si>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</si>
  <si>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</si>
  <si>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</si>
  <si>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</si>
  <si>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</si>
  <si>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</si>
  <si>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</si>
  <si>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</si>
  <si>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</si>
  <si>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</si>
  <si>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</si>
  <si>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</si>
  <si>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</si>
  <si>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</si>
  <si>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</si>
  <si>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</si>
  <si>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</si>
  <si>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</si>
  <si>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</si>
  <si>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</si>
  <si>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</si>
  <si>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</si>
  <si>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</si>
  <si>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</si>
  <si>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</si>
  <si>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</si>
  <si>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</si>
  <si>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</si>
  <si>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</si>
  <si>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</si>
  <si>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</si>
  <si>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</si>
  <si>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</si>
  <si>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</si>
  <si>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</si>
  <si>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</si>
  <si>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</si>
  <si>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</si>
  <si>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</si>
  <si>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</si>
  <si>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</si>
  <si>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</si>
  <si>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</si>
  <si>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</si>
  <si>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</si>
  <si>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</si>
  <si>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</si>
  <si>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</si>
  <si>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</si>
  <si>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</si>
  <si>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</si>
  <si>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</si>
  <si>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</si>
  <si>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</si>
  <si>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</si>
  <si>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</si>
  <si>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</si>
  <si>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</si>
  <si>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</si>
  <si>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</si>
  <si>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</si>
  <si>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</si>
  <si>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</si>
  <si>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</si>
  <si>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</si>
  <si>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</si>
  <si>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</si>
  <si>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</si>
  <si>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</si>
  <si>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</si>
  <si>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</si>
  <si>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</si>
  <si>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</si>
  <si>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</si>
  <si>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</si>
  <si>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</si>
  <si>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</si>
  <si>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</si>
  <si>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</si>
  <si>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</si>
  <si>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</si>
  <si>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</si>
  <si>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</si>
  <si>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</si>
  <si>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</si>
  <si>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</si>
  <si>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</si>
  <si>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</si>
  <si>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</si>
  <si>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</si>
  <si>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</si>
  <si>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</si>
  <si>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</si>
  <si>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</si>
  <si>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</si>
  <si>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</si>
  <si>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</si>
  <si>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</si>
  <si>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</si>
  <si>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</si>
  <si>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</si>
  <si>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</si>
  <si>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</si>
  <si>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</si>
  <si>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</si>
  <si>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</si>
  <si>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</si>
  <si>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</si>
  <si>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</si>
  <si>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</si>
  <si>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</si>
  <si>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</si>
  <si>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</si>
  <si>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</si>
  <si>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</si>
  <si>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</si>
  <si>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</si>
  <si>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</si>
  <si>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</si>
  <si>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</si>
  <si>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</si>
  <si>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</si>
  <si>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</si>
  <si>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</si>
  <si>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</si>
  <si>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</si>
  <si>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</si>
  <si>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</si>
  <si>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</si>
  <si>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</si>
  <si>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</si>
  <si>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</si>
  <si>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</si>
  <si>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</si>
  <si>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</si>
  <si>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</si>
  <si>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</si>
  <si>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</si>
  <si>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</si>
  <si>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</si>
  <si>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</si>
  <si>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</si>
  <si>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</si>
  <si>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</si>
  <si>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</si>
  <si>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</si>
  <si>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</si>
  <si>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</si>
  <si>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</si>
  <si>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</si>
  <si>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</si>
  <si>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</si>
  <si>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</si>
  <si>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</si>
  <si>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</si>
  <si>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</si>
  <si>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</si>
  <si>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</si>
  <si>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</si>
  <si>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</si>
  <si>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</si>
  <si>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</si>
  <si>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</si>
  <si>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</si>
  <si>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</si>
  <si>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</si>
  <si>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</si>
  <si>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</si>
  <si>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</si>
  <si>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</si>
  <si>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</si>
  <si>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</si>
  <si>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</si>
  <si>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</si>
  <si>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</si>
  <si>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</si>
  <si>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</si>
  <si>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</si>
  <si>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</si>
  <si>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</si>
  <si>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</si>
  <si>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</si>
  <si>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</si>
  <si>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</si>
  <si>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</si>
  <si>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</si>
  <si>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</si>
  <si>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</si>
  <si>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</si>
  <si>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</si>
  <si>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</si>
  <si>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</si>
  <si>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</si>
  <si>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</si>
  <si>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</si>
  <si>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</si>
  <si>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</si>
  <si>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</si>
  <si>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</si>
  <si>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</si>
  <si>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</si>
  <si>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</si>
  <si>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</si>
  <si>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</si>
  <si>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</si>
  <si>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</si>
  <si>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</si>
  <si>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</si>
  <si>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</si>
  <si>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</si>
  <si>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</si>
  <si>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</si>
  <si>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</si>
  <si>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</si>
  <si>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</si>
  <si>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</si>
  <si>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</si>
  <si>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</si>
  <si>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</si>
  <si>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</si>
  <si>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</si>
  <si>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</si>
  <si>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</si>
  <si>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</si>
  <si>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</si>
  <si>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</si>
  <si>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</si>
  <si>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</si>
  <si>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</si>
  <si>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</si>
  <si>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</si>
  <si>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</si>
  <si>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</si>
  <si>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</si>
  <si>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</si>
  <si>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</si>
  <si>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</si>
  <si>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</si>
  <si>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</si>
  <si>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</si>
  <si>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</si>
  <si>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</si>
  <si>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</si>
  <si>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</si>
  <si>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</si>
  <si>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</si>
  <si>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</si>
  <si>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</si>
  <si>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</si>
  <si>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</si>
  <si>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</si>
  <si>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</si>
  <si>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</si>
  <si>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</si>
  <si>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</si>
  <si>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</si>
  <si>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</si>
  <si>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</si>
  <si>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</si>
  <si>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</si>
  <si>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</si>
  <si>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</si>
  <si>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</si>
  <si>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</si>
  <si>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</si>
  <si>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</si>
  <si>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</si>
  <si>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</si>
  <si>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</si>
  <si>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</si>
  <si>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</si>
  <si>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</si>
  <si>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</si>
  <si>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</si>
  <si>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</si>
  <si>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</si>
  <si>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</si>
  <si>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</si>
  <si>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</si>
  <si>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</si>
  <si>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</si>
  <si>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</si>
  <si>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</si>
  <si>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</si>
  <si>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</si>
  <si>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</si>
  <si>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</si>
  <si>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</si>
  <si>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</si>
  <si>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</si>
  <si>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</si>
  <si>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</si>
  <si>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</si>
  <si>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</si>
  <si>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</si>
  <si>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</si>
  <si>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</si>
  <si>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</si>
  <si>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</si>
  <si>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</si>
  <si>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</si>
  <si>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</si>
  <si>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</si>
  <si>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</si>
  <si>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</si>
  <si>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</si>
  <si>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</si>
  <si>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</si>
  <si>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</si>
  <si>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</si>
  <si>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</si>
  <si>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</si>
  <si>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</si>
  <si>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</si>
  <si>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</si>
  <si>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</si>
  <si>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</si>
  <si>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</si>
  <si>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</si>
  <si>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</si>
  <si>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</si>
  <si>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</si>
  <si>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</si>
  <si>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</si>
  <si>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</si>
  <si>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</si>
  <si>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</si>
  <si>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</si>
  <si>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</si>
  <si>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</si>
  <si>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</si>
  <si>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</si>
  <si>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</si>
  <si>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</si>
  <si>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</si>
  <si>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</si>
  <si>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</si>
  <si>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</si>
  <si>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</si>
  <si>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</si>
  <si>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</si>
  <si>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</si>
  <si>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</si>
  <si>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</si>
  <si>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</si>
  <si>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</si>
  <si>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</si>
  <si>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</si>
  <si>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</si>
  <si>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</si>
  <si>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</si>
  <si>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</si>
  <si>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</si>
  <si>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</si>
  <si>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</si>
  <si>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</si>
  <si>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</si>
  <si>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</si>
  <si>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</si>
  <si>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</si>
  <si>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</si>
  <si>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</si>
  <si>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</si>
  <si>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</si>
  <si>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</si>
  <si>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</si>
  <si>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</si>
  <si>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</si>
  <si>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</si>
  <si>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</si>
  <si>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</si>
  <si>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</si>
  <si>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</si>
  <si>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</si>
  <si>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</si>
  <si>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</si>
  <si>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</si>
  <si>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</si>
  <si>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</si>
  <si>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</si>
  <si>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</si>
  <si>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</si>
  <si>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</si>
  <si>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</si>
  <si>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</si>
  <si>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</si>
  <si>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</si>
  <si>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</si>
  <si>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</si>
  <si>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</si>
  <si>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</si>
  <si>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</si>
  <si>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</si>
  <si>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</si>
  <si>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</si>
  <si>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</si>
  <si>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</si>
  <si>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</si>
  <si>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</si>
  <si>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</si>
  <si>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</si>
  <si>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</si>
  <si>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</si>
  <si>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</si>
  <si>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</si>
  <si>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</si>
  <si>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</si>
  <si>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</si>
  <si>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</si>
  <si>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</si>
  <si>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</si>
  <si>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</si>
  <si>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</si>
  <si>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</si>
  <si>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</si>
  <si>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</si>
  <si>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</si>
  <si>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</si>
  <si>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</si>
  <si>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</si>
  <si>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</si>
  <si>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</si>
  <si>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</si>
  <si>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</si>
  <si>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</si>
  <si>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</si>
  <si>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</si>
  <si>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</si>
  <si>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</si>
  <si>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</si>
  <si>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</si>
  <si>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</si>
  <si>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</si>
  <si>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</si>
  <si>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</si>
  <si>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</si>
  <si>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</si>
  <si>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</si>
  <si>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</si>
  <si>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</si>
  <si>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</si>
  <si>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</si>
  <si>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</si>
  <si>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</si>
  <si>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</si>
  <si>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</si>
  <si>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</si>
  <si>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</si>
  <si>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</si>
  <si>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</si>
  <si>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</si>
  <si>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</si>
  <si>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</si>
  <si>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</si>
  <si>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</si>
  <si>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</si>
  <si>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</si>
  <si>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</si>
  <si>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</si>
  <si>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</si>
  <si>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</si>
  <si>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</si>
  <si>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</si>
  <si>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</si>
  <si>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</si>
  <si>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</si>
  <si>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</si>
  <si>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</si>
  <si>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</si>
  <si>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</si>
  <si>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</si>
  <si>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</si>
  <si>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</si>
  <si>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</si>
  <si>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</si>
  <si>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</si>
  <si>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</si>
  <si>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</si>
  <si>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</si>
  <si>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</si>
  <si>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</si>
  <si>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</si>
  <si>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</si>
  <si>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</si>
  <si>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</si>
  <si>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</si>
  <si>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</si>
  <si>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</si>
  <si>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</si>
  <si>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</si>
  <si>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</si>
  <si>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</si>
  <si>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</si>
  <si>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</si>
  <si>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</si>
  <si>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</si>
  <si>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</si>
  <si>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</si>
  <si>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</si>
  <si>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</si>
  <si>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</si>
  <si>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</si>
  <si>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</si>
  <si>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</si>
  <si>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</si>
  <si>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</si>
  <si>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</si>
  <si>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</si>
  <si>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</si>
  <si>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</si>
  <si>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</si>
  <si>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</si>
  <si>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</si>
  <si>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</si>
  <si>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</si>
  <si>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</si>
  <si>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</si>
  <si>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</si>
  <si>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</si>
  <si>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</si>
  <si>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</si>
  <si>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</si>
  <si>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</si>
  <si>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</si>
  <si>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</si>
  <si>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</si>
  <si>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</si>
  <si>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</si>
  <si>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</si>
  <si>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</si>
  <si>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</si>
  <si>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</si>
  <si>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</si>
  <si>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</si>
  <si>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</si>
  <si>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</si>
  <si>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</si>
  <si>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</si>
  <si>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</si>
  <si>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</si>
  <si>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</si>
  <si>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</si>
  <si>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</si>
  <si>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</si>
  <si>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</si>
  <si>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</si>
  <si>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</si>
  <si>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</si>
  <si>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</si>
  <si>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</si>
  <si>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</si>
  <si>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</si>
  <si>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</si>
  <si>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</si>
  <si>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</si>
  <si>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</si>
  <si>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</si>
  <si>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</si>
  <si>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</si>
  <si>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</si>
  <si>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</si>
  <si>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</si>
  <si>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</si>
  <si>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</si>
  <si>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</si>
  <si>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</si>
  <si>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</si>
  <si>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</si>
  <si>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</si>
  <si>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</si>
  <si>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</si>
  <si>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</si>
  <si>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</si>
  <si>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</si>
  <si>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</si>
  <si>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</si>
  <si>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</si>
  <si>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</si>
  <si>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</si>
  <si>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</si>
  <si>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</si>
  <si>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</si>
  <si>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</si>
  <si>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</si>
  <si>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</si>
  <si>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</si>
  <si>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</si>
  <si>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</si>
  <si>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</si>
  <si>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</si>
  <si>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</si>
  <si>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</si>
  <si>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</si>
  <si>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</si>
  <si>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</si>
  <si>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</si>
  <si>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</si>
  <si>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</si>
  <si>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</si>
  <si>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</si>
  <si>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</si>
  <si>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</si>
  <si>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</si>
  <si>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</si>
  <si>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</si>
  <si>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</si>
  <si>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</si>
  <si>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</si>
  <si>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</si>
  <si>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</si>
  <si>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</si>
  <si>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</si>
  <si>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</si>
  <si>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</si>
  <si>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</si>
  <si>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</si>
  <si>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</si>
  <si>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</si>
  <si>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</si>
  <si>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</si>
  <si>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</si>
  <si>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</si>
  <si>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</si>
  <si>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</si>
  <si>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</si>
  <si>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</si>
  <si>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</si>
  <si>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</si>
  <si>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</si>
  <si>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</si>
  <si>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</si>
  <si>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</si>
  <si>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</si>
  <si>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</si>
  <si>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</si>
  <si>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</si>
  <si>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</si>
  <si>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</si>
  <si>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</si>
  <si>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</si>
  <si>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</si>
  <si>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</si>
  <si>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</si>
  <si>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</si>
  <si>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</si>
  <si>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</si>
  <si>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</si>
  <si>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</si>
  <si>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</si>
  <si>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</si>
  <si>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</si>
  <si>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</si>
  <si>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</si>
  <si>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</si>
  <si>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</si>
  <si>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</si>
  <si>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</si>
  <si>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</si>
  <si>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</si>
  <si>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</si>
  <si>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</si>
  <si>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</si>
  <si>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</si>
  <si>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</si>
  <si>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</si>
  <si>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</si>
  <si>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</si>
  <si>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</si>
  <si>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</si>
  <si>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</si>
  <si>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</si>
  <si>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</si>
  <si>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</si>
  <si>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</si>
  <si>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</si>
  <si>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</si>
  <si>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</si>
  <si>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</si>
  <si>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</si>
  <si>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</si>
  <si>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</si>
  <si>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</si>
  <si>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</si>
  <si>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</si>
  <si>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</si>
  <si>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</si>
  <si>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</si>
  <si>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</si>
  <si>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</si>
  <si>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</si>
  <si>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</si>
  <si>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</si>
  <si>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</si>
  <si>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</si>
  <si>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</si>
  <si>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</si>
  <si>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</si>
  <si>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</si>
  <si>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</si>
  <si>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</si>
  <si>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</si>
  <si>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</si>
  <si>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</si>
  <si>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</si>
  <si>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</si>
  <si>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</si>
  <si>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</si>
  <si>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</si>
  <si>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</si>
  <si>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</si>
  <si>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</si>
  <si>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</si>
  <si>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</si>
  <si>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</si>
  <si>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</si>
  <si>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</si>
  <si>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</si>
  <si>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</si>
  <si>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</si>
  <si>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</si>
  <si>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</si>
  <si>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</si>
  <si>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</si>
  <si>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</si>
  <si>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</si>
  <si>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</si>
  <si>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</si>
  <si>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</si>
  <si>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</si>
  <si>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</si>
  <si>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</si>
  <si>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</si>
  <si>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</si>
  <si>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</si>
  <si>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</si>
  <si>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</si>
  <si>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</si>
  <si>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</si>
  <si>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</si>
  <si>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</si>
  <si>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</si>
  <si>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</si>
  <si>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</si>
  <si>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</si>
  <si>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</si>
  <si>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</si>
  <si>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</si>
  <si>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</si>
  <si>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</si>
  <si>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</si>
  <si>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</si>
  <si>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</si>
  <si>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</si>
  <si>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</si>
  <si>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</si>
  <si>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</si>
  <si>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</si>
  <si>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</si>
  <si>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</si>
  <si>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</si>
  <si>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</si>
  <si>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</si>
  <si>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</si>
  <si>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</si>
  <si>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</si>
  <si>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</si>
  <si>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</si>
  <si>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</si>
  <si>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</si>
  <si>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</si>
  <si>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</si>
  <si>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</si>
  <si>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</si>
  <si>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</si>
  <si>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</si>
  <si>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</si>
  <si>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</si>
  <si>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</si>
  <si>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</si>
  <si>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</si>
  <si>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</si>
  <si>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</si>
  <si>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</si>
  <si>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</si>
  <si>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</si>
  <si>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</si>
  <si>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</si>
  <si>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</si>
  <si>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</si>
  <si>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</si>
  <si>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</si>
  <si>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</si>
  <si>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</si>
  <si>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</si>
  <si>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</si>
  <si>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</si>
  <si>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</si>
  <si>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</si>
  <si>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</si>
  <si>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</si>
  <si>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</si>
  <si>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</si>
  <si>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</si>
  <si>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</si>
  <si>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</si>
  <si>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</si>
  <si>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</si>
  <si>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</si>
  <si>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</si>
  <si>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</si>
  <si>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</si>
  <si>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</si>
  <si>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</si>
  <si>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</si>
  <si>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</si>
  <si>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</si>
  <si>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</si>
  <si>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</si>
  <si>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</si>
  <si>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</si>
  <si>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</si>
  <si>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</si>
  <si>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</si>
  <si>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</si>
  <si>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</si>
  <si>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</si>
  <si>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</si>
  <si>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</si>
  <si>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</si>
  <si>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</si>
  <si>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</si>
  <si>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</si>
  <si>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</si>
  <si>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</si>
  <si>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</si>
  <si>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</si>
  <si>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</si>
  <si>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</si>
  <si>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</si>
  <si>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</si>
  <si>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</si>
  <si>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</si>
  <si>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</si>
  <si>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</si>
  <si>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</si>
  <si>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</si>
  <si>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</si>
  <si>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</si>
  <si>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</si>
  <si>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</si>
  <si>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</si>
  <si>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</si>
  <si>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</si>
  <si>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</si>
  <si>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</si>
  <si>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</si>
  <si>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</si>
  <si>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</si>
  <si>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</si>
  <si>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</si>
  <si>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</si>
  <si>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</si>
  <si>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</si>
  <si>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</si>
  <si>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</si>
  <si>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</si>
  <si>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</si>
  <si>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</si>
  <si>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</si>
  <si>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</si>
  <si>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</si>
  <si>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</si>
  <si>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</si>
  <si>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</si>
  <si>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</si>
  <si>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</si>
  <si>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</si>
  <si>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</si>
  <si>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</si>
  <si>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</si>
  <si>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</si>
  <si>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</si>
  <si>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</si>
  <si>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</si>
  <si>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</si>
  <si>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</si>
  <si>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</si>
  <si>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</si>
  <si>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</si>
  <si>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</si>
  <si>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</si>
  <si>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</si>
  <si>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</si>
  <si>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</si>
  <si>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</si>
  <si>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</si>
  <si>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</si>
  <si>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</si>
  <si>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</si>
  <si>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</si>
  <si>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</si>
  <si>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</si>
  <si>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</si>
  <si>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</si>
  <si>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</si>
  <si>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</si>
  <si>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</si>
  <si>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</si>
  <si>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</si>
  <si>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</si>
  <si>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</si>
  <si>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</si>
  <si>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</si>
  <si>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</si>
  <si>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</si>
  <si>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</si>
  <si>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</si>
  <si>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</si>
  <si>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</si>
  <si>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</si>
  <si>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</si>
  <si>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</si>
  <si>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</si>
  <si>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</si>
  <si>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</si>
  <si>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</si>
  <si>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</si>
  <si>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</si>
  <si>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</si>
  <si>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</si>
  <si>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</si>
  <si>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</si>
  <si>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</si>
  <si>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</si>
  <si>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</si>
  <si>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</si>
  <si>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</si>
  <si>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</si>
  <si>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</si>
  <si>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</si>
  <si>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</si>
  <si>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</si>
  <si>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</si>
  <si>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</si>
  <si>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</si>
  <si>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</si>
  <si>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</si>
  <si>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</si>
  <si>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</si>
  <si>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</si>
  <si>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</si>
  <si>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</si>
  <si>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</si>
  <si>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r>
      <rPr>
        <sz val="10"/>
        <color theme="9" tint="-0.249977111117893"/>
        <rFont val="宋体"/>
        <family val="3"/>
        <charset val="134"/>
      </rPr>
      <t>朝阳区望京街</t>
    </r>
    <r>
      <rPr>
        <sz val="10"/>
        <color theme="9" tint="-0.249977111117893"/>
        <rFont val="Arial"/>
        <family val="2"/>
      </rPr>
      <t>9</t>
    </r>
    <r>
      <rPr>
        <sz val="10"/>
        <color theme="9" tint="-0.249977111117893"/>
        <rFont val="宋体"/>
        <family val="3"/>
        <charset val="134"/>
      </rPr>
      <t>号商业楼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1025</t>
    </r>
    <phoneticPr fontId="6" type="noConversion"/>
  </si>
  <si>
    <t>王淑红</t>
    <phoneticPr fontId="6" type="noConversion"/>
  </si>
  <si>
    <t>地上</t>
  </si>
  <si>
    <t>是</t>
  </si>
  <si>
    <t>商业</t>
    <phoneticPr fontId="7" type="noConversion"/>
  </si>
  <si>
    <t>望京街道</t>
    <phoneticPr fontId="3" type="noConversion"/>
  </si>
  <si>
    <t>成新度</t>
  </si>
  <si>
    <t>收益法 (元)</t>
  </si>
  <si>
    <t>网上查询</t>
    <phoneticPr fontId="3" type="noConversion"/>
  </si>
  <si>
    <t>押一</t>
  </si>
  <si>
    <t>钢混</t>
  </si>
  <si>
    <t>非生产用房</t>
  </si>
  <si>
    <t>否</t>
  </si>
  <si>
    <t>推算土地</t>
    <phoneticPr fontId="3" type="noConversion"/>
  </si>
  <si>
    <t>商业项目</t>
  </si>
  <si>
    <t>现房</t>
  </si>
  <si>
    <t>楼面单价</t>
  </si>
  <si>
    <t>自定义</t>
  </si>
  <si>
    <t>比较法-商业</t>
  </si>
  <si>
    <t>1层内部铺</t>
    <phoneticPr fontId="134" type="noConversion"/>
  </si>
  <si>
    <t>单套模式</t>
  </si>
  <si>
    <t>售价</t>
  </si>
  <si>
    <t>正常</t>
  </si>
  <si>
    <t>商业</t>
    <phoneticPr fontId="30" type="noConversion"/>
  </si>
  <si>
    <r>
      <t>10-20</t>
    </r>
    <r>
      <rPr>
        <sz val="11"/>
        <color indexed="8"/>
        <rFont val="宋体"/>
        <family val="3"/>
        <charset val="134"/>
      </rPr>
      <t>（含）</t>
    </r>
    <phoneticPr fontId="30" type="noConversion"/>
  </si>
  <si>
    <t>较好</t>
  </si>
  <si>
    <t>东亚望京中心</t>
    <phoneticPr fontId="3" type="noConversion"/>
  </si>
  <si>
    <t>可餐饮</t>
  </si>
  <si>
    <t>可餐饮</t>
    <phoneticPr fontId="30" type="noConversion"/>
  </si>
  <si>
    <t>不可餐饮</t>
  </si>
  <si>
    <t>不可餐饮</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</si>
  <si>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</si>
  <si>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</si>
  <si>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</si>
  <si>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</si>
  <si>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挂牌价</t>
  </si>
  <si>
    <t>挂牌价</t>
    <phoneticPr fontId="30" type="noConversion"/>
  </si>
  <si>
    <t>双面临街</t>
    <phoneticPr fontId="30" type="noConversion"/>
  </si>
  <si>
    <t>单面临街</t>
    <phoneticPr fontId="30" type="noConversion"/>
  </si>
  <si>
    <t>临内部街</t>
  </si>
  <si>
    <t>临内部街</t>
    <phoneticPr fontId="30" type="noConversion"/>
  </si>
  <si>
    <t>不临街</t>
  </si>
  <si>
    <t>不临街</t>
    <phoneticPr fontId="30" type="noConversion"/>
  </si>
  <si>
    <t>好</t>
  </si>
  <si>
    <t>好</t>
    <phoneticPr fontId="30" type="noConversion"/>
  </si>
  <si>
    <t>较好</t>
    <phoneticPr fontId="30" type="noConversion"/>
  </si>
  <si>
    <t>一般</t>
  </si>
  <si>
    <t>一般</t>
    <phoneticPr fontId="30" type="noConversion"/>
  </si>
  <si>
    <t>较差</t>
    <phoneticPr fontId="30" type="noConversion"/>
  </si>
  <si>
    <t>差</t>
  </si>
  <si>
    <t>差</t>
    <phoneticPr fontId="30" type="noConversion"/>
  </si>
  <si>
    <t>大</t>
    <phoneticPr fontId="30" type="noConversion"/>
  </si>
  <si>
    <t>较大</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</si>
  <si>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</si>
  <si>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</si>
  <si>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</si>
  <si>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悠乐汇</t>
    <phoneticPr fontId="3" type="noConversion"/>
  </si>
  <si>
    <t>1层</t>
  </si>
  <si>
    <t>根据之前报告</t>
    <phoneticPr fontId="30" type="noConversion"/>
  </si>
  <si>
    <r>
      <t>20-30</t>
    </r>
    <r>
      <rPr>
        <sz val="11"/>
        <color indexed="8"/>
        <rFont val="宋体"/>
        <family val="3"/>
        <charset val="134"/>
      </rPr>
      <t>（含）</t>
    </r>
    <phoneticPr fontId="30" type="noConversion"/>
  </si>
  <si>
    <t>不临65条商业街</t>
  </si>
  <si>
    <t>与级别开发程度一致</t>
  </si>
  <si>
    <t>按公示增长率计算</t>
  </si>
  <si>
    <t>中心城区</t>
  </si>
  <si>
    <t>楼层修正</t>
  </si>
  <si>
    <t>未包含在土地购买价格中</t>
  </si>
  <si>
    <t>已包含在土地取得成本中</t>
  </si>
  <si>
    <t>https://www.xzlsd.com/m/rent_x.aspx?typeId=1&amp;proId=3746</t>
  </si>
  <si>
    <t>商业</t>
    <phoneticPr fontId="6" type="noConversion"/>
  </si>
  <si>
    <t>七通</t>
  </si>
  <si>
    <r>
      <t>5</t>
    </r>
    <r>
      <rPr>
        <sz val="11"/>
        <color theme="1"/>
        <rFont val="宋体"/>
        <family val="3"/>
        <charset val="134"/>
        <scheme val="minor"/>
      </rPr>
      <t>6.8平方米月租金1万，高时1万5</t>
    </r>
    <phoneticPr fontId="134" type="noConversion"/>
  </si>
  <si>
    <t>望京SOHO</t>
    <phoneticPr fontId="134" type="noConversion"/>
  </si>
  <si>
    <t>临内部路</t>
    <phoneticPr fontId="134" type="noConversion"/>
  </si>
  <si>
    <t>对着SOHO楼内侧</t>
    <phoneticPr fontId="134" type="noConversion"/>
  </si>
  <si>
    <t>内铺</t>
    <phoneticPr fontId="134" type="noConversion"/>
  </si>
  <si>
    <t>华鼎世家</t>
    <phoneticPr fontId="134" type="noConversion"/>
  </si>
  <si>
    <t>有围挡</t>
    <phoneticPr fontId="134" type="noConversion"/>
  </si>
  <si>
    <t>钢混</t>
    <phoneticPr fontId="30" type="noConversion"/>
  </si>
  <si>
    <t>七通</t>
    <phoneticPr fontId="30" type="noConversion"/>
  </si>
  <si>
    <t>六通</t>
    <phoneticPr fontId="30" type="noConversion"/>
  </si>
  <si>
    <t>五通</t>
    <phoneticPr fontId="30" type="noConversion"/>
  </si>
  <si>
    <t>超高层高</t>
    <phoneticPr fontId="30" type="noConversion"/>
  </si>
  <si>
    <t>标准层高</t>
  </si>
  <si>
    <t>标准层高</t>
    <phoneticPr fontId="30" type="noConversion"/>
  </si>
  <si>
    <t>精装修</t>
    <phoneticPr fontId="30" type="noConversion"/>
  </si>
  <si>
    <t>普通装修</t>
  </si>
  <si>
    <t>普通装修</t>
    <phoneticPr fontId="30" type="noConversion"/>
  </si>
  <si>
    <t>简单装修</t>
    <phoneticPr fontId="30" type="noConversion"/>
  </si>
  <si>
    <t>毛坯（装修状态）</t>
  </si>
  <si>
    <t>毛坯（装修状态）</t>
    <phoneticPr fontId="30" type="noConversion"/>
  </si>
  <si>
    <t>较好</t>
    <phoneticPr fontId="30" type="noConversion"/>
  </si>
  <si>
    <t>一般</t>
    <phoneticPr fontId="30" type="noConversion"/>
  </si>
  <si>
    <t>租金</t>
  </si>
  <si>
    <t>配套商业</t>
  </si>
  <si>
    <t>配套商业</t>
    <phoneticPr fontId="30" type="noConversion"/>
  </si>
  <si>
    <t>较小</t>
  </si>
  <si>
    <t>单面临街（有围挡）</t>
  </si>
  <si>
    <t>单面临街（有围挡）</t>
    <phoneticPr fontId="30" type="noConversion"/>
  </si>
  <si>
    <r>
      <rPr>
        <sz val="10"/>
        <color indexed="8"/>
        <rFont val="宋体"/>
        <family val="3"/>
        <charset val="134"/>
      </rPr>
      <t>根据</t>
    </r>
    <r>
      <rPr>
        <sz val="10"/>
        <color indexed="8"/>
        <rFont val="Arial"/>
        <family val="2"/>
      </rPr>
      <t>2025-1-0642-F01SFZC6</t>
    </r>
    <phoneticPr fontId="6" type="noConversion"/>
  </si>
  <si>
    <t>2层内部铺</t>
    <phoneticPr fontId="134" type="noConversion"/>
  </si>
  <si>
    <t>门前有围墙遮挡，不容易看到</t>
    <phoneticPr fontId="134" type="noConversion"/>
  </si>
  <si>
    <t>1层</t>
    <phoneticPr fontId="134" type="noConversion"/>
  </si>
  <si>
    <t>融科橄榄城三期</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</si>
</sst>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14" fontId="51" fillId="0" borderId="37"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13" fillId="5" borderId="32" xfId="0" applyFont="1" applyFill="1" applyBorder="1" applyAlignment="1" applyProtection="1">
      <alignment horizontal="right" vertical="center" wrapText="1"/>
      <protection locked="0"/>
    </xf>
    <xf numFmtId="0" fontId="100" fillId="6" borderId="1" xfId="0" applyFont="1" applyFill="1" applyBorder="1" applyAlignment="1">
      <alignment horizontal="left" vertical="center" wrapText="1"/>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273" fillId="6" borderId="15"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100" fillId="6" borderId="1" xfId="0" applyFont="1" applyFill="1" applyBorder="1" applyAlignment="1">
      <alignment horizontal="center" vertical="center"/>
    </xf>
    <xf numFmtId="0" fontId="109"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57150</xdr:rowOff>
    </xdr:from>
    <xdr:to>
      <xdr:col>9</xdr:col>
      <xdr:colOff>270126</xdr:colOff>
      <xdr:row>71</xdr:row>
      <xdr:rowOff>163686</xdr:rowOff>
    </xdr:to>
    <xdr:pic>
      <xdr:nvPicPr>
        <xdr:cNvPr id="2" name="图片 1">
          <a:extLst>
            <a:ext uri="{FF2B5EF4-FFF2-40B4-BE49-F238E27FC236}">
              <a16:creationId xmlns:a16="http://schemas.microsoft.com/office/drawing/2014/main" id="{0881FA67-5819-72FD-F508-E5992AC57D83}"/>
            </a:ext>
          </a:extLst>
        </xdr:cNvPr>
        <xdr:cNvPicPr>
          <a:picLocks noChangeAspect="1"/>
        </xdr:cNvPicPr>
      </xdr:nvPicPr>
      <xdr:blipFill>
        <a:blip xmlns:r="http://schemas.openxmlformats.org/officeDocument/2006/relationships" r:embed="rId1"/>
        <a:stretch>
          <a:fillRect/>
        </a:stretch>
      </xdr:blipFill>
      <xdr:spPr>
        <a:xfrm>
          <a:off x="0" y="7346950"/>
          <a:ext cx="5756526" cy="5440536"/>
        </a:xfrm>
        <a:prstGeom prst="rect">
          <a:avLst/>
        </a:prstGeom>
      </xdr:spPr>
    </xdr:pic>
    <xdr:clientData/>
  </xdr:twoCellAnchor>
  <xdr:twoCellAnchor editAs="oneCell">
    <xdr:from>
      <xdr:col>10</xdr:col>
      <xdr:colOff>150857</xdr:colOff>
      <xdr:row>0</xdr:row>
      <xdr:rowOff>31750</xdr:rowOff>
    </xdr:from>
    <xdr:to>
      <xdr:col>23</xdr:col>
      <xdr:colOff>554157</xdr:colOff>
      <xdr:row>36</xdr:row>
      <xdr:rowOff>135378</xdr:rowOff>
    </xdr:to>
    <xdr:pic>
      <xdr:nvPicPr>
        <xdr:cNvPr id="3" name="图片 2">
          <a:extLst>
            <a:ext uri="{FF2B5EF4-FFF2-40B4-BE49-F238E27FC236}">
              <a16:creationId xmlns:a16="http://schemas.microsoft.com/office/drawing/2014/main" id="{0957FAEE-FFB9-3466-9C01-418D22285A0D}"/>
            </a:ext>
          </a:extLst>
        </xdr:cNvPr>
        <xdr:cNvPicPr>
          <a:picLocks noChangeAspect="1"/>
        </xdr:cNvPicPr>
      </xdr:nvPicPr>
      <xdr:blipFill>
        <a:blip xmlns:r="http://schemas.openxmlformats.org/officeDocument/2006/relationships" r:embed="rId2"/>
        <a:stretch>
          <a:fillRect/>
        </a:stretch>
      </xdr:blipFill>
      <xdr:spPr>
        <a:xfrm>
          <a:off x="6246857" y="31750"/>
          <a:ext cx="8328100" cy="6504428"/>
        </a:xfrm>
        <a:prstGeom prst="rect">
          <a:avLst/>
        </a:prstGeom>
      </xdr:spPr>
    </xdr:pic>
    <xdr:clientData/>
  </xdr:twoCellAnchor>
  <xdr:twoCellAnchor editAs="oneCell">
    <xdr:from>
      <xdr:col>9</xdr:col>
      <xdr:colOff>502876</xdr:colOff>
      <xdr:row>36</xdr:row>
      <xdr:rowOff>165100</xdr:rowOff>
    </xdr:from>
    <xdr:to>
      <xdr:col>23</xdr:col>
      <xdr:colOff>477977</xdr:colOff>
      <xdr:row>82</xdr:row>
      <xdr:rowOff>33557</xdr:rowOff>
    </xdr:to>
    <xdr:pic>
      <xdr:nvPicPr>
        <xdr:cNvPr id="4" name="图片 3">
          <a:extLst>
            <a:ext uri="{FF2B5EF4-FFF2-40B4-BE49-F238E27FC236}">
              <a16:creationId xmlns:a16="http://schemas.microsoft.com/office/drawing/2014/main" id="{20EA91DE-4E5C-A2DE-55FB-CF748C3523CB}"/>
            </a:ext>
          </a:extLst>
        </xdr:cNvPr>
        <xdr:cNvPicPr>
          <a:picLocks noChangeAspect="1"/>
        </xdr:cNvPicPr>
      </xdr:nvPicPr>
      <xdr:blipFill>
        <a:blip xmlns:r="http://schemas.openxmlformats.org/officeDocument/2006/relationships" r:embed="rId3"/>
        <a:stretch>
          <a:fillRect/>
        </a:stretch>
      </xdr:blipFill>
      <xdr:spPr>
        <a:xfrm>
          <a:off x="5989276" y="6565900"/>
          <a:ext cx="8509501" cy="8047257"/>
        </a:xfrm>
        <a:prstGeom prst="rect">
          <a:avLst/>
        </a:prstGeom>
      </xdr:spPr>
    </xdr:pic>
    <xdr:clientData/>
  </xdr:twoCellAnchor>
  <xdr:twoCellAnchor editAs="oneCell">
    <xdr:from>
      <xdr:col>9</xdr:col>
      <xdr:colOff>254000</xdr:colOff>
      <xdr:row>84</xdr:row>
      <xdr:rowOff>474</xdr:rowOff>
    </xdr:from>
    <xdr:to>
      <xdr:col>21</xdr:col>
      <xdr:colOff>501650</xdr:colOff>
      <xdr:row>122</xdr:row>
      <xdr:rowOff>112921</xdr:rowOff>
    </xdr:to>
    <xdr:pic>
      <xdr:nvPicPr>
        <xdr:cNvPr id="5" name="图片 4">
          <a:extLst>
            <a:ext uri="{FF2B5EF4-FFF2-40B4-BE49-F238E27FC236}">
              <a16:creationId xmlns:a16="http://schemas.microsoft.com/office/drawing/2014/main" id="{80B14DE9-4673-860E-9309-BADF8FC43D30}"/>
            </a:ext>
          </a:extLst>
        </xdr:cNvPr>
        <xdr:cNvPicPr>
          <a:picLocks noChangeAspect="1"/>
        </xdr:cNvPicPr>
      </xdr:nvPicPr>
      <xdr:blipFill>
        <a:blip xmlns:r="http://schemas.openxmlformats.org/officeDocument/2006/relationships" r:embed="rId4"/>
        <a:stretch>
          <a:fillRect/>
        </a:stretch>
      </xdr:blipFill>
      <xdr:spPr>
        <a:xfrm>
          <a:off x="5740400" y="14935674"/>
          <a:ext cx="7562850" cy="6868847"/>
        </a:xfrm>
        <a:prstGeom prst="rect">
          <a:avLst/>
        </a:prstGeom>
      </xdr:spPr>
    </xdr:pic>
    <xdr:clientData/>
  </xdr:twoCellAnchor>
  <xdr:twoCellAnchor editAs="oneCell">
    <xdr:from>
      <xdr:col>9</xdr:col>
      <xdr:colOff>127000</xdr:colOff>
      <xdr:row>115</xdr:row>
      <xdr:rowOff>76200</xdr:rowOff>
    </xdr:from>
    <xdr:to>
      <xdr:col>22</xdr:col>
      <xdr:colOff>247650</xdr:colOff>
      <xdr:row>154</xdr:row>
      <xdr:rowOff>10495</xdr:rowOff>
    </xdr:to>
    <xdr:pic>
      <xdr:nvPicPr>
        <xdr:cNvPr id="6" name="图片 5">
          <a:extLst>
            <a:ext uri="{FF2B5EF4-FFF2-40B4-BE49-F238E27FC236}">
              <a16:creationId xmlns:a16="http://schemas.microsoft.com/office/drawing/2014/main" id="{798CEAFE-F8ED-4EEB-89F2-DB48CF287230}"/>
            </a:ext>
          </a:extLst>
        </xdr:cNvPr>
        <xdr:cNvPicPr>
          <a:picLocks noChangeAspect="1"/>
        </xdr:cNvPicPr>
      </xdr:nvPicPr>
      <xdr:blipFill>
        <a:blip xmlns:r="http://schemas.openxmlformats.org/officeDocument/2006/relationships" r:embed="rId5"/>
        <a:stretch>
          <a:fillRect/>
        </a:stretch>
      </xdr:blipFill>
      <xdr:spPr>
        <a:xfrm>
          <a:off x="5613400" y="20523200"/>
          <a:ext cx="8045450" cy="6868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66428</xdr:colOff>
      <xdr:row>39</xdr:row>
      <xdr:rowOff>166964</xdr:rowOff>
    </xdr:to>
    <xdr:pic>
      <xdr:nvPicPr>
        <xdr:cNvPr id="2" name="图片 1">
          <a:extLst>
            <a:ext uri="{FF2B5EF4-FFF2-40B4-BE49-F238E27FC236}">
              <a16:creationId xmlns:a16="http://schemas.microsoft.com/office/drawing/2014/main" id="{6C588842-6A54-4051-93B7-F1D4BB38C957}"/>
            </a:ext>
          </a:extLst>
        </xdr:cNvPr>
        <xdr:cNvPicPr>
          <a:picLocks noChangeAspect="1"/>
        </xdr:cNvPicPr>
      </xdr:nvPicPr>
      <xdr:blipFill>
        <a:blip xmlns:r="http://schemas.openxmlformats.org/officeDocument/2006/relationships" r:embed="rId1"/>
        <a:stretch>
          <a:fillRect/>
        </a:stretch>
      </xdr:blipFill>
      <xdr:spPr>
        <a:xfrm>
          <a:off x="0" y="0"/>
          <a:ext cx="7991228" cy="7101164"/>
        </a:xfrm>
        <a:prstGeom prst="rect">
          <a:avLst/>
        </a:prstGeom>
      </xdr:spPr>
    </xdr:pic>
    <xdr:clientData/>
  </xdr:twoCellAnchor>
  <xdr:twoCellAnchor editAs="oneCell">
    <xdr:from>
      <xdr:col>0</xdr:col>
      <xdr:colOff>0</xdr:colOff>
      <xdr:row>41</xdr:row>
      <xdr:rowOff>0</xdr:rowOff>
    </xdr:from>
    <xdr:to>
      <xdr:col>12</xdr:col>
      <xdr:colOff>27718</xdr:colOff>
      <xdr:row>72</xdr:row>
      <xdr:rowOff>62386</xdr:rowOff>
    </xdr:to>
    <xdr:pic>
      <xdr:nvPicPr>
        <xdr:cNvPr id="3" name="图片 2">
          <a:extLst>
            <a:ext uri="{FF2B5EF4-FFF2-40B4-BE49-F238E27FC236}">
              <a16:creationId xmlns:a16="http://schemas.microsoft.com/office/drawing/2014/main" id="{0CB47B3E-9B8A-B171-0165-7E3B44CA2203}"/>
            </a:ext>
          </a:extLst>
        </xdr:cNvPr>
        <xdr:cNvPicPr>
          <a:picLocks noChangeAspect="1"/>
        </xdr:cNvPicPr>
      </xdr:nvPicPr>
      <xdr:blipFill>
        <a:blip xmlns:r="http://schemas.openxmlformats.org/officeDocument/2006/relationships" r:embed="rId2"/>
        <a:stretch>
          <a:fillRect/>
        </a:stretch>
      </xdr:blipFill>
      <xdr:spPr>
        <a:xfrm>
          <a:off x="0" y="7289800"/>
          <a:ext cx="7342918" cy="5574186"/>
        </a:xfrm>
        <a:prstGeom prst="rect">
          <a:avLst/>
        </a:prstGeom>
      </xdr:spPr>
    </xdr:pic>
    <xdr:clientData/>
  </xdr:twoCellAnchor>
  <xdr:twoCellAnchor editAs="oneCell">
    <xdr:from>
      <xdr:col>0</xdr:col>
      <xdr:colOff>215900</xdr:colOff>
      <xdr:row>74</xdr:row>
      <xdr:rowOff>146050</xdr:rowOff>
    </xdr:from>
    <xdr:to>
      <xdr:col>13</xdr:col>
      <xdr:colOff>245296</xdr:colOff>
      <xdr:row>112</xdr:row>
      <xdr:rowOff>100386</xdr:rowOff>
    </xdr:to>
    <xdr:pic>
      <xdr:nvPicPr>
        <xdr:cNvPr id="4" name="图片 3">
          <a:extLst>
            <a:ext uri="{FF2B5EF4-FFF2-40B4-BE49-F238E27FC236}">
              <a16:creationId xmlns:a16="http://schemas.microsoft.com/office/drawing/2014/main" id="{AE3A0A40-ADED-E95D-112F-64428C0EFC2E}"/>
            </a:ext>
          </a:extLst>
        </xdr:cNvPr>
        <xdr:cNvPicPr>
          <a:picLocks noChangeAspect="1"/>
        </xdr:cNvPicPr>
      </xdr:nvPicPr>
      <xdr:blipFill>
        <a:blip xmlns:r="http://schemas.openxmlformats.org/officeDocument/2006/relationships" r:embed="rId3"/>
        <a:stretch>
          <a:fillRect/>
        </a:stretch>
      </xdr:blipFill>
      <xdr:spPr>
        <a:xfrm>
          <a:off x="215900" y="13303250"/>
          <a:ext cx="7954196" cy="6710736"/>
        </a:xfrm>
        <a:prstGeom prst="rect">
          <a:avLst/>
        </a:prstGeom>
      </xdr:spPr>
    </xdr:pic>
    <xdr:clientData/>
  </xdr:twoCellAnchor>
  <xdr:twoCellAnchor editAs="oneCell">
    <xdr:from>
      <xdr:col>0</xdr:col>
      <xdr:colOff>0</xdr:colOff>
      <xdr:row>112</xdr:row>
      <xdr:rowOff>127000</xdr:rowOff>
    </xdr:from>
    <xdr:to>
      <xdr:col>14</xdr:col>
      <xdr:colOff>92459</xdr:colOff>
      <xdr:row>155</xdr:row>
      <xdr:rowOff>43157</xdr:rowOff>
    </xdr:to>
    <xdr:pic>
      <xdr:nvPicPr>
        <xdr:cNvPr id="5" name="图片 4">
          <a:extLst>
            <a:ext uri="{FF2B5EF4-FFF2-40B4-BE49-F238E27FC236}">
              <a16:creationId xmlns:a16="http://schemas.microsoft.com/office/drawing/2014/main" id="{6054E80A-156F-7D40-C3EC-0DC31B976566}"/>
            </a:ext>
          </a:extLst>
        </xdr:cNvPr>
        <xdr:cNvPicPr>
          <a:picLocks noChangeAspect="1"/>
        </xdr:cNvPicPr>
      </xdr:nvPicPr>
      <xdr:blipFill>
        <a:blip xmlns:r="http://schemas.openxmlformats.org/officeDocument/2006/relationships" r:embed="rId4"/>
        <a:stretch>
          <a:fillRect/>
        </a:stretch>
      </xdr:blipFill>
      <xdr:spPr>
        <a:xfrm>
          <a:off x="0" y="20040600"/>
          <a:ext cx="8626859" cy="7561557"/>
        </a:xfrm>
        <a:prstGeom prst="rect">
          <a:avLst/>
        </a:prstGeom>
      </xdr:spPr>
    </xdr:pic>
    <xdr:clientData/>
  </xdr:twoCellAnchor>
  <xdr:twoCellAnchor editAs="oneCell">
    <xdr:from>
      <xdr:col>14</xdr:col>
      <xdr:colOff>444184</xdr:colOff>
      <xdr:row>20</xdr:row>
      <xdr:rowOff>69850</xdr:rowOff>
    </xdr:from>
    <xdr:to>
      <xdr:col>25</xdr:col>
      <xdr:colOff>544661</xdr:colOff>
      <xdr:row>54</xdr:row>
      <xdr:rowOff>17800</xdr:rowOff>
    </xdr:to>
    <xdr:pic>
      <xdr:nvPicPr>
        <xdr:cNvPr id="6" name="图片 5">
          <a:extLst>
            <a:ext uri="{FF2B5EF4-FFF2-40B4-BE49-F238E27FC236}">
              <a16:creationId xmlns:a16="http://schemas.microsoft.com/office/drawing/2014/main" id="{79337253-5567-8CB4-3760-8988F533DEEE}"/>
            </a:ext>
          </a:extLst>
        </xdr:cNvPr>
        <xdr:cNvPicPr>
          <a:picLocks noChangeAspect="1"/>
        </xdr:cNvPicPr>
      </xdr:nvPicPr>
      <xdr:blipFill>
        <a:blip xmlns:r="http://schemas.openxmlformats.org/officeDocument/2006/relationships" r:embed="rId5"/>
        <a:stretch>
          <a:fillRect/>
        </a:stretch>
      </xdr:blipFill>
      <xdr:spPr>
        <a:xfrm>
          <a:off x="8978584" y="3625850"/>
          <a:ext cx="6894977" cy="5993150"/>
        </a:xfrm>
        <a:prstGeom prst="rect">
          <a:avLst/>
        </a:prstGeom>
      </xdr:spPr>
    </xdr:pic>
    <xdr:clientData/>
  </xdr:twoCellAnchor>
  <xdr:twoCellAnchor editAs="oneCell">
    <xdr:from>
      <xdr:col>14</xdr:col>
      <xdr:colOff>342900</xdr:colOff>
      <xdr:row>54</xdr:row>
      <xdr:rowOff>165101</xdr:rowOff>
    </xdr:from>
    <xdr:to>
      <xdr:col>27</xdr:col>
      <xdr:colOff>36564</xdr:colOff>
      <xdr:row>91</xdr:row>
      <xdr:rowOff>146723</xdr:rowOff>
    </xdr:to>
    <xdr:pic>
      <xdr:nvPicPr>
        <xdr:cNvPr id="7" name="图片 6">
          <a:extLst>
            <a:ext uri="{FF2B5EF4-FFF2-40B4-BE49-F238E27FC236}">
              <a16:creationId xmlns:a16="http://schemas.microsoft.com/office/drawing/2014/main" id="{6494D7EB-0905-E053-3BCE-098BBB604628}"/>
            </a:ext>
          </a:extLst>
        </xdr:cNvPr>
        <xdr:cNvPicPr>
          <a:picLocks noChangeAspect="1"/>
        </xdr:cNvPicPr>
      </xdr:nvPicPr>
      <xdr:blipFill>
        <a:blip xmlns:r="http://schemas.openxmlformats.org/officeDocument/2006/relationships" r:embed="rId6"/>
        <a:stretch>
          <a:fillRect/>
        </a:stretch>
      </xdr:blipFill>
      <xdr:spPr>
        <a:xfrm>
          <a:off x="8877300" y="9766301"/>
          <a:ext cx="7707364" cy="6560222"/>
        </a:xfrm>
        <a:prstGeom prst="rect">
          <a:avLst/>
        </a:prstGeom>
      </xdr:spPr>
    </xdr:pic>
    <xdr:clientData/>
  </xdr:twoCellAnchor>
  <xdr:twoCellAnchor editAs="oneCell">
    <xdr:from>
      <xdr:col>14</xdr:col>
      <xdr:colOff>246063</xdr:colOff>
      <xdr:row>92</xdr:row>
      <xdr:rowOff>0</xdr:rowOff>
    </xdr:from>
    <xdr:to>
      <xdr:col>29</xdr:col>
      <xdr:colOff>153993</xdr:colOff>
      <xdr:row>137</xdr:row>
      <xdr:rowOff>87500</xdr:rowOff>
    </xdr:to>
    <xdr:pic>
      <xdr:nvPicPr>
        <xdr:cNvPr id="8" name="图片 7">
          <a:extLst>
            <a:ext uri="{FF2B5EF4-FFF2-40B4-BE49-F238E27FC236}">
              <a16:creationId xmlns:a16="http://schemas.microsoft.com/office/drawing/2014/main" id="{4C728467-6A9B-9904-3779-1F493F840B86}"/>
            </a:ext>
          </a:extLst>
        </xdr:cNvPr>
        <xdr:cNvPicPr>
          <a:picLocks noChangeAspect="1"/>
        </xdr:cNvPicPr>
      </xdr:nvPicPr>
      <xdr:blipFill>
        <a:blip xmlns:r="http://schemas.openxmlformats.org/officeDocument/2006/relationships" r:embed="rId7"/>
        <a:stretch>
          <a:fillRect/>
        </a:stretch>
      </xdr:blipFill>
      <xdr:spPr>
        <a:xfrm>
          <a:off x="8780463" y="16357600"/>
          <a:ext cx="9140830" cy="8088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503848</xdr:colOff>
      <xdr:row>52</xdr:row>
      <xdr:rowOff>154400</xdr:rowOff>
    </xdr:to>
    <xdr:pic>
      <xdr:nvPicPr>
        <xdr:cNvPr id="2" name="图片 1">
          <a:extLst>
            <a:ext uri="{FF2B5EF4-FFF2-40B4-BE49-F238E27FC236}">
              <a16:creationId xmlns:a16="http://schemas.microsoft.com/office/drawing/2014/main" id="{6510B8AA-BBC9-57B9-2139-4B48EBA03A10}"/>
            </a:ext>
          </a:extLst>
        </xdr:cNvPr>
        <xdr:cNvPicPr>
          <a:picLocks noChangeAspect="1"/>
        </xdr:cNvPicPr>
      </xdr:nvPicPr>
      <xdr:blipFill>
        <a:blip xmlns:r="http://schemas.openxmlformats.org/officeDocument/2006/relationships" r:embed="rId1"/>
        <a:stretch>
          <a:fillRect/>
        </a:stretch>
      </xdr:blipFill>
      <xdr:spPr>
        <a:xfrm>
          <a:off x="0" y="0"/>
          <a:ext cx="7819048" cy="9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403674</xdr:colOff>
      <xdr:row>23</xdr:row>
      <xdr:rowOff>113155</xdr:rowOff>
    </xdr:to>
    <xdr:pic>
      <xdr:nvPicPr>
        <xdr:cNvPr id="2" name="图片 1">
          <a:extLst>
            <a:ext uri="{FF2B5EF4-FFF2-40B4-BE49-F238E27FC236}">
              <a16:creationId xmlns:a16="http://schemas.microsoft.com/office/drawing/2014/main" id="{3F71F619-4660-CBC1-C0AF-570CB0812899}"/>
            </a:ext>
          </a:extLst>
        </xdr:cNvPr>
        <xdr:cNvPicPr>
          <a:picLocks noChangeAspect="1"/>
        </xdr:cNvPicPr>
      </xdr:nvPicPr>
      <xdr:blipFill>
        <a:blip xmlns:r="http://schemas.openxmlformats.org/officeDocument/2006/relationships" r:embed="rId1"/>
        <a:stretch>
          <a:fillRect/>
        </a:stretch>
      </xdr:blipFill>
      <xdr:spPr>
        <a:xfrm>
          <a:off x="0" y="0"/>
          <a:ext cx="8938074" cy="42025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北京市朝阳区望京街9号商业楼1层1025房地产抵押价值预评估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受贵公司委托，我公司对北京市朝阳区望京街9号商业楼1层1025房地产抵押价值进行了预评估。</v>
      </c>
    </row>
    <row r="7" spans="1:2">
      <c r="A7" s="1119" t="s">
        <v>566</v>
      </c>
      <c r="B7" s="1120" t="str">
        <f>'预评函-1'!A7</f>
        <v>估价对象为北京市朝阳区望京街9号商业楼1层1025房地产，为王淑红所有。根据《国有土地使用证》[]，估价对象（分摊）出让国有建设用地使用权面积为0平方米，建筑面积为56.87平方米。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望京街9号商业楼1层1025房地产,属王淑红开发建设的商业项目，该项目尚在开发建设中。根据《国有土地使用证》[]，估价对象（分摊）出让国有建设用地使用权面积为0平方米，规划建筑面积为56.87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2025年12月12日</v>
      </c>
    </row>
    <row r="13" spans="1:2">
      <c r="A13" s="1119" t="s">
        <v>529</v>
      </c>
      <c r="B13" s="1120" t="str">
        <f>'预评函-1'!A18</f>
        <v>本次估价的“房地产价值”是指在正常市场情况下，在价值时点2025年12月12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218.15899999999999</v>
      </c>
    </row>
    <row r="21" spans="1:2">
      <c r="A21" s="1119" t="s">
        <v>537</v>
      </c>
      <c r="B21" s="1120">
        <f ca="1">'预评函-2'!D7</f>
        <v>38361</v>
      </c>
    </row>
    <row r="22" spans="1:2">
      <c r="A22" s="1119" t="s">
        <v>538</v>
      </c>
      <c r="B22" s="1120" t="str">
        <f ca="1">'预评函-2'!D6</f>
        <v>贰佰壹拾捌万壹仟伍佰玖拾元整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218.15899999999999</v>
      </c>
    </row>
    <row r="31" spans="1:2">
      <c r="A31" s="1119" t="s">
        <v>576</v>
      </c>
      <c r="B31" s="1120">
        <f ca="1">'预评函-2'!D15</f>
        <v>38361</v>
      </c>
    </row>
    <row r="32" spans="1:2">
      <c r="A32" s="1119" t="s">
        <v>543</v>
      </c>
      <c r="B32" s="1120" t="str">
        <f ca="1">'预评函-2'!D14</f>
        <v>贰佰壹拾捌万壹仟伍佰玖拾元整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北京市朝阳区望京街9号商业楼1层1025房地产</v>
      </c>
    </row>
    <row r="42" spans="1:2" ht="30">
      <c r="A42" s="1119" t="s">
        <v>590</v>
      </c>
      <c r="B42" s="1120" t="str">
        <f>'预评函-3'!B2</f>
        <v>建筑面积</v>
      </c>
    </row>
    <row r="43" spans="1:2">
      <c r="A43" s="1119" t="s">
        <v>591</v>
      </c>
      <c r="B43" s="1120">
        <f>'预评函-3'!B4</f>
        <v>56.87</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3408</v>
      </c>
      <c r="Z2" s="1445" t="s">
        <v>2452</v>
      </c>
      <c r="AA2" s="1445" t="s">
        <v>3409</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3411</v>
      </c>
      <c r="Z8" s="1445" t="s">
        <v>2464</v>
      </c>
      <c r="AB8" s="1445" t="s">
        <v>2490</v>
      </c>
    </row>
    <row r="9" spans="1:28">
      <c r="A9" s="1441" t="s">
        <v>1029</v>
      </c>
      <c r="B9" s="1441" t="s">
        <v>1030</v>
      </c>
      <c r="C9" s="1442" t="s">
        <v>320</v>
      </c>
      <c r="F9" s="1443" t="s">
        <v>1031</v>
      </c>
      <c r="H9" s="1443"/>
      <c r="I9" s="1445" t="s">
        <v>3341</v>
      </c>
      <c r="X9" s="1445" t="s">
        <v>3412</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23"/>
      <c r="B54" s="1447" t="s">
        <v>385</v>
      </c>
      <c r="C54" s="1445" t="s">
        <v>583</v>
      </c>
    </row>
    <row r="55" spans="1:4">
      <c r="A55" s="3223"/>
      <c r="B55" s="1447" t="s">
        <v>386</v>
      </c>
      <c r="C55" s="1445" t="s">
        <v>584</v>
      </c>
    </row>
    <row r="56" spans="1:4">
      <c r="A56" s="3223"/>
      <c r="B56" s="1447" t="s">
        <v>387</v>
      </c>
      <c r="C56" s="1445" t="s">
        <v>588</v>
      </c>
    </row>
    <row r="57" spans="1:4">
      <c r="A57" s="322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6"/>
    <col min="8" max="8" width="5.453125" style="2756" customWidth="1"/>
    <col min="9" max="13" width="9.453125" style="2797" customWidth="1"/>
    <col min="14" max="18" width="9.453125" style="2756" customWidth="1"/>
    <col min="19" max="16384" width="15.269531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4" t="s">
        <v>2580</v>
      </c>
      <c r="J2" s="3224"/>
      <c r="K2" s="3224"/>
      <c r="L2" s="3224"/>
      <c r="M2" s="3224"/>
      <c r="N2" s="3224"/>
      <c r="O2" s="3224"/>
      <c r="P2" s="3224"/>
      <c r="Q2" s="3224"/>
      <c r="R2" s="3224"/>
    </row>
    <row r="3" spans="1:18">
      <c r="A3" s="2760" t="s">
        <v>2501</v>
      </c>
      <c r="B3" s="2761">
        <f>项目基本情况!D3</f>
        <v>46003</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1.01</v>
      </c>
      <c r="D5" s="2765">
        <f>IF(ISERROR(ROUND(POWER(1+E5,A5-C5)*(POWER(1+E5,C5)-1)/(POWER(1+E5,A5)-1),3)),0,ROUND(POWER(1+E5,A5-C5)*(POWER(1+E5,C5)-1)/(POWER(1+E5,A5)-1),4))</f>
        <v>4.9099999999999998E-2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11.02</v>
      </c>
      <c r="D6" s="2765">
        <f>IF(ISERROR(ROUND(POWER(1+E6,A6-C6)*(POWER(1+E6,C6)-1)/(POWER(1+E6,A6)-1),3)),0,ROUND(POWER(1+E6,A6-C6)*(POWER(1+E6,C6)-1)/(POWER(1+E6,A6)-1),4))</f>
        <v>0.40839999999999999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31.04</v>
      </c>
      <c r="D7" s="2765">
        <f>IF(ISERROR(ROUND(POWER(1+E7,A7-C7)*(POWER(1+E7,C7)-1)/(POWER(1+E7,A7)-1),3)),0,ROUND(POWER(1+E7,A7-C7)*(POWER(1+E7,C7)-1)/(POWER(1+E7,A7)-1),4))</f>
        <v>0.75229999999999997</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5" thickBot="1">
      <c r="A18" s="2770" t="s">
        <v>2516</v>
      </c>
      <c r="B18" s="2771">
        <f>ROUND(B17*F11/F12,2)</f>
        <v>5541.87</v>
      </c>
      <c r="C18" s="2771">
        <f>ROUND(F11/F12,4)</f>
        <v>1.1521999999999999</v>
      </c>
      <c r="D18" s="2772"/>
      <c r="E18" s="2772"/>
      <c r="F18" s="2773"/>
    </row>
    <row r="19" spans="1:14" ht="14.5" thickBot="1"/>
    <row r="20" spans="1:14" s="2806" customFormat="1" ht="14.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5" thickBot="1"/>
    <row r="49" spans="1:4">
      <c r="A49" s="2753" t="s">
        <v>3384</v>
      </c>
    </row>
    <row r="50" spans="1:4">
      <c r="A50" s="3142" t="s">
        <v>3385</v>
      </c>
      <c r="B50" s="3142" t="s">
        <v>3386</v>
      </c>
      <c r="C50" s="3142" t="s">
        <v>3387</v>
      </c>
      <c r="D50" s="3142" t="s">
        <v>3388</v>
      </c>
    </row>
    <row r="51" spans="1:4">
      <c r="A51" s="3142" t="s">
        <v>3389</v>
      </c>
      <c r="B51" s="2762">
        <f>B52+B53</f>
        <v>15000</v>
      </c>
      <c r="C51" s="3143">
        <f>D51/B51</f>
        <v>2666.6666666666665</v>
      </c>
      <c r="D51" s="2762">
        <f>D52+D53</f>
        <v>40000000</v>
      </c>
    </row>
    <row r="52" spans="1:4">
      <c r="A52" s="3144" t="s">
        <v>3390</v>
      </c>
      <c r="B52" s="3145">
        <v>10000</v>
      </c>
      <c r="C52" s="3145">
        <v>1500</v>
      </c>
      <c r="D52" s="3146">
        <f>C52*B52</f>
        <v>15000000</v>
      </c>
    </row>
    <row r="53" spans="1:4">
      <c r="A53" s="3144" t="s">
        <v>3391</v>
      </c>
      <c r="B53" s="3145">
        <v>5000</v>
      </c>
      <c r="C53" s="3145">
        <v>5000</v>
      </c>
      <c r="D53" s="3146">
        <f>C53*B53</f>
        <v>25000000</v>
      </c>
    </row>
    <row r="54" spans="1:4">
      <c r="A54" s="3142" t="s">
        <v>3392</v>
      </c>
      <c r="B54" s="2762">
        <f>B51</f>
        <v>15000</v>
      </c>
      <c r="C54" s="2768">
        <v>700</v>
      </c>
      <c r="D54" s="2762">
        <f t="shared" ref="D54:D55" si="5">C54*B54</f>
        <v>10500000</v>
      </c>
    </row>
    <row r="55" spans="1:4">
      <c r="A55" s="3142" t="s">
        <v>3393</v>
      </c>
      <c r="B55" s="2762">
        <f>B51</f>
        <v>15000</v>
      </c>
      <c r="C55" s="2768">
        <v>1500</v>
      </c>
      <c r="D55" s="2762">
        <f t="shared" si="5"/>
        <v>22500000</v>
      </c>
    </row>
    <row r="56" spans="1:4">
      <c r="A56" s="3142" t="s">
        <v>3394</v>
      </c>
      <c r="B56" s="2762">
        <f>B51</f>
        <v>15000</v>
      </c>
      <c r="C56" s="3147">
        <f>C51+C54+C55</f>
        <v>4866.6666666666661</v>
      </c>
      <c r="D56" s="2762">
        <f>D51+D54+D55</f>
        <v>73000000</v>
      </c>
    </row>
    <row r="58" spans="1:4">
      <c r="A58" s="3142" t="s">
        <v>3395</v>
      </c>
      <c r="B58" s="3148">
        <v>0.05</v>
      </c>
      <c r="C58" s="2762">
        <f>C56*(1+B58)</f>
        <v>5110</v>
      </c>
      <c r="D58" s="2762">
        <f>D56*B58</f>
        <v>3650000</v>
      </c>
    </row>
    <row r="60" spans="1:4">
      <c r="A60" s="3142" t="s">
        <v>3396</v>
      </c>
      <c r="B60" s="2768">
        <v>3500</v>
      </c>
      <c r="C60" s="2768">
        <f>C53</f>
        <v>5000</v>
      </c>
      <c r="D60" s="2762">
        <f>C60*B60</f>
        <v>17500000</v>
      </c>
    </row>
    <row r="62" spans="1:4">
      <c r="A62" s="3142" t="s">
        <v>3397</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3" sqref="K13"/>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25" t="str">
        <f>IF(B10="北京市","北京市",C10)&amp;F10&amp;IF(结果表!G1="在建","出让国有建设用地使用权及在建建筑物",IF(结果表!G1="土地","出让国有建设用地使用权",))&amp;B9&amp;"预评估"</f>
        <v>北京市朝阳区望京街9号商业楼1层1025房地产抵押价值预评估</v>
      </c>
      <c r="C1" s="3226"/>
      <c r="D1" s="3226"/>
      <c r="E1" s="3226"/>
      <c r="F1" s="3226"/>
      <c r="G1" s="3226"/>
      <c r="H1" s="3226"/>
      <c r="I1" s="3227"/>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北京市朝阳区望京街9号商业楼1层1025房地产抵押价值</v>
      </c>
      <c r="T1" s="1618"/>
      <c r="U1" s="1618"/>
      <c r="V1" s="1618"/>
      <c r="W1" s="1618"/>
      <c r="X1" s="1618"/>
      <c r="Y1" s="1618"/>
      <c r="Z1" s="1618"/>
      <c r="AA1" s="1618"/>
      <c r="AB1" s="1618"/>
    </row>
    <row r="2" spans="1:30" ht="13">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北京市朝阳区望京街9号商业楼1层1025房地产</v>
      </c>
      <c r="T2" s="1618"/>
      <c r="U2" s="1618"/>
      <c r="V2" s="1618"/>
      <c r="W2" s="1618"/>
      <c r="X2" s="1618"/>
      <c r="Y2" s="1618"/>
      <c r="Z2" s="1618"/>
      <c r="AA2" s="1618"/>
      <c r="AB2" s="1618"/>
    </row>
    <row r="3" spans="1:30" ht="13">
      <c r="A3" s="294" t="s">
        <v>2170</v>
      </c>
      <c r="B3" s="2184"/>
      <c r="C3" s="2185" t="s">
        <v>2171</v>
      </c>
      <c r="D3" s="2184">
        <v>46003</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ht="13">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ht="13">
      <c r="A7" s="2193" t="s">
        <v>2175</v>
      </c>
      <c r="B7" s="2197"/>
      <c r="C7" s="2195"/>
      <c r="D7" s="2196"/>
      <c r="E7" s="2439"/>
      <c r="F7" s="2440"/>
      <c r="G7" s="2440"/>
      <c r="H7" s="2440"/>
      <c r="I7" s="2440"/>
      <c r="J7" s="2243"/>
      <c r="K7" s="2400"/>
      <c r="L7" s="2397"/>
      <c r="M7" s="2397"/>
      <c r="N7" s="2243"/>
      <c r="O7" s="1670"/>
      <c r="P7" s="2243"/>
      <c r="Q7" s="2243"/>
      <c r="R7" s="2243"/>
    </row>
    <row r="8" spans="1:30" ht="13">
      <c r="A8" s="2198" t="s">
        <v>2176</v>
      </c>
      <c r="B8" s="2199" t="s">
        <v>3416</v>
      </c>
      <c r="C8" s="2200"/>
      <c r="D8" s="3228" t="s">
        <v>2177</v>
      </c>
      <c r="E8" s="2201" t="s">
        <v>3417</v>
      </c>
      <c r="F8" s="2202"/>
      <c r="G8" s="2440"/>
      <c r="H8" s="2440"/>
      <c r="I8" s="2440"/>
      <c r="J8" s="2243"/>
      <c r="K8" s="2398"/>
      <c r="L8" s="2397"/>
      <c r="M8" s="2397"/>
      <c r="N8" s="2243"/>
      <c r="O8" s="1670"/>
      <c r="P8" s="2243"/>
      <c r="Q8" s="2243"/>
      <c r="R8" s="2243"/>
    </row>
    <row r="9" spans="1:30" ht="13.5" thickBot="1">
      <c r="A9" s="2203" t="s">
        <v>2178</v>
      </c>
      <c r="B9" s="2204" t="s">
        <v>3417</v>
      </c>
      <c r="C9" s="2205"/>
      <c r="D9" s="3229"/>
      <c r="E9" s="2204"/>
      <c r="F9" s="2206"/>
      <c r="G9" s="2441"/>
      <c r="H9" s="2441"/>
      <c r="I9" s="2441"/>
      <c r="J9" s="2243"/>
      <c r="K9" s="2400"/>
      <c r="L9" s="2397"/>
      <c r="M9" s="2397"/>
      <c r="N9" s="2243"/>
      <c r="O9" s="1670"/>
      <c r="P9" s="2243"/>
      <c r="Q9" s="2243"/>
      <c r="R9" s="2243"/>
    </row>
    <row r="10" spans="1:30" ht="13.5" thickTop="1">
      <c r="A10" s="2207" t="s">
        <v>2179</v>
      </c>
      <c r="B10" s="2208" t="s">
        <v>3418</v>
      </c>
      <c r="C10" s="2209"/>
      <c r="D10" s="2192"/>
      <c r="E10" s="2210" t="s">
        <v>2180</v>
      </c>
      <c r="F10" s="3167" t="s">
        <v>3420</v>
      </c>
      <c r="G10" s="2442"/>
      <c r="H10" s="2443"/>
      <c r="I10" s="2444"/>
      <c r="J10" s="2243"/>
      <c r="K10" s="2400"/>
      <c r="L10" s="2397"/>
      <c r="M10" s="2397"/>
      <c r="N10" s="2243"/>
      <c r="O10" s="1670"/>
      <c r="P10" s="2243"/>
      <c r="Q10" s="2243"/>
      <c r="R10" s="2243"/>
    </row>
    <row r="11" spans="1:30" ht="13">
      <c r="A11" s="2211" t="s">
        <v>2181</v>
      </c>
      <c r="B11" s="2212" t="s">
        <v>3419</v>
      </c>
      <c r="C11" s="3168" t="s">
        <v>3421</v>
      </c>
      <c r="D11" s="2213"/>
      <c r="E11" s="2181"/>
      <c r="F11" s="2181"/>
      <c r="G11" s="2181"/>
      <c r="H11" s="2181"/>
      <c r="I11" s="2181"/>
      <c r="J11" s="2799"/>
      <c r="K11" s="2397"/>
      <c r="L11" s="2397"/>
      <c r="M11" s="2397"/>
      <c r="N11" s="2243"/>
      <c r="O11" s="1670"/>
      <c r="P11" s="2243"/>
      <c r="Q11" s="2243"/>
      <c r="R11" s="2243"/>
    </row>
    <row r="12" spans="1:30" ht="13">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ht="38">
      <c r="A13" s="3119" t="s">
        <v>3330</v>
      </c>
      <c r="B13" s="2216" t="s">
        <v>2190</v>
      </c>
      <c r="C13" s="803"/>
      <c r="D13" s="803">
        <v>52573</v>
      </c>
      <c r="E13" s="803"/>
      <c r="F13" s="803"/>
      <c r="G13" s="803"/>
      <c r="H13" s="803"/>
      <c r="I13" s="803">
        <v>52777</v>
      </c>
      <c r="J13" s="3182" t="s">
        <v>3518</v>
      </c>
      <c r="K13" s="2397"/>
      <c r="L13" s="2397"/>
      <c r="M13" s="2243"/>
      <c r="N13" s="1670"/>
      <c r="O13" s="2243"/>
      <c r="P13" s="2243"/>
      <c r="Q13" s="2243"/>
      <c r="AD13" s="1618"/>
    </row>
    <row r="14" spans="1:30" ht="13">
      <c r="A14" s="1018"/>
      <c r="B14" s="2216" t="s">
        <v>2191</v>
      </c>
      <c r="C14" s="2217"/>
      <c r="D14" s="2217">
        <v>40</v>
      </c>
      <c r="E14" s="2217"/>
      <c r="F14" s="2217"/>
      <c r="G14" s="2217"/>
      <c r="H14" s="2217"/>
      <c r="I14" s="2217">
        <v>40</v>
      </c>
      <c r="J14" s="2801"/>
      <c r="K14" s="2397"/>
      <c r="L14" s="2397"/>
      <c r="M14" s="2243"/>
      <c r="N14" s="1670"/>
      <c r="O14" s="2243"/>
      <c r="P14" s="2243"/>
      <c r="Q14" s="2243"/>
      <c r="AD14" s="1618"/>
    </row>
    <row r="15" spans="1:30" ht="13">
      <c r="A15" s="312"/>
      <c r="B15" s="2218" t="s">
        <v>2192</v>
      </c>
      <c r="C15" s="2219" t="str">
        <f>IF(A13="出让",IF(C13="","",ROUNDDOWN(MIN((C13-$D$3)/365,C14),2)),C14)</f>
        <v/>
      </c>
      <c r="D15" s="2219">
        <f>IF(A13="出让",IF(D13="","",ROUNDDOWN(MIN((D13-$D$3)/365,D14),2)),D14)</f>
        <v>18</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f>IF(A13="出让",IF(I13="","",ROUNDDOWN(MIN((I13-$D$3)/365,I14),2)),I14)</f>
        <v>18.55</v>
      </c>
      <c r="J15" s="2802"/>
      <c r="K15" s="1670"/>
      <c r="L15" s="1670"/>
      <c r="M15" s="2243"/>
      <c r="N15" s="1670"/>
      <c r="O15" s="2243"/>
      <c r="P15" s="2243"/>
      <c r="Q15" s="2243"/>
      <c r="AD15" s="1618"/>
    </row>
    <row r="16" spans="1:30" ht="13">
      <c r="A16" s="2210" t="s">
        <v>2193</v>
      </c>
      <c r="B16" s="3235" t="s">
        <v>3488</v>
      </c>
      <c r="C16" s="3236"/>
      <c r="D16" s="3237"/>
      <c r="E16" s="2220" t="s">
        <v>2194</v>
      </c>
      <c r="F16" s="3238"/>
      <c r="G16" s="3239"/>
      <c r="H16" s="3239"/>
      <c r="I16" s="3240"/>
      <c r="J16" s="2243"/>
      <c r="K16" s="2401"/>
      <c r="L16" s="1670"/>
      <c r="M16" s="1670"/>
      <c r="N16" s="2243"/>
      <c r="O16" s="1670"/>
      <c r="P16" s="2243"/>
      <c r="Q16" s="2243"/>
      <c r="R16" s="2243"/>
    </row>
    <row r="17" spans="1:28" ht="13">
      <c r="A17" s="305" t="s">
        <v>2195</v>
      </c>
      <c r="B17" s="294" t="s">
        <v>2196</v>
      </c>
      <c r="C17" s="8">
        <f>'数据-汇总表'!E3</f>
        <v>56.87</v>
      </c>
      <c r="D17" s="1256" t="s">
        <v>2197</v>
      </c>
      <c r="E17" s="3241" t="s">
        <v>2198</v>
      </c>
      <c r="F17" s="3242"/>
      <c r="G17" s="3242"/>
      <c r="H17" s="3242"/>
      <c r="I17" s="3243"/>
      <c r="J17" s="2243"/>
      <c r="K17" s="2402"/>
      <c r="L17" s="1670"/>
      <c r="M17" s="1670"/>
      <c r="N17" s="2243"/>
      <c r="O17" s="1670"/>
      <c r="P17" s="2243"/>
      <c r="Q17" s="2243"/>
      <c r="R17" s="2243"/>
      <c r="S17" s="2243"/>
      <c r="T17" s="2243"/>
      <c r="U17" s="2243"/>
      <c r="V17" s="2243"/>
    </row>
    <row r="18" spans="1:28" ht="26.5" thickBot="1">
      <c r="A18" s="2221" t="s">
        <v>2199</v>
      </c>
      <c r="B18" s="1027" t="s">
        <v>2200</v>
      </c>
      <c r="C18" s="2222">
        <f>'数据-汇总表'!D3</f>
        <v>0</v>
      </c>
      <c r="D18" s="1029" t="s">
        <v>2201</v>
      </c>
      <c r="E18" s="3244" t="s">
        <v>2202</v>
      </c>
      <c r="F18" s="3245"/>
      <c r="G18" s="3245"/>
      <c r="H18" s="3245"/>
      <c r="I18" s="3246"/>
      <c r="J18" s="2243"/>
      <c r="K18" s="2402"/>
      <c r="L18" s="1670"/>
      <c r="M18" s="1670"/>
      <c r="N18" s="2243"/>
      <c r="O18" s="1670"/>
      <c r="P18" s="2243"/>
      <c r="Q18" s="2243"/>
      <c r="R18" s="2243"/>
      <c r="S18" s="2243"/>
      <c r="T18" s="2243"/>
      <c r="U18" s="2243"/>
      <c r="V18" s="2243"/>
    </row>
    <row r="19" spans="1:28" ht="40" thickTop="1" thickBot="1">
      <c r="A19" s="319" t="s">
        <v>1055</v>
      </c>
      <c r="B19" s="299" t="s">
        <v>2203</v>
      </c>
      <c r="C19" s="1455" t="s">
        <v>3423</v>
      </c>
      <c r="D19" s="1456" t="s">
        <v>2204</v>
      </c>
      <c r="E19" s="1457" t="s">
        <v>3432</v>
      </c>
      <c r="F19" s="1458" t="str">
        <f>IF(AND(C19="是",E19="否"),"是否提供他项权证或相关说明","")</f>
        <v>是否提供他项权证或相关说明</v>
      </c>
      <c r="G19" s="1459" t="s">
        <v>3432</v>
      </c>
      <c r="H19" s="2440"/>
      <c r="I19" s="2440"/>
      <c r="J19" s="2243"/>
      <c r="K19" s="2400"/>
      <c r="L19" s="2397"/>
      <c r="M19" s="2397"/>
      <c r="N19" s="2243"/>
      <c r="O19" s="1670"/>
      <c r="P19" s="2243"/>
      <c r="Q19" s="2243"/>
      <c r="R19" s="2243"/>
      <c r="S19" s="2243"/>
      <c r="T19" s="2243"/>
      <c r="U19" s="2243"/>
      <c r="V19" s="2243"/>
    </row>
    <row r="20" spans="1:28" ht="13">
      <c r="A20" s="2415" t="s">
        <v>2205</v>
      </c>
      <c r="B20" s="3231" t="s">
        <v>2206</v>
      </c>
      <c r="C20" s="3232"/>
      <c r="D20" s="3233" t="s">
        <v>2207</v>
      </c>
      <c r="E20" s="3234"/>
      <c r="F20" s="2428" t="s">
        <v>1056</v>
      </c>
      <c r="G20" s="2440"/>
      <c r="H20" s="2440"/>
      <c r="I20" s="2440"/>
      <c r="J20" s="2243"/>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26.5" thickBot="1">
      <c r="A21" s="2415"/>
      <c r="B21" s="2416" t="s">
        <v>2209</v>
      </c>
      <c r="C21" s="2294" t="s">
        <v>1057</v>
      </c>
      <c r="D21" s="1460" t="s">
        <v>2210</v>
      </c>
      <c r="E21" s="2417" t="s">
        <v>1057</v>
      </c>
      <c r="F21" s="2429"/>
      <c r="G21" s="2440"/>
      <c r="H21" s="2440"/>
      <c r="I21" s="2440"/>
      <c r="J21" s="2243"/>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6.5" thickBot="1">
      <c r="A22" s="2415"/>
      <c r="B22" s="2418" t="s">
        <v>2211</v>
      </c>
      <c r="C22" s="2294" t="s">
        <v>1058</v>
      </c>
      <c r="D22" s="2440"/>
      <c r="E22" s="2440"/>
      <c r="F22" s="2440"/>
      <c r="G22" s="2440"/>
      <c r="H22" s="2440"/>
      <c r="I22" s="2440"/>
      <c r="J22" s="2243"/>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ht="13">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ht="13">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ht="13">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48" t="s">
        <v>2214</v>
      </c>
      <c r="B27" s="312" t="s">
        <v>2215</v>
      </c>
      <c r="C27" s="2223" t="s">
        <v>3434</v>
      </c>
      <c r="D27" s="2224"/>
      <c r="E27" s="2440"/>
      <c r="F27" s="2440"/>
      <c r="G27" s="2440"/>
      <c r="H27" s="2440"/>
      <c r="I27" s="2440"/>
      <c r="J27" s="2243"/>
      <c r="K27" s="2401"/>
      <c r="L27" s="1670"/>
      <c r="M27" s="1670"/>
      <c r="N27" s="2243"/>
      <c r="O27" s="1670"/>
      <c r="P27" s="2243"/>
      <c r="Q27" s="2243"/>
      <c r="R27" s="2243"/>
      <c r="S27" s="2243"/>
      <c r="T27" s="2243"/>
      <c r="U27" s="2243"/>
      <c r="V27" s="2243"/>
    </row>
    <row r="28" spans="1:28" ht="13">
      <c r="A28" s="3248"/>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ht="13">
      <c r="A29" s="3248"/>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ht="13">
      <c r="A30" s="3249"/>
      <c r="B30" s="294" t="s">
        <v>2218</v>
      </c>
      <c r="C30" s="3250"/>
      <c r="D30" s="3251"/>
      <c r="E30" s="2440"/>
      <c r="F30" s="2440"/>
      <c r="G30" s="2440"/>
      <c r="H30" s="2440"/>
      <c r="I30" s="2440"/>
      <c r="J30" s="2243"/>
      <c r="K30" s="2400"/>
      <c r="L30" s="2397"/>
      <c r="M30" s="2397"/>
      <c r="N30" s="2243"/>
      <c r="O30" s="1670"/>
      <c r="P30" s="2243"/>
      <c r="Q30" s="2243"/>
      <c r="R30" s="2243"/>
      <c r="S30" s="2243"/>
      <c r="T30" s="2243"/>
      <c r="U30" s="2243"/>
      <c r="V30" s="2243"/>
    </row>
    <row r="31" spans="1:28">
      <c r="A31" s="3252" t="s">
        <v>2219</v>
      </c>
      <c r="B31" s="2229" t="s">
        <v>3435</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3"/>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3"/>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ht="13">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47" t="s">
        <v>2228</v>
      </c>
      <c r="T34" s="315" t="str">
        <f>NUMBERSTRING(7-K34,1)&amp;"通"</f>
        <v>七通</v>
      </c>
      <c r="U34" s="2243"/>
      <c r="V34" s="2243"/>
    </row>
    <row r="35" spans="1:30">
      <c r="A35" s="2234"/>
      <c r="B35" s="3247" t="s">
        <v>2229</v>
      </c>
      <c r="C35" s="3247"/>
      <c r="D35" s="3247"/>
      <c r="E35" s="324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7"/>
      <c r="T35" s="138" t="str">
        <f>IF(T34="一通",L35,IF(T34="二通",M35,IF(T34="三通",N35,IF(T34="四通",O35,IF(T34="五通",P35,IF(T34="六通",Q35,R35))))))</f>
        <v>、、、、、、</v>
      </c>
      <c r="U35" s="2243"/>
      <c r="V35" s="2243"/>
    </row>
    <row r="36" spans="1:30" ht="13">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ht="13">
      <c r="A37" s="2413" t="s">
        <v>2230</v>
      </c>
      <c r="B37" s="2235" t="s">
        <v>110</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t="s">
        <v>281</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ht="13">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6">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56.87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56.87</v>
      </c>
      <c r="H5" s="13">
        <f t="shared" ref="H5:AT5" si="0">SUM(H13:H656)</f>
        <v>56.87</v>
      </c>
      <c r="I5" s="13">
        <f t="shared" si="0"/>
        <v>56.87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56.87</v>
      </c>
      <c r="BA5" s="15">
        <f t="shared" si="1"/>
        <v>56.87</v>
      </c>
      <c r="BB5" s="15">
        <f t="shared" si="1"/>
        <v>56.87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1025</v>
      </c>
      <c r="D13" s="1513" t="s">
        <v>3423</v>
      </c>
      <c r="E13" s="13">
        <f>IF($C$3="是",ROUND($A$3*G13/$B$3,2),ROUND($A$3*(G13-AT13)/$B$3,2))</f>
        <v>0</v>
      </c>
      <c r="F13" s="29"/>
      <c r="G13" s="30">
        <f>H13+AC13+AT13</f>
        <v>56.87</v>
      </c>
      <c r="H13" s="17">
        <f>SUMIF(I$12:AB$12,"总值",I13:AB13)</f>
        <v>56.87</v>
      </c>
      <c r="I13" s="1514">
        <v>56.87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1025</v>
      </c>
      <c r="AY13" s="1260">
        <f>ROUND($AY$6*AZ13/$AZ$5,2)</f>
        <v>0</v>
      </c>
      <c r="AZ13" s="13">
        <f>BA13+BL13</f>
        <v>56.87</v>
      </c>
      <c r="BA13" s="13">
        <f>SUM(BB13:BK13)</f>
        <v>56.87</v>
      </c>
      <c r="BB13" s="13">
        <f>IF($D13="是",I13-J13,0)</f>
        <v>56.87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3" t="s">
        <v>1131</v>
      </c>
      <c r="B2" s="3263"/>
      <c r="C2" s="3263"/>
      <c r="D2" s="748" t="s">
        <v>1107</v>
      </c>
      <c r="E2" s="1523" t="s">
        <v>1108</v>
      </c>
      <c r="F2" s="2437"/>
      <c r="G2" s="2430"/>
      <c r="H2" s="2431"/>
      <c r="I2" s="2145" t="s">
        <v>1132</v>
      </c>
      <c r="J2" s="2437"/>
      <c r="K2" s="2437"/>
      <c r="L2" s="2437"/>
      <c r="M2" s="2437"/>
      <c r="N2" s="2438"/>
      <c r="O2" s="2437"/>
      <c r="P2" s="2437"/>
    </row>
    <row r="3" spans="1:16" ht="14.5" thickBot="1">
      <c r="A3" s="3264" t="s">
        <v>1105</v>
      </c>
      <c r="B3" s="3264"/>
      <c r="C3" s="3264"/>
      <c r="D3" s="41">
        <f>'数据-基础表'!AY6</f>
        <v>0</v>
      </c>
      <c r="E3" s="41">
        <f>'数据-基础表'!AZ5</f>
        <v>56.87</v>
      </c>
      <c r="F3" s="2437"/>
      <c r="G3" s="42"/>
      <c r="H3" s="43" t="s">
        <v>1106</v>
      </c>
      <c r="I3" s="802" t="e">
        <f>ROUND('数据-基础表'!B3/'数据-基础表'!A3,2)</f>
        <v>#DIV/0!</v>
      </c>
      <c r="J3" s="2437"/>
      <c r="K3" s="2437"/>
      <c r="L3" s="2437"/>
      <c r="M3" s="2437"/>
      <c r="N3" s="2438"/>
      <c r="O3" s="2437"/>
      <c r="P3" s="2437"/>
    </row>
    <row r="4" spans="1:16">
      <c r="A4" s="3265"/>
      <c r="B4" s="3266"/>
      <c r="C4" s="326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68" t="s">
        <v>1110</v>
      </c>
      <c r="C5" s="326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4.5" thickBot="1">
      <c r="A6" s="1527"/>
      <c r="B6" s="3268" t="s">
        <v>1111</v>
      </c>
      <c r="C6" s="3268"/>
      <c r="D6" s="43">
        <f>ROUND($D$3*E6/$E$3,2)</f>
        <v>0</v>
      </c>
      <c r="E6" s="44">
        <f>E3-E5</f>
        <v>56.87</v>
      </c>
      <c r="F6" s="2437"/>
      <c r="G6" s="1529" t="s">
        <v>1112</v>
      </c>
      <c r="H6" s="45" t="s">
        <v>1113</v>
      </c>
      <c r="I6" s="2433" t="e">
        <f>ROUND(F31/D31,2)</f>
        <v>#DIV/0!</v>
      </c>
      <c r="J6" s="2437"/>
      <c r="K6" s="2437"/>
      <c r="L6" s="2437"/>
      <c r="M6" s="2437"/>
      <c r="N6" s="2437"/>
      <c r="O6" s="2437"/>
      <c r="P6" s="2437"/>
    </row>
    <row r="7" spans="1:16" ht="14.5" thickBot="1">
      <c r="A7" s="3260"/>
      <c r="B7" s="3261"/>
      <c r="C7" s="3262"/>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56.87</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1123</v>
      </c>
      <c r="D16" s="45">
        <f>SUM(D8:D15)</f>
        <v>0</v>
      </c>
      <c r="E16" s="48">
        <f>SUM(E8:E15)</f>
        <v>56.87</v>
      </c>
      <c r="F16" s="2437"/>
      <c r="G16" s="2437"/>
      <c r="H16" s="1531" t="s">
        <v>1135</v>
      </c>
      <c r="I16" s="1532"/>
      <c r="J16" s="1071"/>
      <c r="K16" s="3257" t="s">
        <v>1135</v>
      </c>
      <c r="L16" s="3258"/>
      <c r="M16" s="3258"/>
      <c r="N16" s="3258"/>
      <c r="O16" s="3258"/>
      <c r="P16" s="3259"/>
    </row>
    <row r="17" spans="1:19">
      <c r="A17" s="1533" t="s">
        <v>1136</v>
      </c>
      <c r="B17" s="1534" t="s">
        <v>1137</v>
      </c>
      <c r="C17" s="1535" t="s">
        <v>1138</v>
      </c>
      <c r="D17" s="1536" t="s">
        <v>1126</v>
      </c>
      <c r="E17" s="1537" t="s">
        <v>1127</v>
      </c>
      <c r="F17" s="1538"/>
      <c r="G17" s="1539"/>
      <c r="H17" s="1540" t="s">
        <v>1139</v>
      </c>
      <c r="I17" s="1541" t="s">
        <v>1124</v>
      </c>
      <c r="J17" s="1071"/>
      <c r="K17" s="3254" t="s">
        <v>1140</v>
      </c>
      <c r="L17" s="3255"/>
      <c r="M17" s="3256"/>
      <c r="N17" s="3254" t="s">
        <v>1141</v>
      </c>
      <c r="O17" s="3255"/>
      <c r="P17" s="3256"/>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3424</v>
      </c>
      <c r="D19" s="43">
        <f>ROUND($D$3*E19/$E$3,2)</f>
        <v>0</v>
      </c>
      <c r="E19" s="51">
        <f t="shared" ref="E19:E26" si="1">SUM(F19:G19)</f>
        <v>56.87</v>
      </c>
      <c r="F19" s="2555">
        <f>'数据-基础表'!G13</f>
        <v>56.87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56.87</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56.87</v>
      </c>
      <c r="F27" s="1072">
        <f>IF(SUM(F19:F26)=E8,SUM(F19:F26),"地上面积有误")</f>
        <v>56.87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56.87</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1158</v>
      </c>
      <c r="D31" s="643">
        <f>D27+D30</f>
        <v>0</v>
      </c>
      <c r="E31" s="643">
        <f>E27+E30</f>
        <v>56.87</v>
      </c>
      <c r="F31" s="644">
        <f>F27+F30</f>
        <v>56.87</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46003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商业</v>
      </c>
      <c r="B6" s="1587" t="str">
        <f>IF(A6=0,"","经营性")</f>
        <v>经营性</v>
      </c>
      <c r="C6" s="1588" t="s">
        <v>673</v>
      </c>
      <c r="D6" s="805">
        <f>SUMIF(项目基本情况!C$12:I$12,C6,项目基本情况!C$14:I$14)</f>
        <v>40</v>
      </c>
      <c r="E6" s="804">
        <f>IF(B6="","",SUMIF(项目基本情况!C$12:I$12,C6,项目基本情况!C$13:I$13))</f>
        <v>52573</v>
      </c>
      <c r="F6" s="61">
        <f>SUMIF(项目基本情况!C$12:I$12,C6,项目基本情况!C$15:I$15)</f>
        <v>18</v>
      </c>
      <c r="G6" s="62">
        <f>IF(ISERROR(ROUND(POWER(1+H6,D6-F6)*(POWER(1+H6,F6)-1)/(POWER(1+H6,D6)-1),3)),0,ROUND(POWER(1+H6,D6-F6)*(POWER(1+H6,F6)-1)/(POWER(1+H6,D6)-1),3))</f>
        <v>0.68100000000000005</v>
      </c>
      <c r="H6" s="691">
        <v>0.05</v>
      </c>
      <c r="I6" s="691">
        <v>5.5E-2</v>
      </c>
      <c r="J6" s="63">
        <v>7.0000000000000007E-2</v>
      </c>
      <c r="K6" s="970">
        <f>SUMIF('数据-汇总表'!C$19:C$33,A6,'数据-汇总表'!E$19:E$33)</f>
        <v>56.87</v>
      </c>
      <c r="L6" s="692">
        <v>4000</v>
      </c>
      <c r="M6" s="64">
        <f t="shared" ref="M6:M14" si="0">ROUND(K6*L6/10000,0)</f>
        <v>23</v>
      </c>
      <c r="N6" s="690">
        <v>0.7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v>6</v>
      </c>
      <c r="V6" s="67">
        <v>0.02</v>
      </c>
      <c r="W6" s="67">
        <v>0.1</v>
      </c>
      <c r="X6" s="979"/>
      <c r="Y6" s="68">
        <f>N6</f>
        <v>0.7</v>
      </c>
      <c r="Z6" s="69"/>
      <c r="AA6" s="63"/>
      <c r="AB6" s="63"/>
      <c r="AC6" s="979"/>
      <c r="AD6" s="70"/>
      <c r="AE6" s="980">
        <f ca="1">IF(AN6="",0,SUMIF(INDIRECT("'"&amp;AN6&amp;"'"&amp;"!E:E"),$AE$5,INDIRECT("'"&amp;AN6&amp;"'"&amp;"!F:F")))</f>
        <v>18</v>
      </c>
      <c r="AF6" s="74"/>
      <c r="AG6" s="130">
        <f>IF(AF6="",0,AE6-AF6)</f>
        <v>0</v>
      </c>
      <c r="AH6" s="71"/>
      <c r="AI6" s="73">
        <v>365</v>
      </c>
      <c r="AJ6" s="74"/>
      <c r="AK6" s="75">
        <v>5.0000000000000001E-3</v>
      </c>
      <c r="AL6" s="76">
        <v>1E-3</v>
      </c>
      <c r="AM6" s="77">
        <v>0.01</v>
      </c>
      <c r="AN6" s="1589" t="s">
        <v>3427</v>
      </c>
      <c r="AO6" s="50">
        <f ca="1">SUMIF(INDIRECT("'"&amp;AN6&amp;"'"&amp;"!A:A"),"总价",INDIRECT("'"&amp;AN6&amp;"'"&amp;"!B:B"))</f>
        <v>135.98179999999999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0.68100000000000005</v>
      </c>
      <c r="H16" s="84">
        <f>ROUND(SUMPRODUCT(H6:H13,K6:K13)/SUMPRODUCT((H6:H13&gt;0)*(K6:K13)),3)</f>
        <v>0.05</v>
      </c>
      <c r="I16" s="85"/>
      <c r="J16" s="85"/>
      <c r="K16" s="86">
        <f>SUM(K6:K15)</f>
        <v>56.87</v>
      </c>
      <c r="L16" s="87">
        <f>ROUND(M16*10000/SUM(K6:K14),0)</f>
        <v>4044</v>
      </c>
      <c r="M16" s="87">
        <f>SUM(M6:M14)</f>
        <v>23</v>
      </c>
      <c r="N16" s="88">
        <f>ROUND(SUMPRODUCT(M6:M14,N6:N14)/M16,3)</f>
        <v>0.7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4.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
      <c r="A19" s="1596" t="s">
        <v>1211</v>
      </c>
      <c r="B19" s="97">
        <v>0</v>
      </c>
      <c r="C19" s="2558" t="s">
        <v>2302</v>
      </c>
      <c r="D19" s="2449"/>
      <c r="E19" s="2437"/>
      <c r="F19" s="2437"/>
      <c r="G19" s="2437"/>
      <c r="H19" s="2437"/>
      <c r="I19" s="2437"/>
      <c r="J19" s="2437"/>
      <c r="K19" s="2447"/>
      <c r="L19" s="2447"/>
      <c r="M19" s="3170" t="s">
        <v>3428</v>
      </c>
      <c r="N19" s="2446">
        <v>2005</v>
      </c>
      <c r="O19" s="2446"/>
      <c r="P19" s="3170" t="s">
        <v>3433</v>
      </c>
      <c r="Q19" s="3171">
        <f>N19-B21+40</f>
        <v>2043</v>
      </c>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
      <c r="A20" s="1597" t="s">
        <v>1212</v>
      </c>
      <c r="B20" s="98">
        <v>2</v>
      </c>
      <c r="C20" s="2559" t="s">
        <v>2300</v>
      </c>
      <c r="D20" s="2449"/>
      <c r="E20" s="2437"/>
      <c r="F20" s="2437"/>
      <c r="G20" s="2437"/>
      <c r="H20" s="2437"/>
      <c r="I20" s="2437"/>
      <c r="J20" s="2437"/>
      <c r="K20" s="2447"/>
      <c r="L20" s="2447"/>
      <c r="M20" s="2446"/>
      <c r="N20" s="2446">
        <f>ROUND(1-(1-0)*(2025-N19)/60,2)</f>
        <v>0.67</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4.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4.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5">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8.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
      <c r="A33" s="1601" t="s">
        <v>1226</v>
      </c>
      <c r="B33" s="640">
        <v>0.05</v>
      </c>
      <c r="C33" s="2562" t="s">
        <v>3380</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4.5" thickBot="1">
      <c r="A36" s="1603" t="s">
        <v>1229</v>
      </c>
      <c r="B36" s="107">
        <v>0.02</v>
      </c>
      <c r="C36" s="2562" t="s">
        <v>3398</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
      <c r="A37" s="1604" t="s">
        <v>1230</v>
      </c>
      <c r="B37" s="108">
        <v>0.02</v>
      </c>
      <c r="C37" s="2562" t="s">
        <v>3381</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
      <c r="A38" s="1602" t="s">
        <v>1231</v>
      </c>
      <c r="B38" s="106">
        <v>0.02</v>
      </c>
      <c r="C38" s="2562" t="s">
        <v>3382</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5" thickBot="1">
      <c r="A40" s="2571" t="s">
        <v>2310</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
      <c r="A43" s="1606" t="s">
        <v>1235</v>
      </c>
      <c r="B43" s="111">
        <f>B42*(B44+B45+B46)+B47</f>
        <v>6.000000000000001E-3</v>
      </c>
      <c r="C43" s="2451"/>
      <c r="D43" s="3169" t="s">
        <v>3425</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
      <c r="A44" s="1607" t="s">
        <v>1236</v>
      </c>
      <c r="B44" s="112">
        <v>7.0000000000000007E-2</v>
      </c>
      <c r="C44" s="2562" t="s">
        <v>3383</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4.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4.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
      <c r="A52" s="1610" t="s">
        <v>1244</v>
      </c>
      <c r="B52" s="117">
        <f>SUMIF(A54:A63,B53,B54:B63)</f>
        <v>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
      <c r="A53" s="1602" t="s">
        <v>1245</v>
      </c>
      <c r="B53" s="1611"/>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4.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7265625" style="2275" customWidth="1"/>
    <col min="10" max="10" width="2.6328125" style="2275" customWidth="1"/>
    <col min="11" max="11" width="11.90625" style="2275" customWidth="1"/>
    <col min="12" max="12" width="16.7265625" style="2275" customWidth="1"/>
    <col min="13" max="13" width="2.6328125" style="2275" customWidth="1"/>
    <col min="14" max="14" width="11.90625" style="2275" customWidth="1"/>
    <col min="15" max="15" width="16.7265625" style="2275" customWidth="1"/>
    <col min="16" max="16" width="2.6328125" style="2275" customWidth="1"/>
    <col min="17" max="17" width="11.90625" style="2275" customWidth="1"/>
    <col min="18" max="18" width="16.7265625" style="751" customWidth="1"/>
    <col min="19" max="29" width="9" style="751"/>
    <col min="30" max="16384" width="9" style="1522"/>
  </cols>
  <sheetData>
    <row r="1" spans="1:29" s="2257" customFormat="1" ht="18.5" thickBot="1">
      <c r="A1" s="3269" t="s">
        <v>2286</v>
      </c>
      <c r="B1" s="3270"/>
      <c r="C1" s="3270"/>
      <c r="D1" s="3270"/>
      <c r="E1" s="3270"/>
      <c r="F1" s="3270"/>
      <c r="G1" s="327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2281</v>
      </c>
      <c r="D2" s="1595"/>
      <c r="E2" s="2258"/>
      <c r="F2" s="2261"/>
      <c r="G2" s="2260" t="s">
        <v>2282</v>
      </c>
      <c r="H2" s="751"/>
      <c r="I2" s="751"/>
      <c r="J2" s="751"/>
      <c r="K2" s="751"/>
      <c r="L2" s="751"/>
      <c r="M2" s="751"/>
      <c r="N2" s="751"/>
      <c r="O2" s="751"/>
      <c r="P2" s="751"/>
      <c r="Q2" s="751"/>
    </row>
    <row r="3" spans="1:29" ht="52">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9">
      <c r="A4" s="2246"/>
      <c r="B4" s="315" t="s">
        <v>2254</v>
      </c>
      <c r="C4" s="2267" t="s">
        <v>2255</v>
      </c>
      <c r="D4" s="2264"/>
      <c r="E4" s="2268"/>
      <c r="F4" s="1281" t="s">
        <v>2256</v>
      </c>
      <c r="G4" s="2269" t="s">
        <v>2257</v>
      </c>
      <c r="H4" s="751"/>
      <c r="I4" s="751"/>
      <c r="J4" s="751"/>
      <c r="K4" s="751"/>
      <c r="L4" s="751"/>
      <c r="M4" s="751"/>
      <c r="N4" s="751"/>
      <c r="O4" s="751"/>
      <c r="P4" s="751"/>
      <c r="Q4" s="751"/>
    </row>
    <row r="5" spans="1:29" ht="39">
      <c r="A5" s="2246"/>
      <c r="B5" s="315" t="s">
        <v>2258</v>
      </c>
      <c r="C5" s="2267" t="s">
        <v>2259</v>
      </c>
      <c r="D5" s="2264"/>
      <c r="E5" s="2268"/>
      <c r="F5" s="315" t="s">
        <v>2260</v>
      </c>
      <c r="G5" s="2269" t="s">
        <v>2261</v>
      </c>
      <c r="H5" s="751"/>
      <c r="I5" s="751"/>
      <c r="J5" s="751"/>
      <c r="K5" s="751"/>
      <c r="L5" s="751"/>
      <c r="M5" s="751"/>
      <c r="N5" s="751"/>
      <c r="O5" s="751"/>
      <c r="P5" s="751"/>
      <c r="Q5" s="751"/>
    </row>
    <row r="6" spans="1:29" ht="39">
      <c r="A6" s="2246"/>
      <c r="B6" s="315" t="s">
        <v>2262</v>
      </c>
      <c r="C6" s="2269" t="s">
        <v>2257</v>
      </c>
      <c r="D6" s="2264"/>
      <c r="E6" s="2268"/>
      <c r="F6" s="315" t="s">
        <v>2263</v>
      </c>
      <c r="G6" s="2269" t="s">
        <v>2264</v>
      </c>
      <c r="H6" s="751"/>
      <c r="I6" s="751"/>
      <c r="J6" s="751"/>
      <c r="K6" s="751"/>
      <c r="L6" s="751"/>
      <c r="M6" s="751"/>
      <c r="N6" s="751"/>
      <c r="O6" s="751"/>
      <c r="P6" s="751"/>
      <c r="Q6" s="751"/>
    </row>
    <row r="7" spans="1:29" ht="39.5" thickBot="1">
      <c r="A7" s="2246"/>
      <c r="B7" s="315" t="s">
        <v>2260</v>
      </c>
      <c r="C7" s="2269" t="s">
        <v>2261</v>
      </c>
      <c r="D7" s="2243"/>
      <c r="E7" s="2270"/>
      <c r="F7" s="2271" t="s">
        <v>2265</v>
      </c>
      <c r="G7" s="2272" t="s">
        <v>2266</v>
      </c>
      <c r="H7" s="751"/>
      <c r="I7" s="751"/>
      <c r="J7" s="751"/>
      <c r="K7" s="751"/>
      <c r="L7" s="751"/>
      <c r="M7" s="751"/>
      <c r="N7" s="751"/>
      <c r="O7" s="751"/>
      <c r="P7" s="751"/>
      <c r="Q7" s="751"/>
    </row>
    <row r="8" spans="1:29" ht="26">
      <c r="A8" s="2246"/>
      <c r="B8" s="315" t="s">
        <v>2263</v>
      </c>
      <c r="C8" s="2269" t="s">
        <v>2264</v>
      </c>
      <c r="D8" s="2243"/>
      <c r="E8" s="2243"/>
      <c r="F8" s="121"/>
      <c r="G8" s="121"/>
      <c r="H8" s="751"/>
      <c r="I8" s="751"/>
      <c r="J8" s="751"/>
      <c r="K8" s="751"/>
      <c r="L8" s="751"/>
      <c r="M8" s="751"/>
      <c r="N8" s="751"/>
      <c r="O8" s="751"/>
      <c r="P8" s="751"/>
      <c r="Q8" s="751"/>
    </row>
    <row r="9" spans="1:29" ht="26">
      <c r="A9" s="2246"/>
      <c r="B9" s="315" t="s">
        <v>2267</v>
      </c>
      <c r="C9" s="2267" t="s">
        <v>2268</v>
      </c>
      <c r="D9" s="2264"/>
      <c r="E9" s="2243"/>
      <c r="F9" s="121"/>
      <c r="G9" s="121"/>
      <c r="H9" s="751"/>
      <c r="I9" s="751"/>
      <c r="J9" s="751"/>
      <c r="K9" s="751"/>
      <c r="L9" s="751"/>
      <c r="M9" s="751"/>
      <c r="N9" s="751"/>
      <c r="O9" s="751"/>
      <c r="P9" s="751"/>
      <c r="Q9" s="751"/>
    </row>
    <row r="10" spans="1:29" ht="14.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4.5" thickBot="1">
      <c r="A13" s="2282" t="s">
        <v>2287</v>
      </c>
      <c r="B13" s="2278"/>
      <c r="C13" s="2278"/>
      <c r="D13" s="2277"/>
      <c r="E13" s="2278"/>
      <c r="F13" s="2278"/>
      <c r="G13" s="2278"/>
    </row>
    <row r="14" spans="1:29" ht="14.5" thickBot="1">
      <c r="A14" s="2283"/>
      <c r="B14" s="2283"/>
      <c r="C14" s="2284" t="s">
        <v>2270</v>
      </c>
      <c r="D14" s="2264"/>
      <c r="E14" s="2285"/>
      <c r="F14" s="2285"/>
      <c r="G14" s="2260" t="s">
        <v>2271</v>
      </c>
    </row>
    <row r="15" spans="1:29" ht="50">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7.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7.5">
      <c r="A17" s="2250"/>
      <c r="B17" s="2289" t="s">
        <v>2258</v>
      </c>
      <c r="C17" s="2290" t="str">
        <f>C5</f>
        <v>估价对象位于XX商圈，周边办公楼项目较多，入驻率高，办公集聚程度较好</v>
      </c>
      <c r="D17" s="2243"/>
      <c r="E17" s="2251"/>
      <c r="F17" s="2291" t="s">
        <v>2275</v>
      </c>
      <c r="G17" s="2293"/>
    </row>
    <row r="18" spans="1:17" ht="37.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
      <c r="A19" s="2250"/>
      <c r="B19" s="2291" t="s">
        <v>2276</v>
      </c>
      <c r="C19" s="2293"/>
      <c r="D19" s="2264"/>
      <c r="E19" s="2251"/>
      <c r="F19" s="315" t="s">
        <v>2260</v>
      </c>
      <c r="G19" s="2292" t="str">
        <f>G5</f>
        <v>估价对象所在区域公共配套设施齐备情况</v>
      </c>
    </row>
    <row r="20" spans="1:17" ht="25">
      <c r="A20" s="2250"/>
      <c r="B20" s="2291" t="s">
        <v>2277</v>
      </c>
      <c r="C20" s="2290" t="str">
        <f>C9</f>
        <v>区域自然环境：；人文环境；综合评价环境状况一般</v>
      </c>
      <c r="D20" s="2243"/>
      <c r="E20" s="2251"/>
      <c r="F20" s="315" t="s">
        <v>2263</v>
      </c>
      <c r="G20" s="2292" t="str">
        <f>G6</f>
        <v>估价对象所在区域基础设施水平</v>
      </c>
    </row>
    <row r="21" spans="1:17" ht="2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
  <cols>
    <col min="1" max="1" width="25" style="2299" customWidth="1"/>
    <col min="2" max="9" width="15.7265625" style="2299" customWidth="1"/>
    <col min="10" max="16384" width="9" style="2299"/>
  </cols>
  <sheetData>
    <row r="1" spans="1:11" ht="16.5">
      <c r="A1" s="2298" t="s">
        <v>665</v>
      </c>
      <c r="B1" s="2298">
        <f>SUM(B14:B23)</f>
        <v>56.87</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46003</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218.15899999999999</v>
      </c>
      <c r="C5" s="2298">
        <f ca="1">IF(B5=D14,结果表!H102,ROUND(B5*10000/$B$1,0))</f>
        <v>38361</v>
      </c>
      <c r="D5" s="2298" t="e">
        <f ca="1">ROUND(B5*10000/$B$2,0)</f>
        <v>#DIV/0!</v>
      </c>
      <c r="E5" s="2459"/>
      <c r="F5" s="2460"/>
      <c r="G5" s="2460"/>
      <c r="H5" s="2460"/>
      <c r="I5" s="2460"/>
      <c r="J5" s="2460"/>
      <c r="K5" s="2460"/>
    </row>
    <row r="6" spans="1:11" ht="16.5">
      <c r="A6" s="2298" t="s">
        <v>656</v>
      </c>
      <c r="B6" s="2298">
        <f ca="1">SUM(G14:G23)</f>
        <v>218.15899999999999</v>
      </c>
      <c r="C6" s="2298">
        <f ca="1">IF(B6=G14,结果表!H108,ROUND(B6*10000/$B$1,0))</f>
        <v>38361</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3353</v>
      </c>
      <c r="D10" s="2298" t="s">
        <v>3354</v>
      </c>
      <c r="E10" s="3134"/>
      <c r="F10" s="3138" t="s">
        <v>3355</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56.87</v>
      </c>
      <c r="C14" s="2304"/>
      <c r="D14" s="2304">
        <f ca="1">结果表!H118</f>
        <v>218.15899999999999</v>
      </c>
      <c r="E14" s="2304">
        <f ca="1">结果表!I118</f>
        <v>38361</v>
      </c>
      <c r="F14" s="2304" t="e">
        <f ca="1">ROUND(D14*10000/C14,0)</f>
        <v>#DIV/0!</v>
      </c>
      <c r="G14" s="2304">
        <f ca="1">D14</f>
        <v>218.15899999999999</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118" sqref="H11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673</v>
      </c>
      <c r="D1" s="646"/>
      <c r="E1" s="646"/>
      <c r="F1" s="1621" t="s">
        <v>1263</v>
      </c>
      <c r="G1" s="1453"/>
      <c r="H1" s="1621" t="str">
        <f>IF(G1="现房","——","估价对象范围")</f>
        <v>估价对象范围</v>
      </c>
      <c r="I1" s="1622"/>
    </row>
    <row r="2" spans="1:12" ht="21.75" customHeight="1" thickBot="1">
      <c r="A2" s="3338" t="str">
        <f>项目基本情况!S2</f>
        <v>北京市朝阳区望京街9号商业楼1层1025房地产</v>
      </c>
      <c r="B2" s="3339"/>
      <c r="C2" s="3339"/>
      <c r="D2" s="3339"/>
      <c r="E2" s="3339"/>
      <c r="F2" s="3339"/>
      <c r="G2" s="3339"/>
      <c r="H2" s="3339"/>
      <c r="I2" s="3340"/>
    </row>
    <row r="3" spans="1:12" ht="13">
      <c r="A3" s="3342" t="s">
        <v>1264</v>
      </c>
      <c r="B3" s="3343"/>
      <c r="C3" s="3343"/>
      <c r="D3" s="3343"/>
      <c r="E3" s="3343"/>
      <c r="F3" s="3343"/>
      <c r="G3" s="3343"/>
      <c r="H3" s="3343"/>
      <c r="I3" s="3343"/>
    </row>
    <row r="4" spans="1:12" ht="14">
      <c r="A4" s="1624" t="s">
        <v>1265</v>
      </c>
      <c r="B4" s="1625" t="s">
        <v>1266</v>
      </c>
      <c r="C4" s="1626" t="s">
        <v>3438</v>
      </c>
      <c r="D4" s="1626" t="s">
        <v>3427</v>
      </c>
      <c r="E4" s="3347" t="s">
        <v>1267</v>
      </c>
      <c r="F4" s="3348"/>
      <c r="G4" s="3348"/>
      <c r="H4" s="3348"/>
      <c r="I4" s="334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6" t="s">
        <v>1268</v>
      </c>
      <c r="B5" s="3341">
        <v>25</v>
      </c>
      <c r="C5" s="3344"/>
      <c r="D5" s="3332"/>
      <c r="E5" s="123" t="s">
        <v>1269</v>
      </c>
      <c r="F5" s="1627"/>
      <c r="G5" s="1627"/>
      <c r="H5" s="1627"/>
      <c r="I5" s="1281"/>
    </row>
    <row r="6" spans="1:12" ht="13">
      <c r="A6" s="3286"/>
      <c r="B6" s="3341"/>
      <c r="C6" s="3346"/>
      <c r="D6" s="3332"/>
      <c r="E6" s="123" t="s">
        <v>1270</v>
      </c>
      <c r="F6" s="1627"/>
      <c r="G6" s="1627"/>
      <c r="H6" s="1627"/>
      <c r="I6" s="1281"/>
    </row>
    <row r="7" spans="1:12" ht="13">
      <c r="A7" s="3286"/>
      <c r="B7" s="3341"/>
      <c r="C7" s="3345"/>
      <c r="D7" s="3332"/>
      <c r="E7" s="123" t="s">
        <v>1271</v>
      </c>
      <c r="F7" s="1627"/>
      <c r="G7" s="1627"/>
      <c r="H7" s="1627"/>
      <c r="I7" s="1281"/>
    </row>
    <row r="8" spans="1:12" ht="13">
      <c r="A8" s="3286" t="s">
        <v>1272</v>
      </c>
      <c r="B8" s="3341">
        <v>15</v>
      </c>
      <c r="C8" s="3344"/>
      <c r="D8" s="3332"/>
      <c r="E8" s="123" t="s">
        <v>1273</v>
      </c>
      <c r="F8" s="1627"/>
      <c r="G8" s="1627"/>
      <c r="H8" s="1627"/>
      <c r="I8" s="1281"/>
    </row>
    <row r="9" spans="1:12" ht="13">
      <c r="A9" s="3286"/>
      <c r="B9" s="3341"/>
      <c r="C9" s="3345"/>
      <c r="D9" s="3332"/>
      <c r="E9" s="123" t="s">
        <v>1274</v>
      </c>
      <c r="F9" s="1627"/>
      <c r="G9" s="1627"/>
      <c r="H9" s="1627"/>
      <c r="I9" s="1281"/>
    </row>
    <row r="10" spans="1:12" ht="13">
      <c r="A10" s="3286" t="s">
        <v>1275</v>
      </c>
      <c r="B10" s="3341">
        <v>15</v>
      </c>
      <c r="C10" s="3344"/>
      <c r="D10" s="3332"/>
      <c r="E10" s="123" t="s">
        <v>1276</v>
      </c>
      <c r="F10" s="1627"/>
      <c r="G10" s="1627"/>
      <c r="H10" s="1627"/>
      <c r="I10" s="1281"/>
    </row>
    <row r="11" spans="1:12" ht="13">
      <c r="A11" s="3286"/>
      <c r="B11" s="3341"/>
      <c r="C11" s="3345"/>
      <c r="D11" s="3332"/>
      <c r="E11" s="123" t="s">
        <v>1277</v>
      </c>
      <c r="F11" s="1627"/>
      <c r="G11" s="1627"/>
      <c r="H11" s="1627"/>
      <c r="I11" s="1281"/>
    </row>
    <row r="12" spans="1:12" ht="13">
      <c r="A12" s="3286" t="s">
        <v>1278</v>
      </c>
      <c r="B12" s="3341">
        <v>15</v>
      </c>
      <c r="C12" s="3344"/>
      <c r="D12" s="3332"/>
      <c r="E12" s="123" t="s">
        <v>1279</v>
      </c>
      <c r="F12" s="1627"/>
      <c r="G12" s="1627"/>
      <c r="H12" s="1627"/>
      <c r="I12" s="1281"/>
    </row>
    <row r="13" spans="1:12" ht="13">
      <c r="A13" s="3286"/>
      <c r="B13" s="3341"/>
      <c r="C13" s="3345"/>
      <c r="D13" s="3332"/>
      <c r="E13" s="123" t="s">
        <v>1280</v>
      </c>
      <c r="F13" s="1627"/>
      <c r="G13" s="1627"/>
      <c r="H13" s="1627"/>
      <c r="I13" s="1281"/>
    </row>
    <row r="14" spans="1:12" ht="13">
      <c r="A14" s="3286" t="s">
        <v>1281</v>
      </c>
      <c r="B14" s="3341">
        <v>30</v>
      </c>
      <c r="C14" s="3344">
        <v>6</v>
      </c>
      <c r="D14" s="3332">
        <v>4</v>
      </c>
      <c r="E14" s="123" t="s">
        <v>1282</v>
      </c>
      <c r="F14" s="1627"/>
      <c r="G14" s="1627"/>
      <c r="H14" s="1627"/>
      <c r="I14" s="1281"/>
    </row>
    <row r="15" spans="1:12" ht="13">
      <c r="A15" s="3286"/>
      <c r="B15" s="3341"/>
      <c r="C15" s="3346"/>
      <c r="D15" s="3332"/>
      <c r="E15" s="123" t="s">
        <v>1283</v>
      </c>
      <c r="F15" s="1627"/>
      <c r="G15" s="1627"/>
      <c r="H15" s="1627"/>
      <c r="I15" s="1281"/>
    </row>
    <row r="16" spans="1:12" ht="13">
      <c r="A16" s="3286"/>
      <c r="B16" s="3341"/>
      <c r="C16" s="3345"/>
      <c r="D16" s="3332"/>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63" t="s">
        <v>2131</v>
      </c>
      <c r="F18" s="3364"/>
      <c r="G18" s="3364"/>
      <c r="H18" s="3364"/>
      <c r="I18" s="3364"/>
      <c r="K18" s="294" t="s">
        <v>1289</v>
      </c>
      <c r="L18" s="294">
        <f>IF(C1="",'数据-汇总表'!E3,SUMIF(项目类型,C1,'数据-汇总表'!E17:E26)+SUMIF(项目类型,C1,'数据-汇总表'!I17:I26))</f>
        <v>56.87</v>
      </c>
      <c r="M18" s="294">
        <f>IF(C1="",'数据-汇总表'!E3,SUMIF(项目类型,C1,'数据-汇总表'!E17:E26))</f>
        <v>56.87</v>
      </c>
    </row>
    <row r="19" spans="1:36" ht="14">
      <c r="A19" s="1630" t="s">
        <v>1290</v>
      </c>
      <c r="B19" s="1631" t="s">
        <v>1291</v>
      </c>
      <c r="C19" s="126">
        <f ca="1">SUMIF(INDIRECT("'"&amp;C4&amp;"'"&amp;"!A:A"),结果表!B19,INDIRECT("'"&amp;C4&amp;"'"&amp;"!B:B"))</f>
        <v>272.94760000000002</v>
      </c>
      <c r="D19" s="127">
        <f ca="1">SUMIF(INDIRECT("'"&amp;D4&amp;"'"&amp;"!A:A"),结果表!B19,INDIRECT("'"&amp;D4&amp;"'"&amp;"!B:B"))</f>
        <v>135.98179999999999</v>
      </c>
      <c r="E19" s="1630" t="s">
        <v>1292</v>
      </c>
      <c r="F19" s="1631" t="s">
        <v>1291</v>
      </c>
      <c r="G19" s="128">
        <f ca="1">ROUND(C19*$C$18+D19*$D$18,0)</f>
        <v>218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47995</v>
      </c>
      <c r="D20" s="130">
        <f ca="1">SUMIF(INDIRECT("'"&amp;D4&amp;"'"&amp;"!A:A"),结果表!B20,INDIRECT("'"&amp;D4&amp;"'"&amp;"!B:B"))</f>
        <v>23911</v>
      </c>
      <c r="E20" s="1633"/>
      <c r="F20" s="43" t="s">
        <v>1295</v>
      </c>
      <c r="G20" s="131">
        <f ca="1">ROUND(C20*$C$18+D20*$D$18,0)</f>
        <v>38361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1.007236262499835</v>
      </c>
      <c r="E22" s="121"/>
      <c r="F22" s="121"/>
      <c r="G22" s="121"/>
      <c r="H22" s="121"/>
      <c r="I22" s="121"/>
    </row>
    <row r="23" spans="1:36" ht="13" thickBot="1">
      <c r="A23" s="646"/>
      <c r="B23" s="646"/>
      <c r="C23" s="646"/>
      <c r="D23" s="646"/>
      <c r="E23" s="121"/>
      <c r="F23" s="121"/>
      <c r="G23" s="121"/>
      <c r="H23" s="121"/>
      <c r="I23" s="121"/>
    </row>
    <row r="24" spans="1:36" ht="14">
      <c r="A24" s="3356" t="s">
        <v>1299</v>
      </c>
      <c r="B24" s="1631" t="s">
        <v>1291</v>
      </c>
      <c r="C24" s="128">
        <f>IF(B30=0,0,D30)</f>
        <v>0</v>
      </c>
      <c r="D24" s="1637"/>
      <c r="E24" s="121"/>
      <c r="F24" s="121"/>
      <c r="G24" s="121"/>
      <c r="H24" s="121"/>
      <c r="I24" s="121"/>
    </row>
    <row r="25" spans="1:36" ht="14">
      <c r="A25" s="335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6" t="s">
        <v>2132</v>
      </c>
      <c r="F30" s="121"/>
      <c r="G30" s="121"/>
      <c r="H30" s="121"/>
      <c r="I30" s="121"/>
    </row>
    <row r="31" spans="1:36" s="2132" customFormat="1" ht="26.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40" t="s">
        <v>1305</v>
      </c>
      <c r="B32" s="1535"/>
      <c r="C32" s="136">
        <f ca="1">IF(D32="总价",G19-C24,G20-C25)</f>
        <v>38361</v>
      </c>
      <c r="D32" s="1641" t="s">
        <v>3436</v>
      </c>
      <c r="E32" s="121"/>
      <c r="F32" s="121"/>
      <c r="G32" s="121"/>
      <c r="H32" s="121"/>
      <c r="I32" s="121"/>
    </row>
    <row r="33" spans="1:15" ht="14">
      <c r="A33" s="740" t="s">
        <v>1306</v>
      </c>
      <c r="B33" s="123"/>
      <c r="C33" s="1642" t="s">
        <v>3437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33" t="s">
        <v>1312</v>
      </c>
      <c r="B36" s="1652" t="s">
        <v>1313</v>
      </c>
      <c r="C36" s="137"/>
      <c r="D36" s="1653"/>
      <c r="E36" s="1567"/>
      <c r="F36" s="1654"/>
      <c r="G36" s="121"/>
      <c r="H36" s="121"/>
      <c r="I36" s="121"/>
    </row>
    <row r="37" spans="1:15" ht="14.5" thickBot="1">
      <c r="A37" s="3334"/>
      <c r="B37" s="1555" t="s">
        <v>1314</v>
      </c>
      <c r="C37" s="139"/>
      <c r="D37" s="1071"/>
      <c r="E37" s="1071"/>
      <c r="F37" s="1654"/>
      <c r="G37" s="121"/>
      <c r="H37" s="121"/>
      <c r="I37" s="121"/>
    </row>
    <row r="38" spans="1:15" ht="14.5" thickBot="1">
      <c r="A38" s="3335"/>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53" t="s">
        <v>1326</v>
      </c>
      <c r="B45" s="3354"/>
      <c r="C45" s="3355"/>
      <c r="D45" s="147">
        <f ca="1">ROUND(H101*F45,0)</f>
        <v>218</v>
      </c>
      <c r="E45" s="148" t="s">
        <v>1327</v>
      </c>
      <c r="F45" s="149">
        <v>1</v>
      </c>
      <c r="G45" s="150" t="s">
        <v>1328</v>
      </c>
      <c r="H45" s="121"/>
      <c r="I45" s="121"/>
      <c r="J45" s="3273" t="s">
        <v>1329</v>
      </c>
      <c r="K45" s="3273"/>
      <c r="L45" s="3273"/>
      <c r="M45" s="3273"/>
      <c r="N45" s="3273"/>
      <c r="O45" s="3273"/>
    </row>
    <row r="46" spans="1:15" ht="14.25" customHeight="1">
      <c r="A46" s="3350" t="s">
        <v>1330</v>
      </c>
      <c r="B46" s="3351"/>
      <c r="C46" s="3351"/>
      <c r="D46" s="3351"/>
      <c r="E46" s="3351"/>
      <c r="F46" s="3351"/>
      <c r="G46" s="3352"/>
      <c r="H46" s="1668"/>
      <c r="I46" s="151"/>
      <c r="J46" s="2308">
        <v>1</v>
      </c>
      <c r="K46" s="3274" t="s">
        <v>1331</v>
      </c>
      <c r="L46" s="3274"/>
      <c r="M46" s="3275"/>
      <c r="N46" s="3275"/>
      <c r="O46" s="3275"/>
    </row>
    <row r="47" spans="1:15" ht="12" customHeight="1">
      <c r="A47" s="152" t="s">
        <v>1332</v>
      </c>
      <c r="B47" s="153"/>
      <c r="C47" s="154"/>
      <c r="D47" s="1024" t="s">
        <v>1333</v>
      </c>
      <c r="E47" s="294" t="s">
        <v>1334</v>
      </c>
      <c r="F47" s="155" t="s">
        <v>1335</v>
      </c>
      <c r="G47" s="2331" t="s">
        <v>1336</v>
      </c>
      <c r="H47" s="2332"/>
      <c r="I47" s="151"/>
      <c r="J47" s="2308">
        <v>2</v>
      </c>
      <c r="K47" s="3274" t="s">
        <v>1337</v>
      </c>
      <c r="L47" s="3274"/>
      <c r="M47" s="3276">
        <f>'数据-取费表'!B2</f>
        <v>46003</v>
      </c>
      <c r="N47" s="3276"/>
      <c r="O47" s="3276"/>
    </row>
    <row r="48" spans="1:15" ht="26">
      <c r="A48" s="3336" t="s">
        <v>1338</v>
      </c>
      <c r="B48" s="3337"/>
      <c r="C48" s="333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74" t="s">
        <v>1340</v>
      </c>
      <c r="L48" s="3274"/>
      <c r="M48" s="3277">
        <f ca="1">H101</f>
        <v>218.15899999999999</v>
      </c>
      <c r="N48" s="3277"/>
      <c r="O48" s="3277"/>
    </row>
    <row r="49" spans="1:35" ht="25.5" customHeight="1">
      <c r="A49" s="2151" t="s">
        <v>1341</v>
      </c>
      <c r="B49" s="3322" t="s">
        <v>1342</v>
      </c>
      <c r="C49" s="3322"/>
      <c r="D49" s="1478">
        <v>0</v>
      </c>
      <c r="E49" s="316" t="s">
        <v>1343</v>
      </c>
      <c r="F49" s="2231" t="s">
        <v>28</v>
      </c>
      <c r="G49" s="3305"/>
      <c r="H49" s="2133" t="s">
        <v>2134</v>
      </c>
      <c r="I49" s="2134"/>
      <c r="J49" s="2308">
        <v>4</v>
      </c>
      <c r="K49" s="3274" t="str">
        <f>IF(项目基本情况!E8="房地产抵押价值","房地产抵押价值","抵押担保权已注销时的房地产抵押价值")</f>
        <v>房地产抵押价值</v>
      </c>
      <c r="L49" s="3274"/>
      <c r="M49" s="3277">
        <f ca="1">IF(项目基本情况!E8="房地产抵押价值",H107,H109)</f>
        <v>218.15899999999999</v>
      </c>
      <c r="N49" s="3277"/>
      <c r="O49" s="3277"/>
    </row>
    <row r="50" spans="1:35" ht="25.5" customHeight="1">
      <c r="A50" s="2336"/>
      <c r="B50" s="3322" t="s">
        <v>1344</v>
      </c>
      <c r="C50" s="3322"/>
      <c r="D50" s="2188"/>
      <c r="E50" s="323"/>
      <c r="F50" s="2231"/>
      <c r="G50" s="3306"/>
      <c r="H50" s="2135" t="s">
        <v>2135</v>
      </c>
      <c r="I50" s="2134"/>
      <c r="J50" s="3273" t="s">
        <v>1345</v>
      </c>
      <c r="K50" s="3273"/>
      <c r="L50" s="3273"/>
      <c r="M50" s="3273"/>
      <c r="N50" s="3273"/>
      <c r="O50" s="3273"/>
    </row>
    <row r="51" spans="1:35" ht="20.5" customHeight="1">
      <c r="A51" s="2337"/>
      <c r="B51" s="3322" t="s">
        <v>1346</v>
      </c>
      <c r="C51" s="3322"/>
      <c r="D51" s="1024"/>
      <c r="E51" s="319"/>
      <c r="F51" s="2231"/>
      <c r="G51" s="3307"/>
      <c r="H51" s="2135" t="s">
        <v>2136</v>
      </c>
      <c r="I51" s="2134"/>
      <c r="J51" s="2309" t="s">
        <v>1347</v>
      </c>
      <c r="K51" s="3274" t="s">
        <v>1348</v>
      </c>
      <c r="L51" s="3274"/>
      <c r="M51" s="2309" t="s">
        <v>1349</v>
      </c>
      <c r="N51" s="2309" t="s">
        <v>1350</v>
      </c>
      <c r="O51" s="2309" t="s">
        <v>1351</v>
      </c>
    </row>
    <row r="52" spans="1:35" ht="24" customHeight="1">
      <c r="A52" s="2152" t="s">
        <v>1352</v>
      </c>
      <c r="B52" s="3322" t="s">
        <v>1353</v>
      </c>
      <c r="C52" s="3322"/>
      <c r="D52" s="1024">
        <f ca="1">ROUND(D45*'数据-取费表'!B41/(1+'数据-取费表'!C42),0)</f>
        <v>12</v>
      </c>
      <c r="E52" s="1256" t="s">
        <v>1354</v>
      </c>
      <c r="F52" s="2338">
        <f>'数据-取费表'!B41</f>
        <v>5.6000000000000001E-2</v>
      </c>
      <c r="G52" s="2339"/>
      <c r="H52" s="2329"/>
      <c r="I52" s="1669"/>
      <c r="J52" s="2308">
        <v>1</v>
      </c>
      <c r="K52" s="3299" t="s">
        <v>1355</v>
      </c>
      <c r="L52" s="3299"/>
      <c r="M52" s="2310" t="b">
        <f>D48</f>
        <v>0</v>
      </c>
      <c r="N52" s="2308" t="str">
        <f>E48</f>
        <v>销售额×税（费）率</v>
      </c>
      <c r="O52" s="2311">
        <f>F48</f>
        <v>5.6000000000000001E-2</v>
      </c>
    </row>
    <row r="53" spans="1:35" ht="12" customHeight="1">
      <c r="A53" s="2152" t="s">
        <v>1356</v>
      </c>
      <c r="B53" s="3323" t="s">
        <v>2291</v>
      </c>
      <c r="C53" s="3324"/>
      <c r="D53" s="1024">
        <f ca="1">ROUND(D45*'数据-取费表'!B41/(1+'数据-取费表'!C42),0)</f>
        <v>12</v>
      </c>
      <c r="E53" s="1256" t="s">
        <v>1354</v>
      </c>
      <c r="F53" s="2338">
        <f>'数据-取费表'!B41</f>
        <v>5.6000000000000001E-2</v>
      </c>
      <c r="G53" s="2339"/>
      <c r="H53" s="2329"/>
      <c r="I53" s="1669"/>
      <c r="J53" s="2308">
        <v>2</v>
      </c>
      <c r="K53" s="3299" t="s">
        <v>1357</v>
      </c>
      <c r="L53" s="3299"/>
      <c r="M53" s="2310">
        <f t="shared" ref="M53:O54" ca="1" si="0">D55</f>
        <v>0</v>
      </c>
      <c r="N53" s="2308" t="str">
        <f t="shared" si="0"/>
        <v>销售额×税（费）率</v>
      </c>
      <c r="O53" s="2311" t="str">
        <f t="shared" si="0"/>
        <v>免征</v>
      </c>
    </row>
    <row r="54" spans="1:35" ht="12" customHeight="1">
      <c r="A54" s="2152" t="s">
        <v>1358</v>
      </c>
      <c r="B54" s="3323" t="s">
        <v>2292</v>
      </c>
      <c r="C54" s="3324"/>
      <c r="D54" s="1024">
        <f ca="1">C68</f>
        <v>12</v>
      </c>
      <c r="E54" s="319" t="s">
        <v>1359</v>
      </c>
      <c r="F54" s="2338">
        <f>'数据-取费表'!B41</f>
        <v>5.6000000000000001E-2</v>
      </c>
      <c r="G54" s="2339"/>
      <c r="H54" s="2340"/>
      <c r="I54" s="1669"/>
      <c r="J54" s="2308">
        <v>3</v>
      </c>
      <c r="K54" s="3299" t="s">
        <v>1360</v>
      </c>
      <c r="L54" s="3299"/>
      <c r="M54" s="2310">
        <f t="shared" ca="1" si="0"/>
        <v>124</v>
      </c>
      <c r="N54" s="2308" t="str">
        <f t="shared" si="0"/>
        <v>增值额×税（费）率</v>
      </c>
      <c r="O54" s="2312" t="str">
        <f t="shared" si="0"/>
        <v>免征</v>
      </c>
    </row>
    <row r="55" spans="1:35" ht="24" customHeight="1">
      <c r="A55" s="3359" t="s">
        <v>1361</v>
      </c>
      <c r="B55" s="3337"/>
      <c r="C55" s="3337"/>
      <c r="D55" s="12">
        <f ca="1">IF(H55="个人住宅",0,ROUND(D45*I55,0))</f>
        <v>0</v>
      </c>
      <c r="E55" s="1256" t="s">
        <v>1362</v>
      </c>
      <c r="F55" s="2338" t="str">
        <f>IF(H55="正常",I55,"免征")</f>
        <v>免征</v>
      </c>
      <c r="G55" s="2339"/>
      <c r="H55" s="2335"/>
      <c r="I55" s="157">
        <f>'数据-取费表'!B49</f>
        <v>5.0000000000000001E-4</v>
      </c>
      <c r="J55" s="2308">
        <f>IF(H59="非个人房产","",4)</f>
        <v>4</v>
      </c>
      <c r="K55" s="3299" t="str">
        <f>IF(H59="非个人房产","——","个人所得税")</f>
        <v>个人所得税</v>
      </c>
      <c r="L55" s="3299"/>
      <c r="M55" s="2313">
        <f ca="1">D59</f>
        <v>2</v>
      </c>
      <c r="N55" s="1883" t="str">
        <f>E59</f>
        <v>差额计税</v>
      </c>
      <c r="O55" s="2314">
        <f>F59</f>
        <v>0.01</v>
      </c>
    </row>
    <row r="56" spans="1:35" ht="26">
      <c r="A56" s="3359" t="s">
        <v>1363</v>
      </c>
      <c r="B56" s="3337"/>
      <c r="C56" s="3337"/>
      <c r="D56" s="12">
        <f ca="1">IF(H56="个人住宅",D57,D58)</f>
        <v>124</v>
      </c>
      <c r="E56" s="1256" t="s">
        <v>1364</v>
      </c>
      <c r="F56" s="2338" t="str">
        <f>IF(H56="正常",F58,"免征")</f>
        <v>免征</v>
      </c>
      <c r="G56" s="2341" t="s">
        <v>1365</v>
      </c>
      <c r="H56" s="2342"/>
      <c r="I56" s="1670"/>
      <c r="J56" s="2308" t="str">
        <f>IF(项目基本情况!K6="上海银行",IF(J55="",4,J55+1),"")</f>
        <v/>
      </c>
      <c r="K56" s="3280" t="str">
        <f>IF(项目基本情况!K6="上海银行","其他处置费用","")</f>
        <v/>
      </c>
      <c r="L56" s="3281"/>
      <c r="M56" s="2310" t="str">
        <f>IF(项目基本情况!K6="上海银行",M69,"")</f>
        <v/>
      </c>
      <c r="N56" s="3280" t="str">
        <f>IF(项目基本情况!K6="上海银行","包含处置中涉及的律师、诉讼、拍卖、评估等费用","")</f>
        <v/>
      </c>
      <c r="O56" s="3283"/>
    </row>
    <row r="57" spans="1:35" ht="13">
      <c r="A57" s="2152" t="s">
        <v>1341</v>
      </c>
      <c r="B57" s="3323" t="s">
        <v>1366</v>
      </c>
      <c r="C57" s="3324"/>
      <c r="D57" s="1478">
        <v>0</v>
      </c>
      <c r="E57" s="316" t="s">
        <v>1343</v>
      </c>
      <c r="F57" s="294"/>
      <c r="G57" s="2339"/>
      <c r="H57" s="2343"/>
      <c r="I57" s="1670"/>
      <c r="J57" s="3299">
        <f>IF(AND(J55="",J56=""),4,IF(项目基本情况!K6="上海银行",结果表!J56+1,结果表!J55+1))</f>
        <v>5</v>
      </c>
      <c r="K57" s="3299" t="s">
        <v>1367</v>
      </c>
      <c r="L57" s="2315" t="s">
        <v>1368</v>
      </c>
      <c r="M57" s="2316"/>
      <c r="N57" s="2317">
        <f ca="1">SUMIF(M52:M56,"&lt;9e307")</f>
        <v>126</v>
      </c>
      <c r="O57" s="2318"/>
      <c r="P57" s="2462">
        <f ca="1">N57/M49</f>
        <v>0.57756040319216717</v>
      </c>
    </row>
    <row r="58" spans="1:35" ht="26">
      <c r="A58" s="2152" t="s">
        <v>1352</v>
      </c>
      <c r="B58" s="3323" t="s">
        <v>1369</v>
      </c>
      <c r="C58" s="3322"/>
      <c r="D58" s="12">
        <f ca="1">IF(H58="转让取得",C81,C97)</f>
        <v>124</v>
      </c>
      <c r="E58" s="1256" t="s">
        <v>1364</v>
      </c>
      <c r="F58" s="294" t="s">
        <v>28</v>
      </c>
      <c r="G58" s="2339"/>
      <c r="H58" s="2342"/>
      <c r="I58" s="1670"/>
      <c r="J58" s="3299"/>
      <c r="K58" s="3299"/>
      <c r="L58" s="2315" t="s">
        <v>1370</v>
      </c>
      <c r="M58" s="2319"/>
      <c r="N58" s="2320" t="str">
        <f ca="1">NUMBERSTRING(INT(N57*10000),2)&amp;"元整"</f>
        <v>壹佰贰拾陆万元整</v>
      </c>
      <c r="O58" s="2321"/>
    </row>
    <row r="59" spans="1:35" ht="26.5" thickBot="1">
      <c r="A59" s="3303" t="s">
        <v>1371</v>
      </c>
      <c r="B59" s="3304"/>
      <c r="C59" s="3304"/>
      <c r="D59" s="2344">
        <f ca="1">IF(H59="非个人房产","——",IF(H59="个人住宅（满五唯一有凭证）",0,IF(H59="个人其他（无凭证）",ROUND(D45/(1+'数据-取费表'!C42)*F59,0),ROUND(C67*F59,0))))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01">
        <f>J57+1</f>
        <v>6</v>
      </c>
      <c r="K59" s="3299" t="s">
        <v>1372</v>
      </c>
      <c r="L59" s="2308" t="s">
        <v>1368</v>
      </c>
      <c r="M59" s="2322"/>
      <c r="N59" s="2323">
        <f ca="1">M49-N57</f>
        <v>92.158999999999992</v>
      </c>
      <c r="O59" s="2324"/>
    </row>
    <row r="60" spans="1:35" ht="12" customHeight="1">
      <c r="A60" s="1671"/>
      <c r="B60" s="646"/>
      <c r="C60" s="646"/>
      <c r="D60" s="646"/>
      <c r="E60" s="1466"/>
      <c r="F60" s="1670"/>
      <c r="G60" s="1670"/>
      <c r="H60" s="151"/>
      <c r="I60" s="121"/>
      <c r="J60" s="3302"/>
      <c r="K60" s="3299"/>
      <c r="L60" s="2315" t="s">
        <v>1370</v>
      </c>
      <c r="M60" s="2319"/>
      <c r="N60" s="2320" t="str">
        <f ca="1">NUMBERSTRING(INT(N59*10000),2)&amp;"元整"</f>
        <v>玖拾贰万壹仟伍佰玖拾元整</v>
      </c>
      <c r="O60" s="2321"/>
    </row>
    <row r="61" spans="1:35" ht="13.5" thickBot="1">
      <c r="A61" s="3358" t="s">
        <v>1373</v>
      </c>
      <c r="B61" s="3358"/>
      <c r="C61" s="3358"/>
      <c r="D61" s="3358"/>
      <c r="E61" s="3358"/>
      <c r="F61" s="1670"/>
      <c r="G61" s="1670"/>
      <c r="H61" s="151"/>
      <c r="I61" s="121"/>
      <c r="J61" s="2308">
        <f>J59+1</f>
        <v>7</v>
      </c>
      <c r="K61" s="3299" t="s">
        <v>1374</v>
      </c>
      <c r="L61" s="3299"/>
      <c r="M61" s="2325"/>
      <c r="N61" s="2326">
        <f ca="1">ROUND(N59*10000/'数据-汇总表'!E3,0)</f>
        <v>16205</v>
      </c>
      <c r="O61" s="2327"/>
    </row>
    <row r="62" spans="1:35" ht="13">
      <c r="A62" s="3318" t="s">
        <v>1375</v>
      </c>
      <c r="B62" s="3319"/>
      <c r="C62" s="1865"/>
      <c r="D62" s="1865" t="s">
        <v>1376</v>
      </c>
      <c r="E62" s="158" t="s">
        <v>1377</v>
      </c>
      <c r="F62" s="1670"/>
      <c r="G62" s="1670"/>
      <c r="H62" s="151"/>
      <c r="I62" s="121"/>
    </row>
    <row r="63" spans="1:35" ht="13">
      <c r="A63" s="165" t="s">
        <v>330</v>
      </c>
      <c r="B63" s="159" t="s">
        <v>1378</v>
      </c>
      <c r="C63" s="2348">
        <f ca="1">ROUND((C64+C65)/(1+'数据-取费表'!C42),0)</f>
        <v>208</v>
      </c>
      <c r="D63" s="159"/>
      <c r="E63" s="160"/>
      <c r="F63" s="1670"/>
      <c r="G63" s="1670"/>
      <c r="H63" s="151"/>
      <c r="I63" s="121"/>
      <c r="J63" s="3282" t="s">
        <v>1379</v>
      </c>
      <c r="K63" s="1245" t="s">
        <v>1380</v>
      </c>
      <c r="L63" s="1245">
        <f ca="1">IF(M49&gt;10000,M49*0.5%,IF(AND(M49&gt;1000,M49&lt;=10000),M49*1%,IF(AND(M49&gt;100,M49&lt;=1000),M49*3%,IF(AND(M49&gt;10,M49&lt;=100),M49*5%,M49*8%))))</f>
        <v>6.5447699999999998</v>
      </c>
      <c r="M63" s="294">
        <f ca="1">ROUND(L63,1)</f>
        <v>6.5</v>
      </c>
      <c r="N63" s="2328"/>
      <c r="Z63" s="1623"/>
      <c r="AI63" s="1561"/>
    </row>
    <row r="64" spans="1:35" ht="14.25" customHeight="1">
      <c r="A64" s="161" t="s">
        <v>325</v>
      </c>
      <c r="B64" s="162" t="s">
        <v>1381</v>
      </c>
      <c r="C64" s="2349">
        <f ca="1">D45</f>
        <v>218</v>
      </c>
      <c r="D64" s="162" t="s">
        <v>26</v>
      </c>
      <c r="E64" s="164"/>
      <c r="F64" s="1670"/>
      <c r="G64" s="1670"/>
      <c r="H64" s="151"/>
      <c r="I64" s="121"/>
      <c r="J64" s="3282"/>
      <c r="K64" s="1245" t="s">
        <v>1382</v>
      </c>
      <c r="L64" s="1245">
        <f ca="1">IF(M49&gt;2000,M49*0.5%,IF(AND(M49&gt;1000,M49&lt;=2000),M49*0.6%,IF(AND(M49&gt;500,M49&lt;=1000),M49*0.7%,IF(AND(M49&gt;200,M49&lt;=500),M49*0.8%,IF(AND(M49&gt;100,M49&lt;=200),M49*0.9%,IF(AND(M49&gt;50,M49&lt;=100),M49*1%,IF(AND(M49&gt;20,M49&lt;=50),M49*1.5%,IF(AND(M49&gt;10,M49&lt;=20),M49*2%,IF(AND(M49&gt;1,M49&lt;=10),M49*2.5%)))))))))</f>
        <v>1.7452719999999999</v>
      </c>
      <c r="M64" s="294">
        <f t="shared" ref="M64:M65" ca="1" si="1">ROUND(L64,1)</f>
        <v>1.7</v>
      </c>
      <c r="N64" s="2329" t="s">
        <v>1383</v>
      </c>
      <c r="Z64" s="1623"/>
      <c r="AI64" s="1561"/>
    </row>
    <row r="65" spans="1:35" ht="14.25" customHeight="1">
      <c r="A65" s="161" t="s">
        <v>326</v>
      </c>
      <c r="B65" s="162" t="s">
        <v>1384</v>
      </c>
      <c r="C65" s="2350"/>
      <c r="D65" s="162"/>
      <c r="E65" s="164"/>
      <c r="F65" s="1670"/>
      <c r="G65" s="1670"/>
      <c r="H65" s="151"/>
      <c r="I65" s="121"/>
      <c r="J65" s="3282"/>
      <c r="K65" s="1245" t="s">
        <v>1385</v>
      </c>
      <c r="L65" s="1245">
        <f ca="1">IF(M49&gt;1000,M49*0.1%,IF(AND(M49&gt;500,M49&lt;=1000),M49*0.5%,IF(AND(M49&gt;50,M49&lt;=500),M49*1%,IF(AND(M49&gt;1,M49&lt;=50),M49*1.5%))))</f>
        <v>2.1815899999999999</v>
      </c>
      <c r="M65" s="294">
        <f t="shared" ca="1" si="1"/>
        <v>2.2000000000000002</v>
      </c>
      <c r="N65" s="2329" t="s">
        <v>1383</v>
      </c>
      <c r="Z65" s="1623"/>
      <c r="AI65" s="1561"/>
    </row>
    <row r="66" spans="1:35" ht="14.25" customHeight="1">
      <c r="A66" s="165" t="s">
        <v>327</v>
      </c>
      <c r="B66" s="166" t="s">
        <v>1386</v>
      </c>
      <c r="C66" s="2351"/>
      <c r="D66" s="166" t="s">
        <v>26</v>
      </c>
      <c r="E66" s="1251" t="s">
        <v>671</v>
      </c>
      <c r="F66" s="1670"/>
      <c r="G66" s="1670"/>
      <c r="H66" s="151"/>
      <c r="I66" s="121"/>
      <c r="J66" s="3282"/>
      <c r="K66" s="1245" t="s">
        <v>1387</v>
      </c>
      <c r="L66" s="1245">
        <f ca="1">M49*0.5%</f>
        <v>1.090795</v>
      </c>
      <c r="M66" s="294">
        <f ca="1">IF(L66&gt;0.5,0.5,ROUND(L66,0))</f>
        <v>0.5</v>
      </c>
      <c r="N66" s="2329" t="s">
        <v>1388</v>
      </c>
      <c r="Z66" s="1623"/>
      <c r="AI66" s="1561"/>
    </row>
    <row r="67" spans="1:35" ht="14.25" customHeight="1">
      <c r="A67" s="165" t="s">
        <v>328</v>
      </c>
      <c r="B67" s="166" t="s">
        <v>1389</v>
      </c>
      <c r="C67" s="2352">
        <f ca="1">C63-C66</f>
        <v>208</v>
      </c>
      <c r="D67" s="162" t="s">
        <v>26</v>
      </c>
      <c r="E67" s="164"/>
      <c r="F67" s="1670"/>
      <c r="G67" s="1670"/>
      <c r="H67" s="151"/>
      <c r="I67" s="121"/>
      <c r="J67" s="3282"/>
      <c r="K67" s="1245" t="s">
        <v>1390</v>
      </c>
      <c r="L67" s="1245">
        <f ca="1">IF(M49&gt;=10000,(8.25+(M49-10000)*0.01%),IF(AND(M49&gt;=8000,M49&lt;10000),(7.85+(M49-8000)*0.02%),IF(AND(M49&gt;=5000,M49&lt;8000),(6.65+(M49-5000)*0.04%),IF(AND(M49&gt;=2000,M49&lt;5000),(4.25+(PM49-2000)*0.08%),IF(AND(M49&gt;=1000,M49&lt;2000),(2.75+(M49-1000)*0.15%),IF(AND(M49&gt;=100,M49&lt;1000),(0.5+(M49-100)*0.25%),IF(AND(M49&gt;0,M49&lt;100),M49*0.5%)))))))</f>
        <v>0.79539749999999998</v>
      </c>
      <c r="M67" s="294">
        <f ca="1">ROUND(L67*0.9,1)</f>
        <v>0.7</v>
      </c>
      <c r="N67" s="2328"/>
      <c r="Z67" s="1623"/>
      <c r="AI67" s="1561"/>
    </row>
    <row r="68" spans="1:35" ht="14.25" customHeight="1" thickBot="1">
      <c r="A68" s="168" t="s">
        <v>329</v>
      </c>
      <c r="B68" s="169" t="s">
        <v>1391</v>
      </c>
      <c r="C68" s="2353">
        <f ca="1">IF(C67&lt;=0,0,ROUND(C67*D68,0))</f>
        <v>12</v>
      </c>
      <c r="D68" s="2354">
        <f>'数据-取费表'!B41</f>
        <v>5.6000000000000001E-2</v>
      </c>
      <c r="E68" s="170"/>
      <c r="F68" s="1670"/>
      <c r="G68" s="1670"/>
      <c r="H68" s="151"/>
      <c r="I68" s="121"/>
      <c r="J68" s="3282"/>
      <c r="K68" s="1245" t="s">
        <v>1392</v>
      </c>
      <c r="L68" s="1245">
        <f ca="1">IF(M49&gt;10000,M49*0.5%,IF(AND(M49&gt;5000,M49&lt;=10000),M49*1%,IF(AND(M49&gt;1000,M49&lt;=5000),M49*2%,IF(AND(M49&gt;200,M49&lt;=1000),M49*3%,M49*5%))))</f>
        <v>6.5447699999999998</v>
      </c>
      <c r="M68" s="294">
        <f ca="1">ROUND(L68,1)</f>
        <v>6.5</v>
      </c>
      <c r="N68" s="2328"/>
      <c r="Z68" s="1623"/>
      <c r="AI68" s="1561"/>
    </row>
    <row r="69" spans="1:35" ht="16.5" customHeight="1">
      <c r="A69" s="1672"/>
      <c r="B69" s="1673"/>
      <c r="C69" s="1674"/>
      <c r="D69" s="1675"/>
      <c r="E69" s="1676"/>
      <c r="F69" s="1466"/>
      <c r="G69" s="1466"/>
      <c r="H69" s="1467"/>
      <c r="I69" s="646"/>
      <c r="J69" s="3282"/>
      <c r="K69" s="1245" t="s">
        <v>1393</v>
      </c>
      <c r="L69" s="1245"/>
      <c r="M69" s="294">
        <f ca="1">ROUND(SUM(M63:M68),0)</f>
        <v>18</v>
      </c>
      <c r="N69" s="2330">
        <f ca="1">M69/M49</f>
        <v>8.2508629027452457E-2</v>
      </c>
      <c r="Z69" s="1623"/>
      <c r="AI69" s="1561"/>
    </row>
    <row r="70" spans="1:35" s="642" customFormat="1" ht="14.5" thickBot="1">
      <c r="A70" s="3326" t="s">
        <v>1394</v>
      </c>
      <c r="B70" s="3327"/>
      <c r="C70" s="3327"/>
      <c r="D70" s="3327"/>
      <c r="E70" s="3327"/>
      <c r="F70" s="3327"/>
      <c r="G70" s="3327"/>
      <c r="H70" s="332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8" t="s">
        <v>1375</v>
      </c>
      <c r="B71" s="331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2">
        <f ca="1">ROUND(D45/(1+'数据-取费表'!C42),0)</f>
        <v>208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3" t="s">
        <v>1402</v>
      </c>
      <c r="F76" s="3322"/>
      <c r="G76" s="3322"/>
      <c r="H76" s="332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6.000000000000001E-3</v>
      </c>
      <c r="E78" s="3315" t="s">
        <v>1406</v>
      </c>
      <c r="F78" s="3316"/>
      <c r="G78" s="3316"/>
      <c r="H78" s="331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2">
        <f ca="1">C72-C73</f>
        <v>207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2">
        <f ca="1">IF(C79&lt;=0,0,C79/C73)</f>
        <v>207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3">
        <f ca="1">ROUND(IF(C79&lt;=0,0,IF(C80&gt;=200%,C79*60%-C73*35%,IF(C80&gt;=100%,C79*50%-C73*15%,IF(C80&gt;=50%,C79*40%-C73*5%,IF(C80&lt;50%,C79*30%,0))))),0)</f>
        <v>124</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6" t="s">
        <v>1410</v>
      </c>
      <c r="B83" s="3327"/>
      <c r="C83" s="3327"/>
      <c r="D83" s="3327"/>
      <c r="E83" s="3327"/>
      <c r="F83" s="3327"/>
      <c r="G83" s="3327"/>
      <c r="H83" s="332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8" t="s">
        <v>1375</v>
      </c>
      <c r="B84" s="331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2">
        <f ca="1">ROUND(D45/(1+'数据-取费表'!C42),0)</f>
        <v>208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6"/>
      <c r="D90" s="2361"/>
      <c r="E90" s="185" t="str">
        <f>IF(H88="-","土地取得成本中已包含该笔费用"," ")</f>
        <v xml:space="preserve"> </v>
      </c>
      <c r="F90" s="2147"/>
      <c r="G90" s="3284" t="s">
        <v>2129</v>
      </c>
      <c r="H90" s="3285"/>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5" t="s">
        <v>1419</v>
      </c>
      <c r="F91" s="3316"/>
      <c r="G91" s="331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5" t="s">
        <v>1422</v>
      </c>
      <c r="F92" s="3316"/>
      <c r="G92" s="3316"/>
      <c r="H92" s="3317"/>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6.000000000000001E-3</v>
      </c>
      <c r="E93" s="3315" t="s">
        <v>1406</v>
      </c>
      <c r="F93" s="3316"/>
      <c r="G93" s="3316"/>
      <c r="H93" s="331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0" t="s">
        <v>1426</v>
      </c>
      <c r="F94" s="3361"/>
      <c r="G94" s="3361"/>
      <c r="H94" s="336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2">
        <f ca="1">ROUND(C85-C86,0)</f>
        <v>207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2">
        <f ca="1">IF(C95&lt;=0,0,C95/C86)</f>
        <v>207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3">
        <f ca="1">ROUND(IF(C95&lt;=0,0,IF(C96&gt;=200%,C95*60%-C86*35%,IF(C96&gt;=100%,C95*50%-C86*15%,IF(C96&gt;=50%,C95*40%-C86*5%,IF(C96&lt;50%,C95*30%,0))))),0)</f>
        <v>124</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5" t="s">
        <v>1428</v>
      </c>
      <c r="B100" s="3266"/>
      <c r="C100" s="3266"/>
      <c r="D100" s="3300"/>
      <c r="E100" s="3266" t="s">
        <v>1429</v>
      </c>
      <c r="F100" s="3266"/>
      <c r="G100" s="3266"/>
      <c r="H100" s="3300"/>
      <c r="I100" s="121"/>
    </row>
    <row r="101" spans="1:35" ht="18.75" customHeight="1">
      <c r="A101" s="3308" t="s">
        <v>1430</v>
      </c>
      <c r="B101" s="3309"/>
      <c r="C101" s="2369" t="str">
        <f>C4</f>
        <v>比较法-商业</v>
      </c>
      <c r="D101" s="2370" t="str">
        <f>D4</f>
        <v>收益法 (元)</v>
      </c>
      <c r="E101" s="3278" t="s">
        <v>1431</v>
      </c>
      <c r="F101" s="3279"/>
      <c r="G101" s="1687" t="s">
        <v>1432</v>
      </c>
      <c r="H101" s="2379">
        <f ca="1">H118</f>
        <v>218.15899999999999</v>
      </c>
      <c r="I101" s="121"/>
    </row>
    <row r="102" spans="1:35" ht="18.75" customHeight="1">
      <c r="A102" s="3310" t="s">
        <v>1433</v>
      </c>
      <c r="B102" s="2368" t="s">
        <v>1432</v>
      </c>
      <c r="C102" s="2369">
        <f ca="1">IF(D32="楼面单价",ROUND(C19,0),C19)</f>
        <v>273</v>
      </c>
      <c r="D102" s="2370">
        <f ca="1">IF(D32="楼面单价",ROUND(D19,0),D19)</f>
        <v>136</v>
      </c>
      <c r="E102" s="3278"/>
      <c r="F102" s="3279"/>
      <c r="G102" s="1687" t="s">
        <v>1434</v>
      </c>
      <c r="H102" s="2339">
        <f ca="1">I118</f>
        <v>38361</v>
      </c>
      <c r="I102" s="121"/>
    </row>
    <row r="103" spans="1:35" ht="42.75" customHeight="1">
      <c r="A103" s="3310"/>
      <c r="B103" s="2368" t="s">
        <v>1434</v>
      </c>
      <c r="C103" s="2371">
        <f ca="1">C20</f>
        <v>47995</v>
      </c>
      <c r="D103" s="2372">
        <f ca="1">D20</f>
        <v>23911</v>
      </c>
      <c r="E103" s="3271" t="s">
        <v>1435</v>
      </c>
      <c r="F103" s="3272"/>
      <c r="G103" s="1688" t="s">
        <v>1436</v>
      </c>
      <c r="H103" s="2379">
        <f>IF(D36="正常操作",H104+H105+H106,H105+H106)</f>
        <v>0</v>
      </c>
      <c r="I103" s="121"/>
    </row>
    <row r="104" spans="1:35" ht="18.75" customHeight="1">
      <c r="A104" s="3310" t="s">
        <v>1437</v>
      </c>
      <c r="B104" s="2373" t="s">
        <v>1432</v>
      </c>
      <c r="C104" s="2374">
        <f ca="1">H118</f>
        <v>218.15899999999999</v>
      </c>
      <c r="D104" s="2375"/>
      <c r="E104" s="1555" t="s">
        <v>1438</v>
      </c>
      <c r="F104" s="1548"/>
      <c r="G104" s="1688" t="s">
        <v>1436</v>
      </c>
      <c r="H104" s="2380">
        <f>IF(D36="同一抵押权人同一抵押物续贷",C36&amp;"（续贷，未扣减，详见特别提示）",C36)</f>
        <v>0</v>
      </c>
      <c r="I104" s="121"/>
    </row>
    <row r="105" spans="1:35" ht="18.75" customHeight="1" thickBot="1">
      <c r="A105" s="3320"/>
      <c r="B105" s="2376" t="s">
        <v>1434</v>
      </c>
      <c r="C105" s="2377">
        <f ca="1">I118</f>
        <v>38361</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1" t="str">
        <f>IF(项目基本情况!E8="已注销","——","3.房地产抵押价值")</f>
        <v>3.房地产抵押价值</v>
      </c>
      <c r="F107" s="3279"/>
      <c r="G107" s="1687" t="s">
        <v>1432</v>
      </c>
      <c r="H107" s="2379">
        <f ca="1">IF(E107="——","——",H101-H103)</f>
        <v>218.15899999999999</v>
      </c>
      <c r="I107" s="121"/>
    </row>
    <row r="108" spans="1:35" ht="18.75" customHeight="1">
      <c r="A108" s="121"/>
      <c r="B108" s="121"/>
      <c r="C108" s="121"/>
      <c r="D108" s="121"/>
      <c r="E108" s="3311"/>
      <c r="F108" s="3279"/>
      <c r="G108" s="1687" t="s">
        <v>1434</v>
      </c>
      <c r="H108" s="2339">
        <f ca="1">IF(H107=H101,H102,ROUND(H107*10000/'数据-汇总表'!E3,0))</f>
        <v>38361</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279"/>
      <c r="G109" s="1687" t="s">
        <v>1432</v>
      </c>
      <c r="H109" s="2382" t="str">
        <f>IF(E109="——","——",H101-H105-H106)</f>
        <v>——</v>
      </c>
      <c r="I109" s="121"/>
    </row>
    <row r="110" spans="1:35" ht="18.75" customHeight="1">
      <c r="A110" s="121"/>
      <c r="B110" s="121"/>
      <c r="C110" s="121"/>
      <c r="D110" s="121"/>
      <c r="E110" s="3311"/>
      <c r="F110" s="3279"/>
      <c r="G110" s="1687" t="s">
        <v>1434</v>
      </c>
      <c r="H110" s="2339" t="str">
        <f>IF(H109="——","——",ROUND(H109*10000/'数据-汇总表'!E3,0))</f>
        <v>——</v>
      </c>
      <c r="I110" s="121"/>
    </row>
    <row r="111" spans="1:35" ht="18.75" customHeight="1">
      <c r="A111" s="121"/>
      <c r="B111" s="121"/>
      <c r="C111" s="121"/>
      <c r="D111" s="121"/>
      <c r="E111" s="3312" t="str">
        <f>IF(项目基本情况!E9="抵押净值",IF(OR(项目基本情况!E8="已注销",项目基本情况!E8="房地产抵押价值"),"4.抵押净值","5.抵押净值"),"——")</f>
        <v>——</v>
      </c>
      <c r="F111" s="3298"/>
      <c r="G111" s="1687" t="s">
        <v>1432</v>
      </c>
      <c r="H111" s="2379" t="str">
        <f>IF(E111="——","——",N59)</f>
        <v>——</v>
      </c>
      <c r="I111" s="121"/>
    </row>
    <row r="112" spans="1:35" ht="18.75" customHeight="1" thickBot="1">
      <c r="A112" s="121"/>
      <c r="B112" s="121"/>
      <c r="C112" s="121"/>
      <c r="D112" s="121"/>
      <c r="E112" s="3313"/>
      <c r="F112" s="3314"/>
      <c r="G112" s="1690" t="s">
        <v>1434</v>
      </c>
      <c r="H112" s="2383"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29" t="s">
        <v>1442</v>
      </c>
      <c r="B115" s="3330"/>
      <c r="C115" s="3330"/>
      <c r="D115" s="3330"/>
      <c r="E115" s="3330"/>
      <c r="F115" s="3330"/>
      <c r="G115" s="3330"/>
      <c r="H115" s="3330"/>
      <c r="I115" s="3331"/>
    </row>
    <row r="116" spans="1:27" ht="27" customHeight="1">
      <c r="A116" s="3286" t="s">
        <v>1443</v>
      </c>
      <c r="B116" s="3290" t="s">
        <v>1444</v>
      </c>
      <c r="C116" s="3290" t="s">
        <v>1445</v>
      </c>
      <c r="D116" s="3296" t="s">
        <v>1446</v>
      </c>
      <c r="E116" s="3297"/>
      <c r="F116" s="3328" t="s">
        <v>1447</v>
      </c>
      <c r="G116" s="3328"/>
      <c r="H116" s="3286" t="s">
        <v>1448</v>
      </c>
      <c r="I116" s="3286"/>
    </row>
    <row r="117" spans="1:27" ht="18.75" customHeight="1">
      <c r="A117" s="3286"/>
      <c r="B117" s="3291"/>
      <c r="C117" s="3291"/>
      <c r="D117" s="2149" t="s">
        <v>1449</v>
      </c>
      <c r="E117" s="2149" t="s">
        <v>1450</v>
      </c>
      <c r="F117" s="2149" t="s">
        <v>1449</v>
      </c>
      <c r="G117" s="2149" t="s">
        <v>1451</v>
      </c>
      <c r="H117" s="2149" t="s">
        <v>1449</v>
      </c>
      <c r="I117" s="2149" t="s">
        <v>1451</v>
      </c>
    </row>
    <row r="118" spans="1:27" ht="24.75" customHeight="1">
      <c r="A118" s="2384" t="str">
        <f>项目基本情况!S2</f>
        <v>北京市朝阳区望京街9号商业楼1层1025房地产</v>
      </c>
      <c r="B118" s="2149">
        <f>M18</f>
        <v>56.87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179">
        <f ca="1">ROUND(IF(D32="总价",C32,I118*B118/10000),4)</f>
        <v>218.15899999999999</v>
      </c>
      <c r="I118" s="2149">
        <f ca="1">ROUND(IF(D32="楼面单价",C32,H118*10000/B118),0)</f>
        <v>38361</v>
      </c>
    </row>
    <row r="119" spans="1:27" ht="18.75" customHeight="1">
      <c r="A119" s="3286" t="s">
        <v>1452</v>
      </c>
      <c r="B119" s="3286"/>
      <c r="C119" s="3286"/>
      <c r="D119" s="3292" t="str">
        <f>NUMBERSTRING(INT(D118*10000),2)&amp;"元整"</f>
        <v>零元整</v>
      </c>
      <c r="E119" s="3293"/>
      <c r="F119" s="3292" t="str">
        <f>NUMBERSTRING(INT(F118*10000),2)&amp;"元整"</f>
        <v>零元整</v>
      </c>
      <c r="G119" s="3293"/>
      <c r="H119" s="3292" t="str">
        <f ca="1">NUMBERSTRING(INT(H118*10000),2)&amp;"元整"</f>
        <v>贰佰壹拾捌万壹仟伍佰玖拾元整</v>
      </c>
      <c r="I119" s="3293"/>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2" t="s">
        <v>1452</v>
      </c>
      <c r="B121" s="3294"/>
      <c r="C121" s="3293"/>
      <c r="D121" s="3292" t="str">
        <f>IF(D120=0,"零元整",NUMBERSTRING(INT(D120*10000),2)&amp;"元整")</f>
        <v>零元整</v>
      </c>
      <c r="E121" s="3294"/>
      <c r="F121" s="3294"/>
      <c r="G121" s="3294"/>
      <c r="H121" s="3294"/>
      <c r="I121" s="3293"/>
      <c r="AA121" s="684"/>
    </row>
    <row r="122" spans="1:27" ht="18.75" customHeight="1">
      <c r="A122" s="3298" t="str">
        <f>IF(项目基本情况!B9="房地产市场价值","",MID(E107,3,LEN(E107)-2))</f>
        <v>房地产抵押价值</v>
      </c>
      <c r="B122" s="3298"/>
      <c r="C122" s="3298"/>
      <c r="D122" s="3287">
        <f ca="1">H107</f>
        <v>218.15899999999999</v>
      </c>
      <c r="E122" s="3288"/>
      <c r="F122" s="3288"/>
      <c r="G122" s="3288"/>
      <c r="H122" s="3288"/>
      <c r="I122" s="3289"/>
      <c r="AA122" s="684"/>
    </row>
    <row r="123" spans="1:27" ht="18.75" customHeight="1">
      <c r="A123" s="3286" t="s">
        <v>1452</v>
      </c>
      <c r="B123" s="3286"/>
      <c r="C123" s="3286"/>
      <c r="D123" s="3292" t="str">
        <f ca="1">NUMBERSTRING(INT(D122*10000),2)&amp;"元整"</f>
        <v>贰佰壹拾捌万壹仟伍佰玖拾元整</v>
      </c>
      <c r="E123" s="3294"/>
      <c r="F123" s="3294"/>
      <c r="G123" s="3294"/>
      <c r="H123" s="3294"/>
      <c r="I123" s="3293"/>
      <c r="AA123" s="684"/>
    </row>
    <row r="124" spans="1:27" ht="18.75" customHeight="1">
      <c r="A124" s="3298" t="str">
        <f>IF(项目基本情况!B9="房地产市场价值","",MID(E109,3,LEN(E109)-2))</f>
        <v/>
      </c>
      <c r="B124" s="3298"/>
      <c r="C124" s="3298"/>
      <c r="D124" s="3287" t="str">
        <f>H109</f>
        <v>——</v>
      </c>
      <c r="E124" s="3288"/>
      <c r="F124" s="3288"/>
      <c r="G124" s="3288"/>
      <c r="H124" s="3288"/>
      <c r="I124" s="3289"/>
      <c r="AA124" s="684"/>
    </row>
    <row r="125" spans="1:27" ht="18.75" customHeight="1">
      <c r="A125" s="3286" t="s">
        <v>1452</v>
      </c>
      <c r="B125" s="3286"/>
      <c r="C125" s="3286"/>
      <c r="D125" s="3292" t="e">
        <f>NUMBERSTRING(INT(D124*10000),2)&amp;"元整"</f>
        <v>#VALUE!</v>
      </c>
      <c r="E125" s="3294"/>
      <c r="F125" s="3294"/>
      <c r="G125" s="3294"/>
      <c r="H125" s="3294"/>
      <c r="I125" s="3293"/>
      <c r="AA125" s="684"/>
    </row>
    <row r="126" spans="1:27" ht="18.75" customHeight="1">
      <c r="A126" s="3298" t="str">
        <f>IF(项目基本情况!B9="房地产市场价值","",MID(E111,3,LEN(E111)-2))</f>
        <v/>
      </c>
      <c r="B126" s="3298"/>
      <c r="C126" s="3298"/>
      <c r="D126" s="3287" t="str">
        <f>H111</f>
        <v>——</v>
      </c>
      <c r="E126" s="3288"/>
      <c r="F126" s="3288"/>
      <c r="G126" s="3288"/>
      <c r="H126" s="3288"/>
      <c r="I126" s="3289"/>
      <c r="AA126" s="684"/>
    </row>
    <row r="127" spans="1:27" ht="18.75" customHeight="1">
      <c r="A127" s="3286" t="s">
        <v>1452</v>
      </c>
      <c r="B127" s="3286"/>
      <c r="C127" s="3286"/>
      <c r="D127" s="3292" t="e">
        <f>NUMBERSTRING(INT(D126*10000),2)&amp;"元整"</f>
        <v>#VALUE!</v>
      </c>
      <c r="E127" s="3294"/>
      <c r="F127" s="3294"/>
      <c r="G127" s="3294"/>
      <c r="H127" s="3294"/>
      <c r="I127" s="3293"/>
      <c r="AA127" s="684"/>
    </row>
    <row r="128" spans="1:27" ht="21.75" customHeight="1">
      <c r="A128" s="3295" t="s">
        <v>1453</v>
      </c>
      <c r="B128" s="3295"/>
      <c r="C128" s="3295"/>
      <c r="D128" s="3295"/>
      <c r="E128" s="3295"/>
      <c r="F128" s="3295"/>
      <c r="G128" s="3295"/>
      <c r="H128" s="3295"/>
      <c r="I128" s="329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x6lYcZPKU8IggjWHEZcE/BhBfMFAInhyneoznYoFFIq6dNKUgfUM0M35m3M7qHspKVX6Eby7CGA/chaFzNm4OA==" saltValue="wP5eg6YF6WQIeSaqr+zAew=="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4572</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56.87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56.87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23</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56.87</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5" t="s">
        <v>1544</v>
      </c>
    </row>
    <row r="43" spans="1:7" ht="13.5" customHeight="1">
      <c r="A43" s="734" t="s">
        <v>347</v>
      </c>
      <c r="B43" s="207" t="s">
        <v>1545</v>
      </c>
      <c r="C43" s="230">
        <f ca="1">ROUND(IF('数据-取费表'!B22&lt;=1,C39*F22*'数据-取费表'!B21/2,C39*(POWER((1+F22),'数据-取费表'!B21/2)-1)),0)</f>
        <v>0</v>
      </c>
      <c r="D43" s="230"/>
      <c r="E43" s="230"/>
      <c r="F43" s="231"/>
      <c r="G43" s="3366"/>
    </row>
    <row r="44" spans="1:7" ht="13.5" customHeight="1">
      <c r="A44" s="734" t="s">
        <v>348</v>
      </c>
      <c r="B44" s="207" t="s">
        <v>1546</v>
      </c>
      <c r="C44" s="230">
        <f ca="1">ROUND(IF('数据-取费表'!B22&lt;=1,C40*F22*'数据-取费表'!B21/2,C40*(POWER((1+F22),'数据-取费表'!B21/2)-1)),4)</f>
        <v>5.9999999999999995E-4</v>
      </c>
      <c r="D44" s="230"/>
      <c r="E44" s="230"/>
      <c r="F44" s="231"/>
      <c r="G44" s="3367"/>
    </row>
    <row r="45" spans="1:7" s="206" customFormat="1" ht="13.5" customHeight="1">
      <c r="A45" s="247" t="s">
        <v>1547</v>
      </c>
      <c r="B45" s="236" t="s">
        <v>1513</v>
      </c>
      <c r="C45" s="237">
        <f ca="1">C46</f>
        <v>5</v>
      </c>
      <c r="D45" s="227">
        <f ca="1">C47</f>
        <v>4.0000000000000001E-3</v>
      </c>
      <c r="E45" s="228" t="s">
        <v>1539</v>
      </c>
      <c r="F45" s="238">
        <f ca="1">F27</f>
        <v>0.2</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35</v>
      </c>
      <c r="D49" s="224"/>
      <c r="E49" s="224"/>
      <c r="F49" s="256"/>
      <c r="G49" s="226" t="s">
        <v>1554</v>
      </c>
    </row>
    <row r="50" spans="1:7" s="250" customFormat="1" ht="26">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25</v>
      </c>
      <c r="D51" s="224"/>
      <c r="E51" s="224"/>
      <c r="F51" s="256"/>
      <c r="G51" s="226" t="s">
        <v>1560</v>
      </c>
    </row>
    <row r="52" spans="1:7" s="200" customFormat="1" ht="16.5" thickBot="1">
      <c r="A52" s="257" t="s">
        <v>1561</v>
      </c>
      <c r="B52" s="258"/>
      <c r="C52" s="259">
        <f ca="1">C31+C51</f>
        <v>26</v>
      </c>
      <c r="D52" s="258"/>
      <c r="E52" s="258"/>
      <c r="F52" s="258"/>
      <c r="G52" s="260"/>
    </row>
    <row r="55" spans="1:7" ht="15.5">
      <c r="B55" s="262" t="s">
        <v>1562</v>
      </c>
      <c r="C55" s="263"/>
    </row>
    <row r="56" spans="1:7" ht="13">
      <c r="B56" s="265" t="s">
        <v>802</v>
      </c>
      <c r="C56" s="267">
        <f ca="1">1-C57</f>
        <v>3.8000000000000034E-2</v>
      </c>
    </row>
    <row r="57" spans="1:7" ht="13">
      <c r="B57" s="265" t="s">
        <v>803</v>
      </c>
      <c r="C57" s="266">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3" t="str">
        <f>项目基本情况!B1</f>
        <v>北京市朝阳区望京街9号商业楼1层1025房地产抵押价值预评估</v>
      </c>
      <c r="C37" s="3183"/>
      <c r="D37" s="3183"/>
      <c r="E37" s="3183"/>
      <c r="F37" s="3183"/>
      <c r="G37" s="3183"/>
      <c r="H37" s="3183"/>
      <c r="I37" s="318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-176</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56.87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56.87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56.87</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0" t="s">
        <v>694</v>
      </c>
      <c r="C6" s="1011">
        <f ca="1">ROUND(F6*F8*F7*(1-F9)/10000,0)</f>
        <v>0</v>
      </c>
      <c r="D6" s="147" t="s">
        <v>2109</v>
      </c>
      <c r="E6" s="294" t="s">
        <v>696</v>
      </c>
      <c r="F6" s="295">
        <f ca="1">INDIRECT("'数据-取费表'!u"&amp;$G$1)</f>
        <v>0</v>
      </c>
      <c r="G6" s="1292"/>
      <c r="H6" s="1006" t="s">
        <v>398</v>
      </c>
      <c r="I6" s="3370" t="s">
        <v>694</v>
      </c>
      <c r="J6" s="293">
        <f ca="1">ROUND(M6*M8*M7*(1-M9)/10000,0)</f>
        <v>0</v>
      </c>
      <c r="K6" s="147" t="s">
        <v>2108</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0</v>
      </c>
      <c r="G7" s="1292"/>
      <c r="H7" s="296"/>
      <c r="I7" s="3371"/>
      <c r="J7" s="298"/>
      <c r="K7" s="299"/>
      <c r="L7" s="294" t="s">
        <v>697</v>
      </c>
      <c r="M7" s="295">
        <f ca="1">F7</f>
        <v>0</v>
      </c>
    </row>
    <row r="8" spans="1:37" ht="18" customHeight="1">
      <c r="A8" s="296"/>
      <c r="B8" s="3371"/>
      <c r="C8" s="298"/>
      <c r="D8" s="299"/>
      <c r="E8" s="294" t="s">
        <v>698</v>
      </c>
      <c r="F8" s="295">
        <f ca="1">INDIRECT("'数据-取费表'!ai"&amp;$G$1)</f>
        <v>0</v>
      </c>
      <c r="G8" s="1292"/>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3333</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5"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68" t="s">
        <v>837</v>
      </c>
      <c r="L53" s="3369"/>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60" zoomScaleNormal="70" workbookViewId="0">
      <selection activeCell="K43" sqref="K43"/>
    </sheetView>
  </sheetViews>
  <sheetFormatPr defaultColWidth="9" defaultRowHeight="14"/>
  <cols>
    <col min="1" max="1" width="10.453125" style="347" customWidth="1"/>
    <col min="2" max="2" width="15.7265625" style="347" customWidth="1"/>
    <col min="3" max="3" width="18.90625" style="347" customWidth="1"/>
    <col min="4" max="4" width="12.26953125" style="347" customWidth="1"/>
    <col min="5" max="6" width="18.7265625" style="347" customWidth="1"/>
    <col min="7" max="7" width="17.1796875" style="347" customWidth="1"/>
    <col min="8" max="8" width="12.26953125" style="347" customWidth="1"/>
    <col min="9" max="9" width="20.3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673</v>
      </c>
      <c r="E1" s="3122" t="s">
        <v>3440</v>
      </c>
      <c r="F1" s="1735" t="s">
        <v>3441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272.94760000000002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47995</v>
      </c>
      <c r="C3" s="344" t="s">
        <v>1768</v>
      </c>
      <c r="D3" s="343">
        <f>IF(D1="",'数据-汇总表'!E3,SUMIF('数据-汇总表'!$C19:$C33,D1,'数据-汇总表'!$E19:$E33))</f>
        <v>56.87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379" t="s">
        <v>1771</v>
      </c>
      <c r="S4" s="3380"/>
      <c r="T4" s="3379" t="s">
        <v>1772</v>
      </c>
      <c r="U4" s="3380"/>
      <c r="V4" s="3376" t="s">
        <v>1773</v>
      </c>
      <c r="W4" s="3376"/>
      <c r="X4" s="1265"/>
      <c r="Y4" s="3379" t="s">
        <v>1775</v>
      </c>
      <c r="Z4" s="3380"/>
      <c r="AA4" s="3373" t="s">
        <v>1771</v>
      </c>
      <c r="AB4" s="3376" t="s">
        <v>1772</v>
      </c>
      <c r="AC4" s="3373" t="s">
        <v>1773</v>
      </c>
    </row>
    <row r="5" spans="1:29">
      <c r="A5" s="348"/>
      <c r="B5" s="349"/>
      <c r="C5" s="3385" t="s">
        <v>1673</v>
      </c>
      <c r="D5" s="3386"/>
      <c r="E5" s="3383" t="s">
        <v>3446</v>
      </c>
      <c r="F5" s="3384"/>
      <c r="G5" s="3389" t="s">
        <v>3476</v>
      </c>
      <c r="H5" s="3386"/>
      <c r="I5" s="3389" t="s">
        <v>3522</v>
      </c>
      <c r="J5" s="3386"/>
      <c r="K5" s="537"/>
      <c r="L5" s="2484"/>
      <c r="M5" s="2485"/>
      <c r="N5" s="2485"/>
      <c r="O5" s="2485"/>
      <c r="P5" s="3399"/>
      <c r="Q5" s="3400"/>
      <c r="R5" s="3381"/>
      <c r="S5" s="3382"/>
      <c r="T5" s="3381"/>
      <c r="U5" s="3382"/>
      <c r="V5" s="3376"/>
      <c r="W5" s="3376"/>
      <c r="X5" s="1265"/>
      <c r="Y5" s="3381"/>
      <c r="Z5" s="3382"/>
      <c r="AA5" s="3374"/>
      <c r="AB5" s="3376"/>
      <c r="AC5" s="3374"/>
    </row>
    <row r="6" spans="1:29" ht="15" thickBot="1">
      <c r="A6" s="350"/>
      <c r="B6" s="351"/>
      <c r="C6" s="3387" t="s">
        <v>1677</v>
      </c>
      <c r="D6" s="3388"/>
      <c r="E6" s="3390" t="s">
        <v>1677</v>
      </c>
      <c r="F6" s="3391"/>
      <c r="G6" s="3387" t="s">
        <v>1677</v>
      </c>
      <c r="H6" s="3388"/>
      <c r="I6" s="3387" t="s">
        <v>1677</v>
      </c>
      <c r="J6" s="3388"/>
      <c r="K6" s="537" t="s">
        <v>1678</v>
      </c>
      <c r="L6" s="2484"/>
      <c r="M6" s="2485"/>
      <c r="N6" s="2485"/>
      <c r="O6" s="2485"/>
      <c r="P6" s="3401"/>
      <c r="Q6" s="3402"/>
      <c r="R6" s="3381"/>
      <c r="S6" s="3382"/>
      <c r="T6" s="3403"/>
      <c r="U6" s="3404"/>
      <c r="V6" s="3376"/>
      <c r="W6" s="3376"/>
      <c r="X6" s="1265"/>
      <c r="Y6" s="3403"/>
      <c r="Z6" s="3404"/>
      <c r="AA6" s="3375"/>
      <c r="AB6" s="3376"/>
      <c r="AC6" s="3375"/>
    </row>
    <row r="7" spans="1:29" s="102" customFormat="1" ht="14.5" thickBot="1">
      <c r="A7" s="352" t="s">
        <v>1679</v>
      </c>
      <c r="B7" s="353"/>
      <c r="C7" s="354">
        <f>'数据-取费表'!B2</f>
        <v>46003</v>
      </c>
      <c r="D7" s="355">
        <v>100</v>
      </c>
      <c r="E7" s="356">
        <f>C7</f>
        <v>46003</v>
      </c>
      <c r="F7" s="357">
        <f>SUMIF(58:58,YEAR(E7)&amp;"-"&amp;MONTH(E7),59:59)</f>
        <v>100</v>
      </c>
      <c r="G7" s="356">
        <f>C7</f>
        <v>46003</v>
      </c>
      <c r="H7" s="355">
        <f>SUMIF(58:58,YEAR(G7)&amp;"-"&amp;MONTH(G7),59:59)</f>
        <v>100</v>
      </c>
      <c r="I7" s="356">
        <f>C7</f>
        <v>46003</v>
      </c>
      <c r="J7" s="355">
        <f>SUMIF(58:58,YEAR(I7)&amp;"-"&amp;MONTH(I7),59:59)</f>
        <v>100</v>
      </c>
      <c r="K7" s="38"/>
      <c r="L7" s="2486"/>
      <c r="M7" s="2438"/>
      <c r="N7" s="2438"/>
      <c r="O7" s="2438"/>
      <c r="P7" s="3377" t="s">
        <v>1680</v>
      </c>
      <c r="Q7" s="3405"/>
      <c r="R7" s="664" t="s">
        <v>14</v>
      </c>
      <c r="S7" s="665">
        <f t="shared" ref="S7:S15" si="0">F7</f>
        <v>100</v>
      </c>
      <c r="T7" s="664" t="s">
        <v>14</v>
      </c>
      <c r="U7" s="665">
        <f t="shared" ref="U7:U15" si="1">H7</f>
        <v>100</v>
      </c>
      <c r="V7" s="664" t="s">
        <v>14</v>
      </c>
      <c r="W7" s="665">
        <f t="shared" ref="W7:W15" si="2">J7</f>
        <v>100</v>
      </c>
      <c r="X7" s="666"/>
      <c r="Y7" s="3377" t="s">
        <v>1680</v>
      </c>
      <c r="Z7" s="3378"/>
      <c r="AA7" s="50">
        <f>D7/F7</f>
        <v>1</v>
      </c>
      <c r="AB7" s="50">
        <f>D7/H7</f>
        <v>1</v>
      </c>
      <c r="AC7" s="50">
        <f>D7/J7</f>
        <v>1</v>
      </c>
    </row>
    <row r="8" spans="1:29" s="102" customFormat="1" ht="14.5" thickBot="1">
      <c r="A8" s="352" t="s">
        <v>1681</v>
      </c>
      <c r="B8" s="353"/>
      <c r="C8" s="358" t="s">
        <v>3442</v>
      </c>
      <c r="D8" s="355">
        <v>100</v>
      </c>
      <c r="E8" s="358" t="s">
        <v>3455</v>
      </c>
      <c r="F8" s="357">
        <f>SUMIF(61:61,E8,62:62)-SUMIF(61:61,C8,62:62)+100</f>
        <v>105</v>
      </c>
      <c r="G8" s="358" t="s">
        <v>3455</v>
      </c>
      <c r="H8" s="355">
        <f>SUMIF(61:61,G8,62:62)-SUMIF(61:61,C8,62:62)+100</f>
        <v>105</v>
      </c>
      <c r="I8" s="358" t="s">
        <v>3455</v>
      </c>
      <c r="J8" s="355">
        <f>SUMIF(61:61,I8,62:62)-SUMIF(61:61,C8,62:62)+100</f>
        <v>105</v>
      </c>
      <c r="K8" s="38"/>
      <c r="L8" s="2486"/>
      <c r="M8" s="2438"/>
      <c r="N8" s="2438"/>
      <c r="O8" s="2438"/>
      <c r="P8" s="3377" t="s">
        <v>1683</v>
      </c>
      <c r="Q8" s="3378"/>
      <c r="R8" s="664" t="s">
        <v>14</v>
      </c>
      <c r="S8" s="665">
        <f t="shared" si="0"/>
        <v>105</v>
      </c>
      <c r="T8" s="664" t="s">
        <v>14</v>
      </c>
      <c r="U8" s="665">
        <f t="shared" si="1"/>
        <v>105</v>
      </c>
      <c r="V8" s="664" t="s">
        <v>14</v>
      </c>
      <c r="W8" s="665">
        <f t="shared" si="2"/>
        <v>105</v>
      </c>
      <c r="X8" s="666"/>
      <c r="Y8" s="3377" t="s">
        <v>1683</v>
      </c>
      <c r="Z8" s="3378"/>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72" t="s">
        <v>3443</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
      <c r="A10" s="363"/>
      <c r="B10" s="364" t="s">
        <v>1688</v>
      </c>
      <c r="C10" s="3130" t="s">
        <v>3444</v>
      </c>
      <c r="D10" s="119">
        <v>100</v>
      </c>
      <c r="E10" s="3131" t="s">
        <v>3479</v>
      </c>
      <c r="F10" s="364">
        <f>SUMIF(65:65,E10,66:66)-SUMIF(65:65,C10,66:66)+100</f>
        <v>105</v>
      </c>
      <c r="G10" s="3130" t="s">
        <v>3444</v>
      </c>
      <c r="H10" s="119">
        <f>SUMIF(65:65,G10,66:66)-SUMIF(65:65,C10,66:66)+100</f>
        <v>100</v>
      </c>
      <c r="I10" s="3131" t="s">
        <v>3479</v>
      </c>
      <c r="J10" s="119">
        <f>SUMIF(65:65,I10,66:66)-SUMIF(65:65,C10,66:66)+100</f>
        <v>105</v>
      </c>
      <c r="K10" s="38"/>
      <c r="L10" s="2487"/>
      <c r="M10" s="2488"/>
      <c r="N10" s="2488"/>
      <c r="O10" s="2488"/>
      <c r="P10" s="3392"/>
      <c r="Q10" s="530" t="str">
        <f t="shared" si="6"/>
        <v>土地使用年限（年）</v>
      </c>
      <c r="R10" s="664" t="s">
        <v>14</v>
      </c>
      <c r="S10" s="665">
        <f t="shared" si="0"/>
        <v>105</v>
      </c>
      <c r="T10" s="664" t="s">
        <v>14</v>
      </c>
      <c r="U10" s="665">
        <f t="shared" si="1"/>
        <v>100</v>
      </c>
      <c r="V10" s="664" t="s">
        <v>14</v>
      </c>
      <c r="W10" s="665">
        <f t="shared" si="2"/>
        <v>105</v>
      </c>
      <c r="X10" s="666"/>
      <c r="Y10" s="3341"/>
      <c r="Z10" s="50" t="str">
        <f t="shared" si="7"/>
        <v>土地使用年限（年）</v>
      </c>
      <c r="AA10" s="50">
        <f t="shared" si="3"/>
        <v>0.95238095238095233</v>
      </c>
      <c r="AB10" s="50">
        <f t="shared" si="4"/>
        <v>1</v>
      </c>
      <c r="AC10" s="50">
        <f t="shared" si="5"/>
        <v>0.95238095238095233</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92"/>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5">
      <c r="A12" s="370"/>
      <c r="B12" s="447">
        <v>111</v>
      </c>
      <c r="C12" s="371"/>
      <c r="D12" s="372">
        <v>100</v>
      </c>
      <c r="E12" s="373">
        <v>2008</v>
      </c>
      <c r="F12" s="364">
        <f>SUMIF(70:70,E12,71:71)-SUMIF(70:70,C12,71:71)+100</f>
        <v>100</v>
      </c>
      <c r="G12" s="373">
        <v>2008</v>
      </c>
      <c r="H12" s="119">
        <f>SUMIF(70:70,G12,71:71)-SUMIF(70:70,C12,71:71)+100</f>
        <v>100</v>
      </c>
      <c r="I12" s="373">
        <v>2009</v>
      </c>
      <c r="J12" s="119">
        <f>SUMIF(70:70,I12,71:71)-SUMIF(70:70,C12,71:71)+100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5">
      <c r="A13" s="367"/>
      <c r="B13" s="447">
        <v>111</v>
      </c>
      <c r="C13" s="373"/>
      <c r="D13" s="374">
        <v>100</v>
      </c>
      <c r="E13" s="373">
        <f>E12-2+40-2025</f>
        <v>21</v>
      </c>
      <c r="F13" s="364">
        <f>SUMIF(72:72,E13,73:73)-SUMIF(72:72,C13,73:73)+100</f>
        <v>100</v>
      </c>
      <c r="G13" s="3176">
        <v>52839</v>
      </c>
      <c r="H13" s="374">
        <f>SUMIF(72:72,G13,73:73)-SUMIF(72:72,C13,73:73)+100</f>
        <v>100</v>
      </c>
      <c r="I13" s="373">
        <f>I12-2+40-2025</f>
        <v>22</v>
      </c>
      <c r="J13" s="374">
        <f>SUMIF(72:72,I13,73:73)-SUMIF(72:72,C13,73:73)+100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6" thickBot="1">
      <c r="A14" s="375"/>
      <c r="B14" s="1749">
        <v>111</v>
      </c>
      <c r="C14" s="376"/>
      <c r="D14" s="377">
        <v>100</v>
      </c>
      <c r="E14" s="373">
        <f>ROUND(1-(1-0)*(2025-E12)/60,2)</f>
        <v>0.72</v>
      </c>
      <c r="F14" s="378">
        <f>SUMIF(74:74,E14,75:75)-SUMIF(74:74,C14,75:75)+100</f>
        <v>100</v>
      </c>
      <c r="G14" s="3177" t="s">
        <v>3478</v>
      </c>
      <c r="H14" s="377">
        <f>SUMIF(74:74,G14,75:75)-SUMIF(74:74,C14,75:75)+100</f>
        <v>100</v>
      </c>
      <c r="I14" s="373"/>
      <c r="J14" s="377">
        <f>SUMIF(74:74,I14,75:75)-SUMIF(74:74,C14,75:75)+100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56">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406" t="s">
        <v>1691</v>
      </c>
      <c r="Q15" s="1263" t="str">
        <f t="shared" si="6"/>
        <v>商业繁华度</v>
      </c>
      <c r="R15" s="667" t="s">
        <v>14</v>
      </c>
      <c r="S15" s="668">
        <f t="shared" si="0"/>
        <v>100</v>
      </c>
      <c r="T15" s="667" t="s">
        <v>14</v>
      </c>
      <c r="U15" s="668">
        <f t="shared" si="1"/>
        <v>100</v>
      </c>
      <c r="V15" s="667" t="s">
        <v>14</v>
      </c>
      <c r="W15" s="668">
        <f t="shared" si="2"/>
        <v>100</v>
      </c>
      <c r="X15" s="1265"/>
      <c r="Y15" s="3408" t="s">
        <v>1691</v>
      </c>
      <c r="Z15" s="1264" t="str">
        <f t="shared" si="7"/>
        <v>商业繁华度</v>
      </c>
      <c r="AA15" s="1264">
        <f t="shared" si="3"/>
        <v>1</v>
      </c>
      <c r="AB15" s="1264">
        <f t="shared" si="4"/>
        <v>1</v>
      </c>
      <c r="AC15" s="1264">
        <f t="shared" si="5"/>
        <v>1</v>
      </c>
    </row>
    <row r="16" spans="1:29" ht="15.5">
      <c r="A16" s="367"/>
      <c r="B16" s="385"/>
      <c r="C16" s="386" t="s">
        <v>3445</v>
      </c>
      <c r="D16" s="387"/>
      <c r="E16" s="386" t="s">
        <v>3445</v>
      </c>
      <c r="F16" s="388"/>
      <c r="G16" s="386" t="s">
        <v>3445</v>
      </c>
      <c r="H16" s="389"/>
      <c r="I16" s="386" t="s">
        <v>3445</v>
      </c>
      <c r="J16" s="387"/>
      <c r="K16" s="541"/>
      <c r="L16" s="2490"/>
      <c r="M16" s="2485"/>
      <c r="N16" s="2485"/>
      <c r="O16" s="2485"/>
      <c r="P16" s="3407"/>
      <c r="Q16" s="1263"/>
      <c r="R16" s="667"/>
      <c r="S16" s="668"/>
      <c r="T16" s="667"/>
      <c r="U16" s="668"/>
      <c r="V16" s="667"/>
      <c r="W16" s="668"/>
      <c r="X16" s="1265"/>
      <c r="Y16" s="3409"/>
      <c r="Z16" s="1264"/>
      <c r="AA16" s="1264">
        <v>1</v>
      </c>
      <c r="AB16" s="1264">
        <v>1</v>
      </c>
      <c r="AC16" s="1264">
        <v>1</v>
      </c>
    </row>
    <row r="17" spans="1:29" ht="70">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5">
      <c r="A18" s="367"/>
      <c r="B18" s="395"/>
      <c r="C18" s="386" t="s">
        <v>3445</v>
      </c>
      <c r="D18" s="389"/>
      <c r="E18" s="386" t="s">
        <v>3445</v>
      </c>
      <c r="F18" s="392"/>
      <c r="G18" s="386" t="s">
        <v>3445</v>
      </c>
      <c r="H18" s="387"/>
      <c r="I18" s="386" t="s">
        <v>3445</v>
      </c>
      <c r="J18" s="387"/>
      <c r="K18" s="541"/>
      <c r="L18" s="2490"/>
      <c r="M18" s="2485"/>
      <c r="N18" s="2485"/>
      <c r="O18" s="2485"/>
      <c r="P18" s="3407"/>
      <c r="Q18" s="1263"/>
      <c r="R18" s="667"/>
      <c r="S18" s="668"/>
      <c r="T18" s="667"/>
      <c r="U18" s="668"/>
      <c r="V18" s="667"/>
      <c r="W18" s="668"/>
      <c r="X18" s="1265"/>
      <c r="Y18" s="3409"/>
      <c r="Z18" s="1264"/>
      <c r="AA18" s="1264">
        <v>1</v>
      </c>
      <c r="AB18" s="1264">
        <v>1</v>
      </c>
      <c r="AC18" s="1264">
        <v>1</v>
      </c>
    </row>
    <row r="19" spans="1:29" ht="28">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5">
      <c r="A20" s="367"/>
      <c r="B20" s="395"/>
      <c r="C20" s="386" t="s">
        <v>3445</v>
      </c>
      <c r="D20" s="387"/>
      <c r="E20" s="386" t="s">
        <v>3445</v>
      </c>
      <c r="F20" s="388"/>
      <c r="G20" s="386" t="s">
        <v>3445</v>
      </c>
      <c r="H20" s="387"/>
      <c r="I20" s="386" t="s">
        <v>3445</v>
      </c>
      <c r="J20" s="387"/>
      <c r="K20" s="541"/>
      <c r="L20" s="2490"/>
      <c r="M20" s="2485"/>
      <c r="N20" s="2485"/>
      <c r="O20" s="2485"/>
      <c r="P20" s="3407"/>
      <c r="Q20" s="1263"/>
      <c r="R20" s="667"/>
      <c r="S20" s="668"/>
      <c r="T20" s="667"/>
      <c r="U20" s="668"/>
      <c r="V20" s="667"/>
      <c r="W20" s="668"/>
      <c r="X20" s="1265"/>
      <c r="Y20" s="3409"/>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5">
      <c r="A22" s="367"/>
      <c r="B22" s="586"/>
      <c r="C22" s="1755" t="s">
        <v>3489</v>
      </c>
      <c r="D22" s="387"/>
      <c r="E22" s="1755" t="s">
        <v>3489</v>
      </c>
      <c r="F22" s="388"/>
      <c r="G22" s="1755" t="s">
        <v>3489</v>
      </c>
      <c r="H22" s="387"/>
      <c r="I22" s="1755" t="s">
        <v>3489</v>
      </c>
      <c r="J22" s="387"/>
      <c r="K22" s="1064"/>
      <c r="L22" s="2490"/>
      <c r="M22" s="2485"/>
      <c r="N22" s="2485"/>
      <c r="O22" s="2485"/>
      <c r="P22" s="3407"/>
      <c r="Q22" s="1263"/>
      <c r="R22" s="667"/>
      <c r="S22" s="668"/>
      <c r="T22" s="667"/>
      <c r="U22" s="668"/>
      <c r="V22" s="667"/>
      <c r="W22" s="668"/>
      <c r="X22" s="1265"/>
      <c r="Y22" s="3409"/>
      <c r="Z22" s="1264"/>
      <c r="AA22" s="1264">
        <v>1</v>
      </c>
      <c r="AB22" s="1264">
        <v>1</v>
      </c>
      <c r="AC22" s="1264">
        <v>1</v>
      </c>
    </row>
    <row r="23" spans="1:29" ht="4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407"/>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5">
      <c r="A24" s="367"/>
      <c r="B24" s="395"/>
      <c r="C24" s="386" t="s">
        <v>3445</v>
      </c>
      <c r="D24" s="387"/>
      <c r="E24" s="386" t="s">
        <v>3445</v>
      </c>
      <c r="F24" s="388"/>
      <c r="G24" s="386" t="s">
        <v>3445</v>
      </c>
      <c r="H24" s="387"/>
      <c r="I24" s="386" t="s">
        <v>3445</v>
      </c>
      <c r="J24" s="387"/>
      <c r="K24" s="541"/>
      <c r="L24" s="2490"/>
      <c r="M24" s="2485"/>
      <c r="N24" s="2485"/>
      <c r="O24" s="2485"/>
      <c r="P24" s="3407"/>
      <c r="Q24" s="1263"/>
      <c r="R24" s="667"/>
      <c r="S24" s="668"/>
      <c r="T24" s="667"/>
      <c r="U24" s="668"/>
      <c r="V24" s="667"/>
      <c r="W24" s="668"/>
      <c r="X24" s="1265"/>
      <c r="Y24" s="3409"/>
      <c r="Z24" s="1264"/>
      <c r="AA24" s="1264">
        <v>1</v>
      </c>
      <c r="AB24" s="1264">
        <v>1</v>
      </c>
      <c r="AC24" s="1264">
        <v>1</v>
      </c>
    </row>
    <row r="25" spans="1:29" ht="15.5">
      <c r="A25" s="367"/>
      <c r="B25" s="364" t="s">
        <v>1780</v>
      </c>
      <c r="C25" s="542" t="s">
        <v>3459</v>
      </c>
      <c r="D25" s="374">
        <v>100</v>
      </c>
      <c r="E25" s="542" t="s">
        <v>3461</v>
      </c>
      <c r="F25" s="400">
        <f>SUMIF(86:86,E25,87:87)-SUMIF(86:86,C25,87:87)+100</f>
        <v>97</v>
      </c>
      <c r="G25" s="542" t="s">
        <v>3461</v>
      </c>
      <c r="H25" s="374">
        <f>SUMIF(86:86,G25,87:87)-SUMIF(86:86,C25,87:87)+100</f>
        <v>97</v>
      </c>
      <c r="I25" s="542" t="s">
        <v>3461</v>
      </c>
      <c r="J25" s="374">
        <f>SUMIF(86:86,I25,87:87)-SUMIF(86:86,C25,87:87)+100</f>
        <v>97</v>
      </c>
      <c r="K25" s="538">
        <v>3</v>
      </c>
      <c r="L25" s="2490"/>
      <c r="M25" s="2485"/>
      <c r="N25" s="2485"/>
      <c r="O25" s="2485"/>
      <c r="P25" s="3407"/>
      <c r="Q25" s="1263" t="str">
        <f t="shared" ref="Q25:Q46" si="11">B25</f>
        <v>临街状况</v>
      </c>
      <c r="R25" s="667" t="s">
        <v>14</v>
      </c>
      <c r="S25" s="668">
        <f>F25</f>
        <v>97</v>
      </c>
      <c r="T25" s="667" t="s">
        <v>14</v>
      </c>
      <c r="U25" s="668">
        <f>H25</f>
        <v>97</v>
      </c>
      <c r="V25" s="667" t="s">
        <v>14</v>
      </c>
      <c r="W25" s="668">
        <f>J25</f>
        <v>97</v>
      </c>
      <c r="X25" s="1265"/>
      <c r="Y25" s="3409"/>
      <c r="Z25" s="1264" t="str">
        <f>Q25</f>
        <v>临街状况</v>
      </c>
      <c r="AA25" s="1264">
        <f t="shared" si="3"/>
        <v>1.0309278350515463</v>
      </c>
      <c r="AB25" s="1264">
        <f t="shared" si="4"/>
        <v>1.0309278350515463</v>
      </c>
      <c r="AC25" s="1264">
        <f t="shared" si="5"/>
        <v>1.0309278350515463</v>
      </c>
    </row>
    <row r="26" spans="1:29" ht="15.5">
      <c r="A26" s="367"/>
      <c r="B26" s="1066" t="s">
        <v>1781</v>
      </c>
      <c r="C26" s="3177" t="s">
        <v>3510</v>
      </c>
      <c r="D26" s="374">
        <v>100</v>
      </c>
      <c r="E26" s="3177" t="s">
        <v>3468</v>
      </c>
      <c r="F26" s="400">
        <f>SUMIF(88:88,E26,89:89)-SUMIF(88:88,C26,89:89)+100</f>
        <v>90</v>
      </c>
      <c r="G26" s="3177" t="s">
        <v>3468</v>
      </c>
      <c r="H26" s="374">
        <f>SUMIF(88:88,G26,89:89)-SUMIF(88:88,C26,89:89)+100</f>
        <v>90</v>
      </c>
      <c r="I26" s="3177" t="s">
        <v>3468</v>
      </c>
      <c r="J26" s="374">
        <f>SUMIF(88:88,I26,89:89)-SUMIF(88:88,C26,89:89)+100</f>
        <v>90</v>
      </c>
      <c r="K26" s="539"/>
      <c r="L26" s="2490"/>
      <c r="M26" s="2485"/>
      <c r="N26" s="2485"/>
      <c r="O26" s="2485"/>
      <c r="P26" s="3407"/>
      <c r="Q26" s="1263" t="str">
        <f t="shared" si="11"/>
        <v>平面位置/可视性</v>
      </c>
      <c r="R26" s="667" t="s">
        <v>14</v>
      </c>
      <c r="S26" s="668">
        <f>F26</f>
        <v>90</v>
      </c>
      <c r="T26" s="667" t="s">
        <v>14</v>
      </c>
      <c r="U26" s="668">
        <f>H26</f>
        <v>90</v>
      </c>
      <c r="V26" s="667" t="s">
        <v>14</v>
      </c>
      <c r="W26" s="668">
        <f>J26</f>
        <v>90</v>
      </c>
      <c r="X26" s="1265"/>
      <c r="Y26" s="3409"/>
      <c r="Z26" s="1264" t="str">
        <f>Q26</f>
        <v>平面位置/可视性</v>
      </c>
      <c r="AA26" s="1264">
        <f t="shared" si="3"/>
        <v>1.1111111111111112</v>
      </c>
      <c r="AB26" s="1264">
        <f t="shared" si="4"/>
        <v>1.1111111111111112</v>
      </c>
      <c r="AC26" s="1264">
        <f t="shared" si="5"/>
        <v>1.1111111111111112</v>
      </c>
    </row>
    <row r="27" spans="1:29" s="102" customFormat="1" ht="15.5">
      <c r="A27" s="370"/>
      <c r="B27" s="390" t="s">
        <v>1782</v>
      </c>
      <c r="C27" s="1807" t="s">
        <v>3515</v>
      </c>
      <c r="D27" s="401">
        <v>100</v>
      </c>
      <c r="E27" s="1807" t="s">
        <v>3515</v>
      </c>
      <c r="F27" s="395">
        <f>SUMIF(90:90,E27,91:91)-SUMIF(90:90,C27,91:91)+100</f>
        <v>100</v>
      </c>
      <c r="G27" s="1807" t="s">
        <v>3515</v>
      </c>
      <c r="H27" s="401">
        <f>SUMIF(90:90,G27,91:91)-SUMIF(90:90,C27,91:91)+100</f>
        <v>100</v>
      </c>
      <c r="I27" s="1807" t="s">
        <v>3515</v>
      </c>
      <c r="J27" s="401">
        <f>SUMIF(90:90,I27,91:91)-SUMIF(90:90,C27,91:91)+100</f>
        <v>100</v>
      </c>
      <c r="K27" s="538">
        <v>2</v>
      </c>
      <c r="L27" s="2486"/>
      <c r="M27" s="2438"/>
      <c r="N27" s="2438"/>
      <c r="O27" s="2438"/>
      <c r="P27" s="3407"/>
      <c r="Q27" s="530" t="str">
        <f t="shared" si="11"/>
        <v>人流量</v>
      </c>
      <c r="R27" s="664" t="s">
        <v>14</v>
      </c>
      <c r="S27" s="665">
        <f>F27</f>
        <v>100</v>
      </c>
      <c r="T27" s="664" t="s">
        <v>14</v>
      </c>
      <c r="U27" s="665">
        <f>H27</f>
        <v>100</v>
      </c>
      <c r="V27" s="664" t="s">
        <v>14</v>
      </c>
      <c r="W27" s="665">
        <f>J27</f>
        <v>100</v>
      </c>
      <c r="X27" s="666"/>
      <c r="Y27" s="3409"/>
      <c r="Z27" s="50" t="str">
        <f>Q27</f>
        <v>人流量</v>
      </c>
      <c r="AA27" s="1264">
        <f>D27/F27</f>
        <v>1</v>
      </c>
      <c r="AB27" s="1264">
        <f>D27/H27</f>
        <v>1</v>
      </c>
      <c r="AC27" s="1264">
        <f>D27/J27</f>
        <v>1</v>
      </c>
    </row>
    <row r="28" spans="1:29" ht="15.5">
      <c r="A28" s="367"/>
      <c r="B28" s="364" t="s">
        <v>1783</v>
      </c>
      <c r="C28" s="542" t="s">
        <v>3477</v>
      </c>
      <c r="D28" s="374">
        <v>100</v>
      </c>
      <c r="E28" s="542" t="s">
        <v>3477</v>
      </c>
      <c r="F28" s="400">
        <f>SUMIF(92:92,E28,93:93)-SUMIF(92:92,C28,93:93)+100</f>
        <v>100</v>
      </c>
      <c r="G28" s="542" t="s">
        <v>3477</v>
      </c>
      <c r="H28" s="374">
        <f>SUMIF(92:92,G28,93:93)-SUMIF(92:92,C28,93:93)+100</f>
        <v>100</v>
      </c>
      <c r="I28" s="542" t="s">
        <v>3477</v>
      </c>
      <c r="J28" s="374">
        <f>SUMIF(92:92,I28,93:93)-SUMIF(92:92,C28,93:93)+100</f>
        <v>100</v>
      </c>
      <c r="K28" s="539"/>
      <c r="L28" s="2490"/>
      <c r="M28" s="2485"/>
      <c r="N28" s="2485"/>
      <c r="O28" s="2485"/>
      <c r="P28" s="34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7"/>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5">
      <c r="A32" s="379" t="s">
        <v>1694</v>
      </c>
      <c r="B32" s="60" t="s">
        <v>1784</v>
      </c>
      <c r="C32" s="1764" t="s">
        <v>3513</v>
      </c>
      <c r="D32" s="405">
        <v>100</v>
      </c>
      <c r="E32" s="1764" t="s">
        <v>3513</v>
      </c>
      <c r="F32" s="400">
        <f>SUMIF(100:100,E32,101:101)-SUMIF(100:100,C32,101:101)+100</f>
        <v>100</v>
      </c>
      <c r="G32" s="1764" t="s">
        <v>3513</v>
      </c>
      <c r="H32" s="374">
        <f>SUMIF(100:100,G32,101:101)-SUMIF(100:100,C32,101:101)+100</f>
        <v>100</v>
      </c>
      <c r="I32" s="1764" t="s">
        <v>3513</v>
      </c>
      <c r="J32" s="405">
        <f>SUMIF(100:100,I32,101:101)-SUMIF(100:100,C32,101:101)+100</f>
        <v>100</v>
      </c>
      <c r="K32" s="538">
        <v>2</v>
      </c>
      <c r="L32" s="2490"/>
      <c r="M32" s="2485"/>
      <c r="N32" s="2485"/>
      <c r="O32" s="2485"/>
      <c r="P32" s="3410" t="s">
        <v>1696</v>
      </c>
      <c r="Q32" s="1263" t="str">
        <f t="shared" si="11"/>
        <v>商业类型</v>
      </c>
      <c r="R32" s="667" t="s">
        <v>14</v>
      </c>
      <c r="S32" s="668">
        <f t="shared" si="12"/>
        <v>100</v>
      </c>
      <c r="T32" s="667" t="s">
        <v>14</v>
      </c>
      <c r="U32" s="668">
        <f t="shared" si="13"/>
        <v>100</v>
      </c>
      <c r="V32" s="667" t="s">
        <v>14</v>
      </c>
      <c r="W32" s="668">
        <f t="shared" si="14"/>
        <v>100</v>
      </c>
      <c r="X32" s="1265"/>
      <c r="Y32" s="3413"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56.87</v>
      </c>
      <c r="D33" s="119">
        <v>100</v>
      </c>
      <c r="E33" s="369">
        <v>93.62</v>
      </c>
      <c r="F33" s="364">
        <f>LOOKUP(E33,103:103,104:104)-LOOKUP(C33,103:103,104:104)+100</f>
        <v>99</v>
      </c>
      <c r="G33" s="368">
        <v>47.57</v>
      </c>
      <c r="H33" s="119">
        <f>LOOKUP(G33,103:103,104:104)-LOOKUP(C33,103:103,104:104)+100</f>
        <v>100</v>
      </c>
      <c r="I33" s="368">
        <v>269.74</v>
      </c>
      <c r="J33" s="119">
        <f>LOOKUP(I33,103:103,104:104)-LOOKUP(C33,103:103,104:104)+100</f>
        <v>98</v>
      </c>
      <c r="K33" s="539"/>
      <c r="L33" s="2489"/>
      <c r="M33" s="2491"/>
      <c r="N33" s="2491"/>
      <c r="O33" s="2491"/>
      <c r="P33" s="3411"/>
      <c r="Q33" s="531" t="str">
        <f t="shared" si="11"/>
        <v>项目建筑规模</v>
      </c>
      <c r="R33" s="669" t="s">
        <v>14</v>
      </c>
      <c r="S33" s="670">
        <f t="shared" si="12"/>
        <v>99</v>
      </c>
      <c r="T33" s="669" t="s">
        <v>14</v>
      </c>
      <c r="U33" s="670">
        <f t="shared" si="13"/>
        <v>100</v>
      </c>
      <c r="V33" s="669" t="s">
        <v>14</v>
      </c>
      <c r="W33" s="670">
        <f t="shared" si="14"/>
        <v>98</v>
      </c>
      <c r="X33" s="671"/>
      <c r="Y33" s="3413"/>
      <c r="Z33" s="672" t="str">
        <f t="shared" si="15"/>
        <v>项目建筑规模</v>
      </c>
      <c r="AA33" s="1264">
        <f t="shared" si="3"/>
        <v>1.0101010101010102</v>
      </c>
      <c r="AB33" s="1264">
        <f t="shared" si="4"/>
        <v>1</v>
      </c>
      <c r="AC33" s="1264">
        <f t="shared" si="5"/>
        <v>1.0204081632653061</v>
      </c>
    </row>
    <row r="34" spans="1:29" ht="15.5">
      <c r="A34" s="409"/>
      <c r="B34" s="364" t="s">
        <v>1698</v>
      </c>
      <c r="C34" s="399" t="s">
        <v>3430</v>
      </c>
      <c r="D34" s="374">
        <v>100</v>
      </c>
      <c r="E34" s="399" t="s">
        <v>3430</v>
      </c>
      <c r="F34" s="400">
        <f>SUMIF(105:105,E34,106:106)-SUMIF(105:105,C34,106:106)+100</f>
        <v>100</v>
      </c>
      <c r="G34" s="399" t="s">
        <v>3430</v>
      </c>
      <c r="H34" s="374">
        <f>SUMIF(105:105,G34,106:106)-SUMIF(105:105,C34,106:106)+100</f>
        <v>100</v>
      </c>
      <c r="I34" s="399" t="s">
        <v>3430</v>
      </c>
      <c r="J34" s="374">
        <f>SUMIF(105:105,I34,106:106)-SUMIF(105:105,C34,106:106)+100</f>
        <v>100</v>
      </c>
      <c r="K34" s="538">
        <v>2</v>
      </c>
      <c r="L34" s="2490"/>
      <c r="M34" s="2485"/>
      <c r="N34" s="2485"/>
      <c r="O34" s="2485"/>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5">
      <c r="A36" s="409"/>
      <c r="B36" s="364" t="s">
        <v>1786</v>
      </c>
      <c r="C36" s="411">
        <f>'数据-取费表'!N6</f>
        <v>0.7</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90"/>
      <c r="M36" s="2485"/>
      <c r="N36" s="2485"/>
      <c r="O36" s="2485"/>
      <c r="P36" s="3411"/>
      <c r="Q36" s="1263" t="str">
        <f t="shared" si="11"/>
        <v>成新度</v>
      </c>
      <c r="R36" s="667" t="s">
        <v>14</v>
      </c>
      <c r="S36" s="668">
        <f t="shared" si="12"/>
        <v>100</v>
      </c>
      <c r="T36" s="667" t="s">
        <v>14</v>
      </c>
      <c r="U36" s="668">
        <f t="shared" si="13"/>
        <v>100</v>
      </c>
      <c r="V36" s="667" t="s">
        <v>14</v>
      </c>
      <c r="W36" s="668">
        <f t="shared" si="14"/>
        <v>100</v>
      </c>
      <c r="X36" s="1265"/>
      <c r="Y36" s="3413"/>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6"/>
      <c r="M37" s="2438"/>
      <c r="N37" s="2438"/>
      <c r="O37" s="2438"/>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5">
      <c r="A38" s="409"/>
      <c r="B38" s="364" t="s">
        <v>1788</v>
      </c>
      <c r="C38" s="1760" t="s">
        <v>3447</v>
      </c>
      <c r="D38" s="374">
        <v>100</v>
      </c>
      <c r="E38" s="1760" t="s">
        <v>3449</v>
      </c>
      <c r="F38" s="400">
        <f>SUMIF(114:114,E38,115:115)-SUMIF(114:114,C38,115:115)+100</f>
        <v>97</v>
      </c>
      <c r="G38" s="1760" t="s">
        <v>3449</v>
      </c>
      <c r="H38" s="374">
        <f>SUMIF(114:114,G38,115:115)-SUMIF(114:114,C38,115:115)+100</f>
        <v>97</v>
      </c>
      <c r="I38" s="1760" t="s">
        <v>3449</v>
      </c>
      <c r="J38" s="374">
        <f>SUMIF(114:114,I38,115:115)-SUMIF(114:114,C38,115:115)+100</f>
        <v>97</v>
      </c>
      <c r="K38" s="538">
        <v>3</v>
      </c>
      <c r="L38" s="2490"/>
      <c r="M38" s="2485"/>
      <c r="N38" s="2485"/>
      <c r="O38" s="2485"/>
      <c r="P38" s="3411" t="s">
        <v>1696</v>
      </c>
      <c r="Q38" s="1263" t="str">
        <f t="shared" si="11"/>
        <v>业态</v>
      </c>
      <c r="R38" s="667" t="s">
        <v>14</v>
      </c>
      <c r="S38" s="668">
        <f t="shared" si="12"/>
        <v>97</v>
      </c>
      <c r="T38" s="667" t="s">
        <v>14</v>
      </c>
      <c r="U38" s="668">
        <f t="shared" si="13"/>
        <v>97</v>
      </c>
      <c r="V38" s="667" t="s">
        <v>14</v>
      </c>
      <c r="W38" s="668">
        <f t="shared" si="14"/>
        <v>97</v>
      </c>
      <c r="X38" s="1265"/>
      <c r="Y38" s="3413" t="s">
        <v>1696</v>
      </c>
      <c r="Z38" s="1264" t="str">
        <f t="shared" si="15"/>
        <v>业态</v>
      </c>
      <c r="AA38" s="1264">
        <f t="shared" si="3"/>
        <v>1.0309278350515463</v>
      </c>
      <c r="AB38" s="1264">
        <f t="shared" si="4"/>
        <v>1.0309278350515463</v>
      </c>
      <c r="AC38" s="1264">
        <f t="shared" si="5"/>
        <v>1.0309278350515463</v>
      </c>
    </row>
    <row r="39" spans="1:29" ht="15.5">
      <c r="A39" s="409"/>
      <c r="B39" s="364" t="s">
        <v>1789</v>
      </c>
      <c r="C39" s="1760" t="s">
        <v>3502</v>
      </c>
      <c r="D39" s="374">
        <v>100</v>
      </c>
      <c r="E39" s="1760" t="s">
        <v>3502</v>
      </c>
      <c r="F39" s="400">
        <f>SUMIF(116:116,E39,117:117)-SUMIF(116:116,C39,117:117)+100</f>
        <v>100</v>
      </c>
      <c r="G39" s="1760" t="s">
        <v>3502</v>
      </c>
      <c r="H39" s="374">
        <f>SUMIF(116:116,G39,117:117)-SUMIF(116:116,C39,117:117)+100</f>
        <v>100</v>
      </c>
      <c r="I39" s="1760" t="s">
        <v>3502</v>
      </c>
      <c r="J39" s="374">
        <f>SUMIF(116:116,I39,117:117)-SUMIF(116:116,C39,117:117)+100</f>
        <v>100</v>
      </c>
      <c r="K39" s="538">
        <v>5</v>
      </c>
      <c r="L39" s="2490"/>
      <c r="M39" s="2485"/>
      <c r="N39" s="2485"/>
      <c r="O39" s="2485"/>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5">
      <c r="A42" s="409"/>
      <c r="B42" s="364" t="s">
        <v>1792</v>
      </c>
      <c r="C42" s="1760" t="s">
        <v>3508</v>
      </c>
      <c r="D42" s="374">
        <v>100</v>
      </c>
      <c r="E42" s="1760" t="s">
        <v>3505</v>
      </c>
      <c r="F42" s="400">
        <f>SUMIF(122:122,E42,123:123)-SUMIF(122:122,C42,123:123)+100</f>
        <v>102</v>
      </c>
      <c r="G42" s="1760" t="s">
        <v>3505</v>
      </c>
      <c r="H42" s="374">
        <f>SUMIF(122:122,G42,123:123)-SUMIF(122:122,C42,123:123)+100</f>
        <v>102</v>
      </c>
      <c r="I42" s="1760" t="s">
        <v>3505</v>
      </c>
      <c r="J42" s="374">
        <f>SUMIF(122:122,I42,123:123)-SUMIF(122:122,C42,123:123)+100</f>
        <v>102</v>
      </c>
      <c r="K42" s="538">
        <v>1</v>
      </c>
      <c r="L42" s="2490"/>
      <c r="M42" s="2485"/>
      <c r="N42" s="2485"/>
      <c r="O42" s="2485"/>
      <c r="P42" s="3411"/>
      <c r="Q42" s="1263" t="str">
        <f t="shared" si="11"/>
        <v>内部装修</v>
      </c>
      <c r="R42" s="667" t="s">
        <v>14</v>
      </c>
      <c r="S42" s="668">
        <f t="shared" si="12"/>
        <v>102</v>
      </c>
      <c r="T42" s="667" t="s">
        <v>14</v>
      </c>
      <c r="U42" s="668">
        <f t="shared" si="13"/>
        <v>102</v>
      </c>
      <c r="V42" s="667" t="s">
        <v>14</v>
      </c>
      <c r="W42" s="668">
        <f t="shared" si="14"/>
        <v>102</v>
      </c>
      <c r="X42" s="1265"/>
      <c r="Y42" s="3413"/>
      <c r="Z42" s="1264" t="str">
        <f t="shared" si="15"/>
        <v>内部装修</v>
      </c>
      <c r="AA42" s="1264">
        <f t="shared" si="3"/>
        <v>0.98039215686274506</v>
      </c>
      <c r="AB42" s="1264">
        <f t="shared" si="4"/>
        <v>0.98039215686274506</v>
      </c>
      <c r="AC42" s="1264">
        <f t="shared" si="5"/>
        <v>0.98039215686274506</v>
      </c>
    </row>
    <row r="43" spans="1:29" ht="28">
      <c r="A43" s="409"/>
      <c r="B43" s="364" t="s">
        <v>1707</v>
      </c>
      <c r="C43" s="1760" t="s">
        <v>3445</v>
      </c>
      <c r="D43" s="374">
        <v>100</v>
      </c>
      <c r="E43" s="1760" t="s">
        <v>3445</v>
      </c>
      <c r="F43" s="400">
        <f>SUMIF(124:124,E43,125:125)-SUMIF(124:124,C43,125:125)+100</f>
        <v>100</v>
      </c>
      <c r="G43" s="1760" t="s">
        <v>3445</v>
      </c>
      <c r="H43" s="374">
        <f>SUMIF(124:124,G43,125:125)-SUMIF(124:124,C43,125:125)+100</f>
        <v>100</v>
      </c>
      <c r="I43" s="1760" t="s">
        <v>3445</v>
      </c>
      <c r="J43" s="374">
        <f>SUMIF(124:124,I43,125:125)-SUMIF(124:124,C43,125:125)+100</f>
        <v>100</v>
      </c>
      <c r="K43" s="538">
        <v>2</v>
      </c>
      <c r="L43" s="2490"/>
      <c r="M43" s="2485"/>
      <c r="N43" s="2485"/>
      <c r="O43" s="2485"/>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c r="A47" s="416" t="s">
        <v>1708</v>
      </c>
      <c r="B47" s="417"/>
      <c r="C47" s="1081" t="s">
        <v>0</v>
      </c>
      <c r="D47" s="418"/>
      <c r="E47" s="419">
        <v>42726</v>
      </c>
      <c r="F47" s="420"/>
      <c r="G47" s="421">
        <v>46248</v>
      </c>
      <c r="H47" s="422"/>
      <c r="I47" s="419">
        <v>44488</v>
      </c>
      <c r="J47" s="422"/>
      <c r="K47" s="674"/>
      <c r="L47" s="2492"/>
      <c r="M47" s="2485"/>
      <c r="N47" s="2485"/>
      <c r="O47" s="2485"/>
      <c r="P47" s="3415" t="str">
        <f>A47</f>
        <v>成交单价（元/平方米）</v>
      </c>
      <c r="Q47" s="3415"/>
      <c r="R47" s="3376">
        <f>E47</f>
        <v>42726</v>
      </c>
      <c r="S47" s="3376"/>
      <c r="T47" s="3376">
        <f>G47</f>
        <v>46248</v>
      </c>
      <c r="U47" s="3376"/>
      <c r="V47" s="3376">
        <f>I47</f>
        <v>44488</v>
      </c>
      <c r="W47" s="3376"/>
      <c r="X47" s="385"/>
      <c r="Y47" s="673"/>
      <c r="Z47" s="385"/>
      <c r="AA47" s="385"/>
      <c r="AB47" s="385"/>
      <c r="AC47" s="385"/>
    </row>
    <row r="48" spans="1:29" ht="14.5" thickBot="1">
      <c r="A48" s="423" t="s">
        <v>1793</v>
      </c>
      <c r="B48" s="424"/>
      <c r="C48" s="1082">
        <f>R49</f>
        <v>47995</v>
      </c>
      <c r="D48" s="2140" t="s">
        <v>2138</v>
      </c>
      <c r="E48" s="1083">
        <f>R48</f>
        <v>45320</v>
      </c>
      <c r="F48" s="2141"/>
      <c r="G48" s="1082">
        <f>T48</f>
        <v>50994</v>
      </c>
      <c r="H48" s="2141"/>
      <c r="I48" s="1083">
        <f>V48</f>
        <v>47671</v>
      </c>
      <c r="J48" s="2141"/>
      <c r="K48" s="2143">
        <f>F48+H48+J48</f>
        <v>0</v>
      </c>
      <c r="L48" s="2492"/>
      <c r="M48" s="2485"/>
      <c r="N48" s="2485"/>
      <c r="O48" s="2485"/>
      <c r="P48" s="3415" t="str">
        <f>A48</f>
        <v>比较价值（元/平方米）</v>
      </c>
      <c r="Q48" s="3415"/>
      <c r="R48" s="3376">
        <f>IF(F1="售价",ROUND(PRODUCT(R47,AA7:AA46),0),ROUND(PRODUCT(R47,AA7:AA46),1))</f>
        <v>45320</v>
      </c>
      <c r="S48" s="3376"/>
      <c r="T48" s="3376">
        <f>IF(F1="售价",ROUND(PRODUCT(T47,AB7:AB46),0),ROUND(PRODUCT(T47,AB7:AB46),1))</f>
        <v>50994</v>
      </c>
      <c r="U48" s="3376"/>
      <c r="V48" s="3376">
        <f>IF(F1="售价",ROUND(PRODUCT(V47,AC7:AC46),0),ROUND(PRODUCT(V47,AC7:AC46),1))</f>
        <v>47671</v>
      </c>
      <c r="W48" s="3376"/>
      <c r="X48" s="385"/>
      <c r="Y48" s="385"/>
      <c r="Z48" s="385"/>
      <c r="AA48" s="385"/>
      <c r="AB48" s="385"/>
      <c r="AC48" s="385"/>
    </row>
    <row r="49" spans="1:29" ht="14.5" thickBot="1">
      <c r="A49" s="427" t="s">
        <v>1794</v>
      </c>
      <c r="B49" s="428"/>
      <c r="C49" s="351">
        <f>R49</f>
        <v>47995</v>
      </c>
      <c r="D49" s="351"/>
      <c r="E49" s="351"/>
      <c r="F49" s="351"/>
      <c r="G49" s="351"/>
      <c r="H49" s="351"/>
      <c r="I49" s="351"/>
      <c r="J49" s="351"/>
      <c r="K49" s="675"/>
      <c r="L49" s="2492"/>
      <c r="M49" s="2485"/>
      <c r="N49" s="2485"/>
      <c r="O49" s="2485"/>
      <c r="P49" s="3416" t="str">
        <f>A49</f>
        <v>估价对象XX用房的比较价值（楼面单价，元/平方米）</v>
      </c>
      <c r="Q49" s="3417"/>
      <c r="R49" s="3418">
        <f>IF(F1="售价",ROUND(IF(D48="简单平均",AVERAGE(R48:V48),R48*F48+T48*H48+V48*J48),0),ROUND(IF(D48="简单平均",AVERAGE(R48:V48),R48*F48+T48*H48+V48*J48),1))</f>
        <v>47995</v>
      </c>
      <c r="S49" s="3418"/>
      <c r="T49" s="3418"/>
      <c r="U49" s="3418"/>
      <c r="V49" s="3418"/>
      <c r="W49" s="341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6.0712446753732996E-2</v>
      </c>
      <c r="F52" s="435" t="str">
        <f>IF(OR(E52&gt;=0.3,E52&lt;=-0.3),"超过30%","")</f>
        <v/>
      </c>
      <c r="G52" s="434">
        <f>IF(G47&lt;G48,G48/G47-1,G47/G48-1)</f>
        <v>0.10262065386611319</v>
      </c>
      <c r="H52" s="435" t="str">
        <f>IF(OR(G52&gt;=0.3,G52&lt;=-0.3),"超过30%","")</f>
        <v/>
      </c>
      <c r="I52" s="434">
        <f>IF(I47&lt;I48,I48/I47-1,I47/I48-1)</f>
        <v>7.154738356410717E-2</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0.12519858781994708</v>
      </c>
      <c r="F53" s="435" t="str">
        <f>IF(OR(E53&gt;=0.2,E53&lt;=-0.2),"超过20%","")</f>
        <v/>
      </c>
      <c r="G53" s="434">
        <f>IF(G48&lt;I48,I48/G48-1,G48/I48-1)</f>
        <v>6.9706949717857736E-2</v>
      </c>
      <c r="H53" s="435" t="str">
        <f>IF(OR(G53&gt;=0.2,G53&lt;=-0.2),"超过20%","")</f>
        <v/>
      </c>
      <c r="I53" s="434">
        <f>IF(I48&lt;E48,E48/I48-1,I48/E48-1)</f>
        <v>5.1875551632833083E-2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8.243224266254745E-2</v>
      </c>
      <c r="F54" s="435" t="str">
        <f>IF(OR(E54&gt;=0.3,E54&lt;=-0.3),"超过30%","")</f>
        <v/>
      </c>
      <c r="G54" s="434">
        <f>IF(G47&lt;I47,I47/G47-1,G47/I47-1)</f>
        <v>3.9561229994605318E-2</v>
      </c>
      <c r="H54" s="435" t="str">
        <f>IF(OR(G54&gt;=0.3,G54&lt;=-0.3),"超过30%","")</f>
        <v/>
      </c>
      <c r="I54" s="434">
        <f>IF(I47&lt;E47,E47/I47-1,I47/E47-1)</f>
        <v>4.1239526283761707E-2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1681</v>
      </c>
      <c r="B61" s="444"/>
      <c r="C61" s="456" t="s">
        <v>1776</v>
      </c>
      <c r="D61" s="3174" t="s">
        <v>3456</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v>105</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1688</v>
      </c>
      <c r="C65" s="513" t="s">
        <v>3451</v>
      </c>
      <c r="D65" s="513" t="s">
        <v>3452</v>
      </c>
      <c r="E65" s="513" t="s">
        <v>3453</v>
      </c>
      <c r="F65" s="513" t="s">
        <v>3454</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f t="shared" ref="C66:D66" si="17">D66-5</f>
        <v>85</v>
      </c>
      <c r="D66" s="467">
        <f t="shared" si="17"/>
        <v>90</v>
      </c>
      <c r="E66" s="467">
        <f>F66-5</f>
        <v>95</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1689</v>
      </c>
      <c r="C67" s="478" t="str">
        <f>C68&amp;"（含）"&amp;"-"&amp;D68</f>
        <v>0（含）-5</v>
      </c>
      <c r="D67" s="478" t="str">
        <f t="shared" ref="D67:L67" si="18">D68&amp;"（含）"&amp;"-"&amp;E68</f>
        <v>5（含）-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5</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1804</v>
      </c>
      <c r="C86" s="3173" t="s">
        <v>3457</v>
      </c>
      <c r="D86" s="3173" t="s">
        <v>3458</v>
      </c>
      <c r="E86" s="3173" t="s">
        <v>3460</v>
      </c>
      <c r="F86" s="3173" t="s">
        <v>3462</v>
      </c>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1">C87-$K25</f>
        <v>97</v>
      </c>
      <c r="E87" s="475">
        <f t="shared" si="21"/>
        <v>94</v>
      </c>
      <c r="F87" s="475">
        <f t="shared" si="21"/>
        <v>91</v>
      </c>
      <c r="G87" s="475">
        <f t="shared" si="21"/>
        <v>88</v>
      </c>
      <c r="H87" s="475">
        <f t="shared" si="21"/>
        <v>85</v>
      </c>
      <c r="I87" s="475">
        <f t="shared" si="21"/>
        <v>82</v>
      </c>
      <c r="J87" s="475">
        <f t="shared" si="21"/>
        <v>79</v>
      </c>
      <c r="K87" s="475">
        <f t="shared" si="21"/>
        <v>76</v>
      </c>
      <c r="L87" s="475">
        <f t="shared" si="21"/>
        <v>73</v>
      </c>
      <c r="M87" s="475">
        <f t="shared" si="21"/>
        <v>70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3173" t="s">
        <v>3464</v>
      </c>
      <c r="D88" s="3173" t="s">
        <v>3465</v>
      </c>
      <c r="E88" s="3173" t="s">
        <v>3467</v>
      </c>
      <c r="F88" s="3175" t="s">
        <v>3468</v>
      </c>
      <c r="G88" s="3173" t="s">
        <v>3470</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v>100</v>
      </c>
      <c r="D89" s="467">
        <f>C89-5</f>
        <v>95</v>
      </c>
      <c r="E89" s="467">
        <f t="shared" ref="E89:G89" si="22">D89-5</f>
        <v>90</v>
      </c>
      <c r="F89" s="467">
        <f t="shared" si="22"/>
        <v>85</v>
      </c>
      <c r="G89" s="467">
        <f t="shared" si="22"/>
        <v>80</v>
      </c>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3173" t="s">
        <v>3471</v>
      </c>
      <c r="D90" s="3173" t="s">
        <v>3472</v>
      </c>
      <c r="E90" s="3173" t="s">
        <v>3467</v>
      </c>
      <c r="F90" s="3173" t="s">
        <v>3473</v>
      </c>
      <c r="G90" s="3173" t="s">
        <v>3474</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98</v>
      </c>
      <c r="E91" s="475">
        <f t="shared" ref="E91:M91" si="23">D91-$K27</f>
        <v>96</v>
      </c>
      <c r="F91" s="475">
        <f t="shared" si="23"/>
        <v>94</v>
      </c>
      <c r="G91" s="475">
        <f t="shared" si="23"/>
        <v>92</v>
      </c>
      <c r="H91" s="475">
        <f t="shared" si="23"/>
        <v>90</v>
      </c>
      <c r="I91" s="475">
        <f t="shared" si="23"/>
        <v>88</v>
      </c>
      <c r="J91" s="475">
        <f t="shared" si="23"/>
        <v>86</v>
      </c>
      <c r="K91" s="475">
        <f t="shared" si="23"/>
        <v>84</v>
      </c>
      <c r="L91" s="475">
        <f t="shared" si="23"/>
        <v>82</v>
      </c>
      <c r="M91" s="475">
        <f t="shared" si="23"/>
        <v>80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3475</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3180" t="s">
        <v>3514</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20"/>
      <c r="O101" s="2520"/>
      <c r="P101" s="2511"/>
      <c r="Q101" s="2506"/>
      <c r="R101" s="2485"/>
      <c r="S101" s="2485"/>
      <c r="T101" s="2485"/>
      <c r="U101" s="2485"/>
      <c r="V101" s="2485"/>
      <c r="W101" s="2485"/>
      <c r="X101" s="2485"/>
      <c r="Y101" s="2485"/>
      <c r="Z101" s="2485"/>
      <c r="AA101" s="2485"/>
      <c r="AB101" s="2485"/>
      <c r="AC101" s="2485"/>
    </row>
    <row r="102" spans="1:29" ht="14.5" thickTop="1">
      <c r="A102" s="367"/>
      <c r="B102" s="469" t="s">
        <v>1737</v>
      </c>
      <c r="C102" s="509" t="str">
        <f>C103&amp;"(含)"&amp;"-"&amp;D103</f>
        <v>0(含)-80</v>
      </c>
      <c r="D102" s="509" t="str">
        <f t="shared" ref="D102:L102" si="25">D103&amp;"(含)"&amp;"-"&amp;E103</f>
        <v>80(含)-150</v>
      </c>
      <c r="E102" s="509" t="str">
        <f t="shared" si="25"/>
        <v>150(含)-300</v>
      </c>
      <c r="F102" s="509" t="str">
        <f t="shared" si="25"/>
        <v>300(含)-400</v>
      </c>
      <c r="G102" s="509" t="str">
        <f t="shared" si="25"/>
        <v>400(含)-500</v>
      </c>
      <c r="H102" s="509" t="str">
        <f t="shared" si="25"/>
        <v>500(含)-</v>
      </c>
      <c r="I102" s="509" t="str">
        <f t="shared" si="25"/>
        <v>(含)-</v>
      </c>
      <c r="J102" s="509" t="str">
        <f t="shared" si="25"/>
        <v>(含)-</v>
      </c>
      <c r="K102" s="509" t="str">
        <f t="shared" si="25"/>
        <v>(含)-</v>
      </c>
      <c r="L102" s="509" t="str">
        <f t="shared" si="25"/>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80</v>
      </c>
      <c r="E103" s="6">
        <v>150</v>
      </c>
      <c r="F103" s="6">
        <v>300</v>
      </c>
      <c r="G103" s="6">
        <v>400</v>
      </c>
      <c r="H103" s="6">
        <v>500</v>
      </c>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v>100</v>
      </c>
      <c r="D104" s="467">
        <f>C104-1</f>
        <v>99</v>
      </c>
      <c r="E104" s="467">
        <f t="shared" ref="E104:H104" si="26">D104-1</f>
        <v>98</v>
      </c>
      <c r="F104" s="467">
        <f t="shared" si="26"/>
        <v>97</v>
      </c>
      <c r="G104" s="467">
        <f t="shared" si="26"/>
        <v>96</v>
      </c>
      <c r="H104" s="467">
        <f t="shared" si="26"/>
        <v>95</v>
      </c>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1738</v>
      </c>
      <c r="C105" s="3173" t="s">
        <v>3497</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6">
        <f t="shared" si="28"/>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1742</v>
      </c>
      <c r="C112" s="3173" t="s">
        <v>3498</v>
      </c>
      <c r="D112" s="3173" t="s">
        <v>3499</v>
      </c>
      <c r="E112" s="3173" t="s">
        <v>3500</v>
      </c>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1806</v>
      </c>
      <c r="C114" s="3173" t="s">
        <v>3448</v>
      </c>
      <c r="D114" s="3173" t="s">
        <v>3450</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31">C115-$K38</f>
        <v>97</v>
      </c>
      <c r="E115" s="475">
        <f t="shared" si="31"/>
        <v>94</v>
      </c>
      <c r="F115" s="475">
        <f t="shared" si="31"/>
        <v>91</v>
      </c>
      <c r="G115" s="475">
        <f t="shared" si="31"/>
        <v>88</v>
      </c>
      <c r="H115" s="475">
        <f t="shared" si="31"/>
        <v>85</v>
      </c>
      <c r="I115" s="475">
        <f t="shared" si="31"/>
        <v>82</v>
      </c>
      <c r="J115" s="475">
        <f t="shared" si="31"/>
        <v>79</v>
      </c>
      <c r="K115" s="475">
        <f t="shared" si="31"/>
        <v>76</v>
      </c>
      <c r="L115" s="475">
        <f t="shared" si="31"/>
        <v>73</v>
      </c>
      <c r="M115" s="476">
        <f t="shared" si="31"/>
        <v>70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1807</v>
      </c>
      <c r="C116" s="3173" t="s">
        <v>3501</v>
      </c>
      <c r="D116" s="3173" t="s">
        <v>3503</v>
      </c>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1744</v>
      </c>
      <c r="C122" s="3173" t="s">
        <v>3504</v>
      </c>
      <c r="D122" s="3173" t="s">
        <v>3506</v>
      </c>
      <c r="E122" s="3173" t="s">
        <v>3507</v>
      </c>
      <c r="F122" s="3181" t="s">
        <v>3509</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3">C123-$K42</f>
        <v>99</v>
      </c>
      <c r="E123" s="475">
        <f t="shared" si="33"/>
        <v>98</v>
      </c>
      <c r="F123" s="475">
        <f t="shared" si="33"/>
        <v>97</v>
      </c>
      <c r="G123" s="475">
        <f t="shared" si="33"/>
        <v>96</v>
      </c>
      <c r="H123" s="475">
        <f t="shared" si="33"/>
        <v>95</v>
      </c>
      <c r="I123" s="475">
        <f t="shared" si="33"/>
        <v>94</v>
      </c>
      <c r="J123" s="475">
        <f t="shared" si="33"/>
        <v>93</v>
      </c>
      <c r="K123" s="475">
        <f t="shared" si="33"/>
        <v>92</v>
      </c>
      <c r="L123" s="475">
        <f t="shared" si="33"/>
        <v>91</v>
      </c>
      <c r="M123" s="476">
        <f t="shared" si="33"/>
        <v>90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EBF48-7A3A-45EC-96E5-D3F69064AF8C}">
  <sheetPr>
    <tabColor rgb="FF92D050"/>
    <pageSetUpPr fitToPage="1"/>
  </sheetPr>
  <dimension ref="A1:AC131"/>
  <sheetViews>
    <sheetView view="pageBreakPreview" topLeftCell="A19" zoomScale="60" zoomScaleNormal="70" workbookViewId="0">
      <selection activeCell="K43" sqref="K43"/>
    </sheetView>
  </sheetViews>
  <sheetFormatPr defaultColWidth="9" defaultRowHeight="14"/>
  <cols>
    <col min="1" max="1" width="10.453125" style="347" customWidth="1"/>
    <col min="2" max="2" width="15.7265625" style="347" customWidth="1"/>
    <col min="3" max="3" width="18.90625" style="347" customWidth="1"/>
    <col min="4" max="4" width="12.26953125" style="347" customWidth="1"/>
    <col min="5" max="6" width="18.7265625" style="347" customWidth="1"/>
    <col min="7" max="7" width="17.1796875" style="347" customWidth="1"/>
    <col min="8" max="8" width="12.26953125" style="347" customWidth="1"/>
    <col min="9" max="9" width="20.3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673</v>
      </c>
      <c r="E1" s="3122" t="s">
        <v>3440</v>
      </c>
      <c r="F1" s="1735" t="s">
        <v>3512</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3.4200000000000001E-2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6.02</v>
      </c>
      <c r="C3" s="344" t="s">
        <v>1665</v>
      </c>
      <c r="D3" s="343">
        <f>IF(D1="",'数据-汇总表'!E3,SUMIF('数据-汇总表'!$C19:$C33,D1,'数据-汇总表'!$E19:$E33))</f>
        <v>56.87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c r="A4" s="345" t="s">
        <v>1666</v>
      </c>
      <c r="B4" s="346"/>
      <c r="C4" s="3393" t="s">
        <v>1667</v>
      </c>
      <c r="D4" s="3394"/>
      <c r="E4" s="3395" t="s">
        <v>1668</v>
      </c>
      <c r="F4" s="3396"/>
      <c r="G4" s="3393" t="s">
        <v>1669</v>
      </c>
      <c r="H4" s="3394"/>
      <c r="I4" s="3393" t="s">
        <v>1670</v>
      </c>
      <c r="J4" s="3394"/>
      <c r="K4" s="537" t="s">
        <v>1671</v>
      </c>
      <c r="L4" s="2484"/>
      <c r="M4" s="2485"/>
      <c r="N4" s="2485"/>
      <c r="O4" s="2485"/>
      <c r="P4" s="3397" t="s">
        <v>1672</v>
      </c>
      <c r="Q4" s="3398"/>
      <c r="R4" s="3379" t="s">
        <v>1668</v>
      </c>
      <c r="S4" s="3380"/>
      <c r="T4" s="3379" t="s">
        <v>1669</v>
      </c>
      <c r="U4" s="3380"/>
      <c r="V4" s="3376" t="s">
        <v>1670</v>
      </c>
      <c r="W4" s="3376"/>
      <c r="X4" s="1265"/>
      <c r="Y4" s="3379" t="s">
        <v>1672</v>
      </c>
      <c r="Z4" s="3380"/>
      <c r="AA4" s="3373" t="s">
        <v>1668</v>
      </c>
      <c r="AB4" s="3376" t="s">
        <v>1669</v>
      </c>
      <c r="AC4" s="3373" t="s">
        <v>1670</v>
      </c>
    </row>
    <row r="5" spans="1:29">
      <c r="A5" s="348"/>
      <c r="B5" s="349"/>
      <c r="C5" s="3385" t="s">
        <v>1673</v>
      </c>
      <c r="D5" s="3386"/>
      <c r="E5" s="3383" t="str">
        <f>租金案例!Q9</f>
        <v>望京SOHO</v>
      </c>
      <c r="F5" s="3384"/>
      <c r="G5" s="3389" t="str">
        <f>E5</f>
        <v>望京SOHO</v>
      </c>
      <c r="H5" s="3386"/>
      <c r="I5" s="3389" t="str">
        <f>租金案例!Q11</f>
        <v>华鼎世家</v>
      </c>
      <c r="J5" s="3386"/>
      <c r="K5" s="537"/>
      <c r="L5" s="2484"/>
      <c r="M5" s="2485"/>
      <c r="N5" s="2485"/>
      <c r="O5" s="2485"/>
      <c r="P5" s="3399"/>
      <c r="Q5" s="3400"/>
      <c r="R5" s="3381"/>
      <c r="S5" s="3382"/>
      <c r="T5" s="3381"/>
      <c r="U5" s="3382"/>
      <c r="V5" s="3376"/>
      <c r="W5" s="3376"/>
      <c r="X5" s="1265"/>
      <c r="Y5" s="3381"/>
      <c r="Z5" s="3382"/>
      <c r="AA5" s="3374"/>
      <c r="AB5" s="3376"/>
      <c r="AC5" s="3374"/>
    </row>
    <row r="6" spans="1:29" ht="15" thickBot="1">
      <c r="A6" s="350"/>
      <c r="B6" s="351"/>
      <c r="C6" s="3387" t="s">
        <v>1677</v>
      </c>
      <c r="D6" s="3388"/>
      <c r="E6" s="3390" t="s">
        <v>1677</v>
      </c>
      <c r="F6" s="3391"/>
      <c r="G6" s="3387" t="s">
        <v>1677</v>
      </c>
      <c r="H6" s="3388"/>
      <c r="I6" s="3387" t="s">
        <v>1677</v>
      </c>
      <c r="J6" s="3388"/>
      <c r="K6" s="537" t="s">
        <v>1678</v>
      </c>
      <c r="L6" s="2484"/>
      <c r="M6" s="2485"/>
      <c r="N6" s="2485"/>
      <c r="O6" s="2485"/>
      <c r="P6" s="3401"/>
      <c r="Q6" s="3402"/>
      <c r="R6" s="3381"/>
      <c r="S6" s="3382"/>
      <c r="T6" s="3403"/>
      <c r="U6" s="3404"/>
      <c r="V6" s="3376"/>
      <c r="W6" s="3376"/>
      <c r="X6" s="1265"/>
      <c r="Y6" s="3403"/>
      <c r="Z6" s="3404"/>
      <c r="AA6" s="3375"/>
      <c r="AB6" s="3376"/>
      <c r="AC6" s="3375"/>
    </row>
    <row r="7" spans="1:29" s="102" customFormat="1" ht="14.5" thickBot="1">
      <c r="A7" s="352" t="s">
        <v>1679</v>
      </c>
      <c r="B7" s="353"/>
      <c r="C7" s="354">
        <f>'数据-取费表'!B2</f>
        <v>46003</v>
      </c>
      <c r="D7" s="355">
        <v>100</v>
      </c>
      <c r="E7" s="356">
        <f>C7</f>
        <v>46003</v>
      </c>
      <c r="F7" s="357">
        <f>SUMIF(58:58,YEAR(E7)&amp;"-"&amp;MONTH(E7),59:59)</f>
        <v>100</v>
      </c>
      <c r="G7" s="356">
        <f>C7</f>
        <v>46003</v>
      </c>
      <c r="H7" s="355">
        <f>SUMIF(58:58,YEAR(G7)&amp;"-"&amp;MONTH(G7),59:59)</f>
        <v>100</v>
      </c>
      <c r="I7" s="356">
        <f>C7</f>
        <v>46003</v>
      </c>
      <c r="J7" s="355">
        <f>SUMIF(58:58,YEAR(I7)&amp;"-"&amp;MONTH(I7),59:59)</f>
        <v>100</v>
      </c>
      <c r="K7" s="38"/>
      <c r="L7" s="2486"/>
      <c r="M7" s="2438"/>
      <c r="N7" s="2438"/>
      <c r="O7" s="2438"/>
      <c r="P7" s="3377" t="s">
        <v>1680</v>
      </c>
      <c r="Q7" s="3405"/>
      <c r="R7" s="664" t="s">
        <v>14</v>
      </c>
      <c r="S7" s="665">
        <f t="shared" ref="S7:S15" si="0">F7</f>
        <v>100</v>
      </c>
      <c r="T7" s="664" t="s">
        <v>14</v>
      </c>
      <c r="U7" s="665">
        <f t="shared" ref="U7:U15" si="1">H7</f>
        <v>100</v>
      </c>
      <c r="V7" s="664" t="s">
        <v>14</v>
      </c>
      <c r="W7" s="665">
        <f t="shared" ref="W7:W15" si="2">J7</f>
        <v>100</v>
      </c>
      <c r="X7" s="666"/>
      <c r="Y7" s="3377" t="s">
        <v>1680</v>
      </c>
      <c r="Z7" s="3378"/>
      <c r="AA7" s="50">
        <f>D7/F7</f>
        <v>1</v>
      </c>
      <c r="AB7" s="50">
        <f>D7/H7</f>
        <v>1</v>
      </c>
      <c r="AC7" s="50">
        <f>D7/J7</f>
        <v>1</v>
      </c>
    </row>
    <row r="8" spans="1:29" s="102" customFormat="1" ht="14.5" thickBot="1">
      <c r="A8" s="352" t="s">
        <v>1681</v>
      </c>
      <c r="B8" s="353"/>
      <c r="C8" s="358" t="s">
        <v>3442</v>
      </c>
      <c r="D8" s="355">
        <v>100</v>
      </c>
      <c r="E8" s="358" t="s">
        <v>3455</v>
      </c>
      <c r="F8" s="357">
        <f>SUMIF(61:61,E8,62:62)-SUMIF(61:61,C8,62:62)+100</f>
        <v>105</v>
      </c>
      <c r="G8" s="358" t="s">
        <v>3455</v>
      </c>
      <c r="H8" s="355">
        <f>SUMIF(61:61,G8,62:62)-SUMIF(61:61,C8,62:62)+100</f>
        <v>105</v>
      </c>
      <c r="I8" s="358" t="s">
        <v>3455</v>
      </c>
      <c r="J8" s="355">
        <f>SUMIF(61:61,I8,62:62)-SUMIF(61:61,C8,62:62)+100</f>
        <v>105</v>
      </c>
      <c r="K8" s="38"/>
      <c r="L8" s="2486"/>
      <c r="M8" s="2438"/>
      <c r="N8" s="2438"/>
      <c r="O8" s="2438"/>
      <c r="P8" s="3377" t="s">
        <v>1683</v>
      </c>
      <c r="Q8" s="3378"/>
      <c r="R8" s="664" t="s">
        <v>14</v>
      </c>
      <c r="S8" s="665">
        <f t="shared" si="0"/>
        <v>105</v>
      </c>
      <c r="T8" s="664" t="s">
        <v>14</v>
      </c>
      <c r="U8" s="665">
        <f t="shared" si="1"/>
        <v>105</v>
      </c>
      <c r="V8" s="664" t="s">
        <v>14</v>
      </c>
      <c r="W8" s="665">
        <f t="shared" si="2"/>
        <v>105</v>
      </c>
      <c r="X8" s="666"/>
      <c r="Y8" s="3377" t="s">
        <v>1683</v>
      </c>
      <c r="Z8" s="3378"/>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72" t="s">
        <v>3443</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1"/>
      <c r="J10" s="119">
        <f>SUMIF(65:65,I10,66:66)-SUMIF(65:65,C10,66:66)+100</f>
        <v>100</v>
      </c>
      <c r="K10" s="38"/>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92"/>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176"/>
      <c r="H13" s="374">
        <f>SUMIF(72:72,G13,73:73)-SUMIF(72:72,C13,73:73)+100</f>
        <v>100</v>
      </c>
      <c r="I13" s="373"/>
      <c r="J13" s="374">
        <f>SUMIF(72:72,I13,73:73)-SUMIF(72:72,C13,73:73)+100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177"/>
      <c r="H14" s="377">
        <f>SUMIF(74:74,G14,75:75)-SUMIF(74:74,C14,75:75)+100</f>
        <v>100</v>
      </c>
      <c r="I14" s="373"/>
      <c r="J14" s="377">
        <f>SUMIF(74:74,I14,75:75)-SUMIF(74:74,C14,75:75)+100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56">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406" t="s">
        <v>1691</v>
      </c>
      <c r="Q15" s="1263" t="str">
        <f t="shared" si="6"/>
        <v>商业繁华度</v>
      </c>
      <c r="R15" s="667" t="s">
        <v>14</v>
      </c>
      <c r="S15" s="668">
        <f t="shared" si="0"/>
        <v>100</v>
      </c>
      <c r="T15" s="667" t="s">
        <v>14</v>
      </c>
      <c r="U15" s="668">
        <f t="shared" si="1"/>
        <v>100</v>
      </c>
      <c r="V15" s="667" t="s">
        <v>14</v>
      </c>
      <c r="W15" s="668">
        <f t="shared" si="2"/>
        <v>100</v>
      </c>
      <c r="X15" s="1265"/>
      <c r="Y15" s="3408" t="s">
        <v>1691</v>
      </c>
      <c r="Z15" s="1264" t="str">
        <f t="shared" si="7"/>
        <v>商业繁华度</v>
      </c>
      <c r="AA15" s="1264">
        <f t="shared" si="3"/>
        <v>1</v>
      </c>
      <c r="AB15" s="1264">
        <f t="shared" si="4"/>
        <v>1</v>
      </c>
      <c r="AC15" s="1264">
        <f t="shared" si="5"/>
        <v>1</v>
      </c>
    </row>
    <row r="16" spans="1:29" ht="15.5">
      <c r="A16" s="367"/>
      <c r="B16" s="385"/>
      <c r="C16" s="386" t="s">
        <v>3445</v>
      </c>
      <c r="D16" s="387"/>
      <c r="E16" s="386" t="s">
        <v>3445</v>
      </c>
      <c r="F16" s="388"/>
      <c r="G16" s="386" t="s">
        <v>3445</v>
      </c>
      <c r="H16" s="389"/>
      <c r="I16" s="386" t="s">
        <v>3445</v>
      </c>
      <c r="J16" s="387"/>
      <c r="K16" s="541"/>
      <c r="L16" s="2490"/>
      <c r="M16" s="2485"/>
      <c r="N16" s="2485"/>
      <c r="O16" s="2485"/>
      <c r="P16" s="3407"/>
      <c r="Q16" s="1263"/>
      <c r="R16" s="667"/>
      <c r="S16" s="668"/>
      <c r="T16" s="667"/>
      <c r="U16" s="668"/>
      <c r="V16" s="667"/>
      <c r="W16" s="668"/>
      <c r="X16" s="1265"/>
      <c r="Y16" s="3409"/>
      <c r="Z16" s="1264"/>
      <c r="AA16" s="1264">
        <v>1</v>
      </c>
      <c r="AB16" s="1264">
        <v>1</v>
      </c>
      <c r="AC16" s="1264">
        <v>1</v>
      </c>
    </row>
    <row r="17" spans="1:29" ht="70">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5">
      <c r="A18" s="367"/>
      <c r="B18" s="395"/>
      <c r="C18" s="386" t="s">
        <v>3445</v>
      </c>
      <c r="D18" s="389"/>
      <c r="E18" s="386" t="s">
        <v>3445</v>
      </c>
      <c r="F18" s="392"/>
      <c r="G18" s="386" t="s">
        <v>3445</v>
      </c>
      <c r="H18" s="387"/>
      <c r="I18" s="386" t="s">
        <v>3445</v>
      </c>
      <c r="J18" s="387"/>
      <c r="K18" s="541"/>
      <c r="L18" s="2490"/>
      <c r="M18" s="2485"/>
      <c r="N18" s="2485"/>
      <c r="O18" s="2485"/>
      <c r="P18" s="3407"/>
      <c r="Q18" s="1263"/>
      <c r="R18" s="667"/>
      <c r="S18" s="668"/>
      <c r="T18" s="667"/>
      <c r="U18" s="668"/>
      <c r="V18" s="667"/>
      <c r="W18" s="668"/>
      <c r="X18" s="1265"/>
      <c r="Y18" s="3409"/>
      <c r="Z18" s="1264"/>
      <c r="AA18" s="1264">
        <v>1</v>
      </c>
      <c r="AB18" s="1264">
        <v>1</v>
      </c>
      <c r="AC18" s="1264">
        <v>1</v>
      </c>
    </row>
    <row r="19" spans="1:29" ht="28">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5">
      <c r="A20" s="367"/>
      <c r="B20" s="395"/>
      <c r="C20" s="386" t="s">
        <v>3445</v>
      </c>
      <c r="D20" s="387"/>
      <c r="E20" s="386" t="s">
        <v>3445</v>
      </c>
      <c r="F20" s="388"/>
      <c r="G20" s="386" t="s">
        <v>3445</v>
      </c>
      <c r="H20" s="387"/>
      <c r="I20" s="386" t="s">
        <v>3445</v>
      </c>
      <c r="J20" s="387"/>
      <c r="K20" s="541"/>
      <c r="L20" s="2490"/>
      <c r="M20" s="2485"/>
      <c r="N20" s="2485"/>
      <c r="O20" s="2485"/>
      <c r="P20" s="3407"/>
      <c r="Q20" s="1263"/>
      <c r="R20" s="667"/>
      <c r="S20" s="668"/>
      <c r="T20" s="667"/>
      <c r="U20" s="668"/>
      <c r="V20" s="667"/>
      <c r="W20" s="668"/>
      <c r="X20" s="1265"/>
      <c r="Y20" s="3409"/>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5">
      <c r="A22" s="367"/>
      <c r="B22" s="586"/>
      <c r="C22" s="1755" t="s">
        <v>3489</v>
      </c>
      <c r="D22" s="387"/>
      <c r="E22" s="1755" t="s">
        <v>3489</v>
      </c>
      <c r="F22" s="388"/>
      <c r="G22" s="1755" t="s">
        <v>3489</v>
      </c>
      <c r="H22" s="387"/>
      <c r="I22" s="1755" t="s">
        <v>3489</v>
      </c>
      <c r="J22" s="387"/>
      <c r="K22" s="1064"/>
      <c r="L22" s="2490"/>
      <c r="M22" s="2485"/>
      <c r="N22" s="2485"/>
      <c r="O22" s="2485"/>
      <c r="P22" s="3407"/>
      <c r="Q22" s="1263"/>
      <c r="R22" s="667"/>
      <c r="S22" s="668"/>
      <c r="T22" s="667"/>
      <c r="U22" s="668"/>
      <c r="V22" s="667"/>
      <c r="W22" s="668"/>
      <c r="X22" s="1265"/>
      <c r="Y22" s="3409"/>
      <c r="Z22" s="1264"/>
      <c r="AA22" s="1264">
        <v>1</v>
      </c>
      <c r="AB22" s="1264">
        <v>1</v>
      </c>
      <c r="AC22" s="1264">
        <v>1</v>
      </c>
    </row>
    <row r="23" spans="1:29" ht="4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407"/>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5">
      <c r="A24" s="367"/>
      <c r="B24" s="395"/>
      <c r="C24" s="386" t="s">
        <v>3445</v>
      </c>
      <c r="D24" s="387"/>
      <c r="E24" s="386" t="s">
        <v>3445</v>
      </c>
      <c r="F24" s="388"/>
      <c r="G24" s="386" t="s">
        <v>3445</v>
      </c>
      <c r="H24" s="387"/>
      <c r="I24" s="386" t="s">
        <v>3445</v>
      </c>
      <c r="J24" s="387"/>
      <c r="K24" s="541"/>
      <c r="L24" s="2490"/>
      <c r="M24" s="2485"/>
      <c r="N24" s="2485"/>
      <c r="O24" s="2485"/>
      <c r="P24" s="3407"/>
      <c r="Q24" s="1263"/>
      <c r="R24" s="667"/>
      <c r="S24" s="668"/>
      <c r="T24" s="667"/>
      <c r="U24" s="668"/>
      <c r="V24" s="667"/>
      <c r="W24" s="668"/>
      <c r="X24" s="1265"/>
      <c r="Y24" s="3409"/>
      <c r="Z24" s="1264"/>
      <c r="AA24" s="1264">
        <v>1</v>
      </c>
      <c r="AB24" s="1264">
        <v>1</v>
      </c>
      <c r="AC24" s="1264">
        <v>1</v>
      </c>
    </row>
    <row r="25" spans="1:29" ht="33" customHeight="1">
      <c r="A25" s="367"/>
      <c r="B25" s="364" t="s">
        <v>1780</v>
      </c>
      <c r="C25" s="542" t="s">
        <v>3459</v>
      </c>
      <c r="D25" s="374">
        <v>100</v>
      </c>
      <c r="E25" s="542" t="s">
        <v>3459</v>
      </c>
      <c r="F25" s="400">
        <f>SUMIF(86:86,E25,87:87)-SUMIF(86:86,C25,87:87)+100</f>
        <v>100</v>
      </c>
      <c r="G25" s="542" t="s">
        <v>3461</v>
      </c>
      <c r="H25" s="374">
        <f>SUMIF(86:86,G25,87:87)-SUMIF(86:86,C25,87:87)+100</f>
        <v>97</v>
      </c>
      <c r="I25" s="542" t="s">
        <v>3516</v>
      </c>
      <c r="J25" s="374">
        <f>SUMIF(86:86,I25,87:87)-SUMIF(86:86,C25,87:87)+100</f>
        <v>103</v>
      </c>
      <c r="K25" s="538">
        <v>3</v>
      </c>
      <c r="L25" s="2490"/>
      <c r="M25" s="2485"/>
      <c r="N25" s="2485"/>
      <c r="O25" s="2485"/>
      <c r="P25" s="3407"/>
      <c r="Q25" s="1263" t="str">
        <f t="shared" ref="Q25:Q46" si="11">B25</f>
        <v>临街状况</v>
      </c>
      <c r="R25" s="667" t="s">
        <v>14</v>
      </c>
      <c r="S25" s="668">
        <f>F25</f>
        <v>100</v>
      </c>
      <c r="T25" s="667" t="s">
        <v>14</v>
      </c>
      <c r="U25" s="668">
        <f>H25</f>
        <v>97</v>
      </c>
      <c r="V25" s="667" t="s">
        <v>14</v>
      </c>
      <c r="W25" s="668">
        <f>J25</f>
        <v>103</v>
      </c>
      <c r="X25" s="1265"/>
      <c r="Y25" s="3409"/>
      <c r="Z25" s="1264" t="str">
        <f>Q25</f>
        <v>临街状况</v>
      </c>
      <c r="AA25" s="1264">
        <f t="shared" si="3"/>
        <v>1</v>
      </c>
      <c r="AB25" s="1264">
        <f t="shared" si="4"/>
        <v>1.0309278350515463</v>
      </c>
      <c r="AC25" s="1264">
        <f t="shared" si="5"/>
        <v>0.970873786407767</v>
      </c>
    </row>
    <row r="26" spans="1:29" ht="15.5">
      <c r="A26" s="367"/>
      <c r="B26" s="1066" t="s">
        <v>1781</v>
      </c>
      <c r="C26" s="3177" t="s">
        <v>3510</v>
      </c>
      <c r="D26" s="374">
        <v>100</v>
      </c>
      <c r="E26" s="3177" t="s">
        <v>3511</v>
      </c>
      <c r="F26" s="400">
        <f>SUMIF(88:88,E26,89:89)-SUMIF(88:88,C26,89:89)+100</f>
        <v>95</v>
      </c>
      <c r="G26" s="3177" t="s">
        <v>3511</v>
      </c>
      <c r="H26" s="374">
        <f>SUMIF(88:88,G26,89:89)-SUMIF(88:88,C26,89:89)+100</f>
        <v>95</v>
      </c>
      <c r="I26" s="3177" t="s">
        <v>3510</v>
      </c>
      <c r="J26" s="374">
        <f>SUMIF(88:88,I26,89:89)-SUMIF(88:88,C26,89:89)+100</f>
        <v>100</v>
      </c>
      <c r="K26" s="539"/>
      <c r="L26" s="2490"/>
      <c r="M26" s="2485"/>
      <c r="N26" s="2485"/>
      <c r="O26" s="2485"/>
      <c r="P26" s="3407"/>
      <c r="Q26" s="1263" t="str">
        <f t="shared" si="11"/>
        <v>平面位置/可视性</v>
      </c>
      <c r="R26" s="667" t="s">
        <v>14</v>
      </c>
      <c r="S26" s="668">
        <f>F26</f>
        <v>95</v>
      </c>
      <c r="T26" s="667" t="s">
        <v>14</v>
      </c>
      <c r="U26" s="668">
        <f>H26</f>
        <v>95</v>
      </c>
      <c r="V26" s="667" t="s">
        <v>14</v>
      </c>
      <c r="W26" s="668">
        <f>J26</f>
        <v>100</v>
      </c>
      <c r="X26" s="1265"/>
      <c r="Y26" s="3409"/>
      <c r="Z26" s="1264" t="str">
        <f>Q26</f>
        <v>平面位置/可视性</v>
      </c>
      <c r="AA26" s="1264">
        <f t="shared" si="3"/>
        <v>1.0526315789473684</v>
      </c>
      <c r="AB26" s="1264">
        <f t="shared" si="4"/>
        <v>1.0526315789473684</v>
      </c>
      <c r="AC26" s="1264">
        <f t="shared" si="5"/>
        <v>1</v>
      </c>
    </row>
    <row r="27" spans="1:29" s="102" customFormat="1" ht="15.5">
      <c r="A27" s="370"/>
      <c r="B27" s="390" t="s">
        <v>1782</v>
      </c>
      <c r="C27" s="1807" t="s">
        <v>3515</v>
      </c>
      <c r="D27" s="401">
        <v>100</v>
      </c>
      <c r="E27" s="1807" t="s">
        <v>3466</v>
      </c>
      <c r="F27" s="395">
        <f>SUMIF(90:90,E27,91:91)-SUMIF(90:90,C27,91:91)+100</f>
        <v>102</v>
      </c>
      <c r="G27" s="1807" t="s">
        <v>3515</v>
      </c>
      <c r="H27" s="401">
        <f>SUMIF(90:90,G27,91:91)-SUMIF(90:90,C27,91:91)+100</f>
        <v>100</v>
      </c>
      <c r="I27" s="1807" t="s">
        <v>3466</v>
      </c>
      <c r="J27" s="401">
        <f>SUMIF(90:90,I27,91:91)-SUMIF(90:90,C27,91:91)+100</f>
        <v>102</v>
      </c>
      <c r="K27" s="538">
        <v>2</v>
      </c>
      <c r="L27" s="2486"/>
      <c r="M27" s="2438"/>
      <c r="N27" s="2438"/>
      <c r="O27" s="2438"/>
      <c r="P27" s="3407"/>
      <c r="Q27" s="530" t="str">
        <f t="shared" si="11"/>
        <v>人流量</v>
      </c>
      <c r="R27" s="664" t="s">
        <v>14</v>
      </c>
      <c r="S27" s="665">
        <f>F27</f>
        <v>102</v>
      </c>
      <c r="T27" s="664" t="s">
        <v>14</v>
      </c>
      <c r="U27" s="665">
        <f>H27</f>
        <v>100</v>
      </c>
      <c r="V27" s="664" t="s">
        <v>14</v>
      </c>
      <c r="W27" s="665">
        <f>J27</f>
        <v>102</v>
      </c>
      <c r="X27" s="666"/>
      <c r="Y27" s="3409"/>
      <c r="Z27" s="50" t="str">
        <f>Q27</f>
        <v>人流量</v>
      </c>
      <c r="AA27" s="1264">
        <f>D27/F27</f>
        <v>0.98039215686274506</v>
      </c>
      <c r="AB27" s="1264">
        <f>D27/H27</f>
        <v>1</v>
      </c>
      <c r="AC27" s="1264">
        <f>D27/J27</f>
        <v>0.98039215686274506</v>
      </c>
    </row>
    <row r="28" spans="1:29" ht="15.5">
      <c r="A28" s="367"/>
      <c r="B28" s="364" t="s">
        <v>1783</v>
      </c>
      <c r="C28" s="542" t="s">
        <v>3477</v>
      </c>
      <c r="D28" s="374">
        <v>100</v>
      </c>
      <c r="E28" s="542" t="s">
        <v>3477</v>
      </c>
      <c r="F28" s="400">
        <f>SUMIF(92:92,E28,93:93)-SUMIF(92:92,C28,93:93)+100</f>
        <v>100</v>
      </c>
      <c r="G28" s="542" t="s">
        <v>3477</v>
      </c>
      <c r="H28" s="374">
        <f>SUMIF(92:92,G28,93:93)-SUMIF(92:92,C28,93:93)+100</f>
        <v>100</v>
      </c>
      <c r="I28" s="542" t="s">
        <v>3477</v>
      </c>
      <c r="J28" s="374">
        <f>SUMIF(92:92,I28,93:93)-SUMIF(92:92,C28,93:93)+100</f>
        <v>100</v>
      </c>
      <c r="K28" s="539"/>
      <c r="L28" s="2490"/>
      <c r="M28" s="2485"/>
      <c r="N28" s="2485"/>
      <c r="O28" s="2485"/>
      <c r="P28" s="34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7"/>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5">
      <c r="A32" s="379" t="s">
        <v>1694</v>
      </c>
      <c r="B32" s="60" t="s">
        <v>1784</v>
      </c>
      <c r="C32" s="1764" t="s">
        <v>3513</v>
      </c>
      <c r="D32" s="405">
        <v>100</v>
      </c>
      <c r="E32" s="1764" t="s">
        <v>3513</v>
      </c>
      <c r="F32" s="400">
        <f>SUMIF(100:100,E32,101:101)-SUMIF(100:100,C32,101:101)+100</f>
        <v>100</v>
      </c>
      <c r="G32" s="1764" t="s">
        <v>3513</v>
      </c>
      <c r="H32" s="374">
        <f>SUMIF(100:100,G32,101:101)-SUMIF(100:100,C32,101:101)+100</f>
        <v>100</v>
      </c>
      <c r="I32" s="1764" t="s">
        <v>3513</v>
      </c>
      <c r="J32" s="405">
        <f>SUMIF(100:100,I32,101:101)-SUMIF(100:100,C32,101:101)+100</f>
        <v>100</v>
      </c>
      <c r="K32" s="538">
        <v>2</v>
      </c>
      <c r="L32" s="2490"/>
      <c r="M32" s="2485"/>
      <c r="N32" s="2485"/>
      <c r="O32" s="2485"/>
      <c r="P32" s="3410" t="s">
        <v>1696</v>
      </c>
      <c r="Q32" s="1263" t="str">
        <f t="shared" si="11"/>
        <v>商业类型</v>
      </c>
      <c r="R32" s="667" t="s">
        <v>14</v>
      </c>
      <c r="S32" s="668">
        <f t="shared" si="12"/>
        <v>100</v>
      </c>
      <c r="T32" s="667" t="s">
        <v>14</v>
      </c>
      <c r="U32" s="668">
        <f t="shared" si="13"/>
        <v>100</v>
      </c>
      <c r="V32" s="667" t="s">
        <v>14</v>
      </c>
      <c r="W32" s="668">
        <f t="shared" si="14"/>
        <v>100</v>
      </c>
      <c r="X32" s="1265"/>
      <c r="Y32" s="3413"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56.87</v>
      </c>
      <c r="D33" s="119">
        <v>100</v>
      </c>
      <c r="E33" s="369">
        <f>租金案例!R9</f>
        <v>231.27</v>
      </c>
      <c r="F33" s="364">
        <f>LOOKUP(E33,103:103,104:104)-LOOKUP(C33,103:103,104:104)+100</f>
        <v>98</v>
      </c>
      <c r="G33" s="368">
        <f>租金案例!R10</f>
        <v>325.95</v>
      </c>
      <c r="H33" s="119">
        <f>LOOKUP(G33,103:103,104:104)-LOOKUP(C33,103:103,104:104)+100</f>
        <v>97</v>
      </c>
      <c r="I33" s="368">
        <f>租金案例!R11</f>
        <v>348.91</v>
      </c>
      <c r="J33" s="119">
        <f>LOOKUP(I33,103:103,104:104)-LOOKUP(C33,103:103,104:104)+100</f>
        <v>97</v>
      </c>
      <c r="K33" s="539"/>
      <c r="L33" s="2489"/>
      <c r="M33" s="2491"/>
      <c r="N33" s="2491"/>
      <c r="O33" s="2491"/>
      <c r="P33" s="3411"/>
      <c r="Q33" s="531" t="str">
        <f t="shared" si="11"/>
        <v>项目建筑规模</v>
      </c>
      <c r="R33" s="669" t="s">
        <v>14</v>
      </c>
      <c r="S33" s="670">
        <f t="shared" si="12"/>
        <v>98</v>
      </c>
      <c r="T33" s="669" t="s">
        <v>14</v>
      </c>
      <c r="U33" s="670">
        <f t="shared" si="13"/>
        <v>97</v>
      </c>
      <c r="V33" s="669" t="s">
        <v>14</v>
      </c>
      <c r="W33" s="670">
        <f t="shared" si="14"/>
        <v>97</v>
      </c>
      <c r="X33" s="671"/>
      <c r="Y33" s="3413"/>
      <c r="Z33" s="672" t="str">
        <f t="shared" si="15"/>
        <v>项目建筑规模</v>
      </c>
      <c r="AA33" s="1264">
        <f t="shared" si="3"/>
        <v>1.0204081632653061</v>
      </c>
      <c r="AB33" s="1264">
        <f t="shared" si="4"/>
        <v>1.0309278350515463</v>
      </c>
      <c r="AC33" s="1264">
        <f t="shared" si="5"/>
        <v>1.0309278350515463</v>
      </c>
    </row>
    <row r="34" spans="1:29" ht="15.5">
      <c r="A34" s="409"/>
      <c r="B34" s="364" t="s">
        <v>1698</v>
      </c>
      <c r="C34" s="399" t="s">
        <v>3430</v>
      </c>
      <c r="D34" s="374">
        <v>100</v>
      </c>
      <c r="E34" s="399" t="s">
        <v>3430</v>
      </c>
      <c r="F34" s="400">
        <f>SUMIF(105:105,E34,106:106)-SUMIF(105:105,C34,106:106)+100</f>
        <v>100</v>
      </c>
      <c r="G34" s="399" t="s">
        <v>3430</v>
      </c>
      <c r="H34" s="374">
        <f>SUMIF(105:105,G34,106:106)-SUMIF(105:105,C34,106:106)+100</f>
        <v>100</v>
      </c>
      <c r="I34" s="399" t="s">
        <v>3430</v>
      </c>
      <c r="J34" s="374">
        <f>SUMIF(105:105,I34,106:106)-SUMIF(105:105,C34,106:106)+100</f>
        <v>100</v>
      </c>
      <c r="K34" s="538">
        <v>2</v>
      </c>
      <c r="L34" s="2490"/>
      <c r="M34" s="2485"/>
      <c r="N34" s="2485"/>
      <c r="O34" s="2485"/>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5">
      <c r="A36" s="409"/>
      <c r="B36" s="364" t="s">
        <v>1786</v>
      </c>
      <c r="C36" s="411">
        <f>'数据-取费表'!N6</f>
        <v>0.7</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90"/>
      <c r="M36" s="2485"/>
      <c r="N36" s="2485"/>
      <c r="O36" s="2485"/>
      <c r="P36" s="3411"/>
      <c r="Q36" s="1263" t="str">
        <f t="shared" si="11"/>
        <v>成新度</v>
      </c>
      <c r="R36" s="667" t="s">
        <v>14</v>
      </c>
      <c r="S36" s="668">
        <f t="shared" si="12"/>
        <v>100</v>
      </c>
      <c r="T36" s="667" t="s">
        <v>14</v>
      </c>
      <c r="U36" s="668">
        <f t="shared" si="13"/>
        <v>100</v>
      </c>
      <c r="V36" s="667" t="s">
        <v>14</v>
      </c>
      <c r="W36" s="668">
        <f t="shared" si="14"/>
        <v>100</v>
      </c>
      <c r="X36" s="1265"/>
      <c r="Y36" s="3413"/>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6"/>
      <c r="M37" s="2438"/>
      <c r="N37" s="2438"/>
      <c r="O37" s="2438"/>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5">
      <c r="A38" s="409"/>
      <c r="B38" s="364" t="s">
        <v>1788</v>
      </c>
      <c r="C38" s="1760" t="s">
        <v>3447</v>
      </c>
      <c r="D38" s="374">
        <v>100</v>
      </c>
      <c r="E38" s="1760" t="s">
        <v>3447</v>
      </c>
      <c r="F38" s="400">
        <f>SUMIF(114:114,E38,115:115)-SUMIF(114:114,C38,115:115)+100</f>
        <v>100</v>
      </c>
      <c r="G38" s="1760" t="s">
        <v>3447</v>
      </c>
      <c r="H38" s="374">
        <f>SUMIF(114:114,G38,115:115)-SUMIF(114:114,C38,115:115)+100</f>
        <v>100</v>
      </c>
      <c r="I38" s="1760" t="s">
        <v>3449</v>
      </c>
      <c r="J38" s="374">
        <f>SUMIF(114:114,I38,115:115)-SUMIF(114:114,C38,115:115)+100</f>
        <v>97</v>
      </c>
      <c r="K38" s="538">
        <v>3</v>
      </c>
      <c r="L38" s="2490"/>
      <c r="M38" s="2485"/>
      <c r="N38" s="2485"/>
      <c r="O38" s="2485"/>
      <c r="P38" s="3411" t="s">
        <v>1696</v>
      </c>
      <c r="Q38" s="1263" t="str">
        <f t="shared" si="11"/>
        <v>业态</v>
      </c>
      <c r="R38" s="667" t="s">
        <v>14</v>
      </c>
      <c r="S38" s="668">
        <f t="shared" si="12"/>
        <v>100</v>
      </c>
      <c r="T38" s="667" t="s">
        <v>14</v>
      </c>
      <c r="U38" s="668">
        <f t="shared" si="13"/>
        <v>100</v>
      </c>
      <c r="V38" s="667" t="s">
        <v>14</v>
      </c>
      <c r="W38" s="668">
        <f t="shared" si="14"/>
        <v>97</v>
      </c>
      <c r="X38" s="1265"/>
      <c r="Y38" s="3413" t="s">
        <v>1696</v>
      </c>
      <c r="Z38" s="1264" t="str">
        <f t="shared" si="15"/>
        <v>业态</v>
      </c>
      <c r="AA38" s="1264">
        <f t="shared" si="3"/>
        <v>1</v>
      </c>
      <c r="AB38" s="1264">
        <f t="shared" si="4"/>
        <v>1</v>
      </c>
      <c r="AC38" s="1264">
        <f t="shared" si="5"/>
        <v>1.0309278350515463</v>
      </c>
    </row>
    <row r="39" spans="1:29" ht="15.5">
      <c r="A39" s="409"/>
      <c r="B39" s="364" t="s">
        <v>1789</v>
      </c>
      <c r="C39" s="1760" t="s">
        <v>3502</v>
      </c>
      <c r="D39" s="374">
        <v>100</v>
      </c>
      <c r="E39" s="1760" t="s">
        <v>3502</v>
      </c>
      <c r="F39" s="400">
        <f>SUMIF(116:116,E39,117:117)-SUMIF(116:116,C39,117:117)+100</f>
        <v>100</v>
      </c>
      <c r="G39" s="1760" t="s">
        <v>3502</v>
      </c>
      <c r="H39" s="374">
        <f>SUMIF(116:116,G39,117:117)-SUMIF(116:116,C39,117:117)+100</f>
        <v>100</v>
      </c>
      <c r="I39" s="1760" t="s">
        <v>3502</v>
      </c>
      <c r="J39" s="374">
        <f>SUMIF(116:116,I39,117:117)-SUMIF(116:116,C39,117:117)+100</f>
        <v>100</v>
      </c>
      <c r="K39" s="538">
        <v>5</v>
      </c>
      <c r="L39" s="2490"/>
      <c r="M39" s="2485"/>
      <c r="N39" s="2485"/>
      <c r="O39" s="2485"/>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5">
      <c r="A42" s="409"/>
      <c r="B42" s="364" t="s">
        <v>1792</v>
      </c>
      <c r="C42" s="1760" t="s">
        <v>3508</v>
      </c>
      <c r="D42" s="374">
        <v>100</v>
      </c>
      <c r="E42" s="1760" t="s">
        <v>3505</v>
      </c>
      <c r="F42" s="400">
        <f>SUMIF(122:122,E42,123:123)-SUMIF(122:122,C42,123:123)+100</f>
        <v>102</v>
      </c>
      <c r="G42" s="1760" t="s">
        <v>3505</v>
      </c>
      <c r="H42" s="374">
        <f>SUMIF(122:122,G42,123:123)-SUMIF(122:122,C42,123:123)+100</f>
        <v>102</v>
      </c>
      <c r="I42" s="1760" t="s">
        <v>3505</v>
      </c>
      <c r="J42" s="374">
        <f>SUMIF(122:122,I42,123:123)-SUMIF(122:122,C42,123:123)+100</f>
        <v>102</v>
      </c>
      <c r="K42" s="538">
        <v>1</v>
      </c>
      <c r="L42" s="2490"/>
      <c r="M42" s="2485"/>
      <c r="N42" s="2485"/>
      <c r="O42" s="2485"/>
      <c r="P42" s="3411"/>
      <c r="Q42" s="1263" t="str">
        <f t="shared" si="11"/>
        <v>内部装修</v>
      </c>
      <c r="R42" s="667" t="s">
        <v>14</v>
      </c>
      <c r="S42" s="668">
        <f t="shared" si="12"/>
        <v>102</v>
      </c>
      <c r="T42" s="667" t="s">
        <v>14</v>
      </c>
      <c r="U42" s="668">
        <f t="shared" si="13"/>
        <v>102</v>
      </c>
      <c r="V42" s="667" t="s">
        <v>14</v>
      </c>
      <c r="W42" s="668">
        <f t="shared" si="14"/>
        <v>102</v>
      </c>
      <c r="X42" s="1265"/>
      <c r="Y42" s="3413"/>
      <c r="Z42" s="1264" t="str">
        <f t="shared" si="15"/>
        <v>内部装修</v>
      </c>
      <c r="AA42" s="1264">
        <f t="shared" si="3"/>
        <v>0.98039215686274506</v>
      </c>
      <c r="AB42" s="1264">
        <f t="shared" si="4"/>
        <v>0.98039215686274506</v>
      </c>
      <c r="AC42" s="1264">
        <f t="shared" si="5"/>
        <v>0.98039215686274506</v>
      </c>
    </row>
    <row r="43" spans="1:29" ht="28">
      <c r="A43" s="409"/>
      <c r="B43" s="364" t="s">
        <v>1707</v>
      </c>
      <c r="C43" s="1760" t="s">
        <v>3445</v>
      </c>
      <c r="D43" s="374">
        <v>100</v>
      </c>
      <c r="E43" s="1760" t="s">
        <v>3445</v>
      </c>
      <c r="F43" s="400">
        <f>SUMIF(124:124,E43,125:125)-SUMIF(124:124,C43,125:125)+100</f>
        <v>100</v>
      </c>
      <c r="G43" s="1760" t="s">
        <v>3445</v>
      </c>
      <c r="H43" s="374">
        <f>SUMIF(124:124,G43,125:125)-SUMIF(124:124,C43,125:125)+100</f>
        <v>100</v>
      </c>
      <c r="I43" s="1760" t="s">
        <v>3445</v>
      </c>
      <c r="J43" s="374">
        <f>SUMIF(124:124,I43,125:125)-SUMIF(124:124,C43,125:125)+100</f>
        <v>100</v>
      </c>
      <c r="K43" s="538">
        <v>2</v>
      </c>
      <c r="L43" s="2490"/>
      <c r="M43" s="2485"/>
      <c r="N43" s="2485"/>
      <c r="O43" s="2485"/>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c r="A47" s="416" t="s">
        <v>1708</v>
      </c>
      <c r="B47" s="417"/>
      <c r="C47" s="1081" t="s">
        <v>0</v>
      </c>
      <c r="D47" s="418"/>
      <c r="E47" s="419">
        <f>租金案例!S9</f>
        <v>6.5</v>
      </c>
      <c r="F47" s="420"/>
      <c r="G47" s="421">
        <f>租金案例!S10</f>
        <v>6.05</v>
      </c>
      <c r="H47" s="422"/>
      <c r="I47" s="419">
        <f>租金案例!S11</f>
        <v>5.65</v>
      </c>
      <c r="J47" s="422"/>
      <c r="K47" s="674"/>
      <c r="L47" s="2492"/>
      <c r="M47" s="2485"/>
      <c r="N47" s="2485"/>
      <c r="O47" s="2485"/>
      <c r="P47" s="3415" t="str">
        <f>A47</f>
        <v>成交单价（元/平方米）</v>
      </c>
      <c r="Q47" s="3415"/>
      <c r="R47" s="3376">
        <f>E47</f>
        <v>6.5</v>
      </c>
      <c r="S47" s="3376"/>
      <c r="T47" s="3376">
        <f>G47</f>
        <v>6.05</v>
      </c>
      <c r="U47" s="3376"/>
      <c r="V47" s="3376">
        <f>I47</f>
        <v>5.65</v>
      </c>
      <c r="W47" s="3376"/>
      <c r="X47" s="385"/>
      <c r="Y47" s="673"/>
      <c r="Z47" s="385"/>
      <c r="AA47" s="385"/>
      <c r="AB47" s="385"/>
      <c r="AC47" s="385"/>
    </row>
    <row r="48" spans="1:29" ht="14.5" thickBot="1">
      <c r="A48" s="423" t="s">
        <v>1709</v>
      </c>
      <c r="B48" s="424"/>
      <c r="C48" s="1082">
        <f>R49</f>
        <v>6.02</v>
      </c>
      <c r="D48" s="2140" t="s">
        <v>2138</v>
      </c>
      <c r="E48" s="1083">
        <f>R48</f>
        <v>6.39</v>
      </c>
      <c r="F48" s="2141"/>
      <c r="G48" s="1082">
        <f>T48</f>
        <v>6.32</v>
      </c>
      <c r="H48" s="2141"/>
      <c r="I48" s="1083">
        <f>V48</f>
        <v>5.34</v>
      </c>
      <c r="J48" s="2141"/>
      <c r="K48" s="2143">
        <f>F48+H48+J48</f>
        <v>0</v>
      </c>
      <c r="L48" s="2492"/>
      <c r="M48" s="2485"/>
      <c r="N48" s="2485"/>
      <c r="O48" s="2485"/>
      <c r="P48" s="3415" t="str">
        <f>A48</f>
        <v>比较价值（元/平方米）</v>
      </c>
      <c r="Q48" s="3415"/>
      <c r="R48" s="3419">
        <f>IF(F1="售价",ROUND(PRODUCT(R47,AA7:AA46),0),ROUND(PRODUCT(R47,AA7:AA46),2))</f>
        <v>6.39</v>
      </c>
      <c r="S48" s="3419"/>
      <c r="T48" s="3419">
        <f>IF(F1="售价",ROUND(PRODUCT(T47,AB7:AB46),0),ROUND(PRODUCT(T47,AB7:AB46),2))</f>
        <v>6.32</v>
      </c>
      <c r="U48" s="3419"/>
      <c r="V48" s="3419">
        <f>IF(F1="售价",ROUND(PRODUCT(V47,AC7:AC46),0),ROUND(PRODUCT(V47,AC7:AC46),2))</f>
        <v>5.34</v>
      </c>
      <c r="W48" s="3419"/>
      <c r="X48" s="385"/>
      <c r="Y48" s="385"/>
      <c r="Z48" s="385"/>
      <c r="AA48" s="385"/>
      <c r="AB48" s="385"/>
      <c r="AC48" s="385"/>
    </row>
    <row r="49" spans="1:29" ht="14.5" thickBot="1">
      <c r="A49" s="427" t="s">
        <v>1710</v>
      </c>
      <c r="B49" s="428"/>
      <c r="C49" s="351">
        <f>R49</f>
        <v>6.02</v>
      </c>
      <c r="D49" s="351"/>
      <c r="E49" s="351"/>
      <c r="F49" s="351"/>
      <c r="G49" s="351"/>
      <c r="H49" s="351"/>
      <c r="I49" s="351"/>
      <c r="J49" s="351"/>
      <c r="K49" s="675"/>
      <c r="L49" s="2492"/>
      <c r="M49" s="2485"/>
      <c r="N49" s="2485"/>
      <c r="O49" s="2485"/>
      <c r="P49" s="3416" t="str">
        <f>A49</f>
        <v>估价对象XX用房的比较价值（楼面单价，元/平方米）</v>
      </c>
      <c r="Q49" s="3417"/>
      <c r="R49" s="3420">
        <f>IF(F1="售价",ROUND(IF(D48="简单平均",AVERAGE(R48:V48),R48*F48+T48*H48+V48*J48),0),ROUND(IF(D48="简单平均",AVERAGE(R48:V48),R48*F48+T48*H48+V48*J48),2))</f>
        <v>6.02</v>
      </c>
      <c r="S49" s="3420"/>
      <c r="T49" s="3420"/>
      <c r="U49" s="3420"/>
      <c r="V49" s="3420"/>
      <c r="W49" s="342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1711</v>
      </c>
      <c r="D52" s="433"/>
      <c r="E52" s="434">
        <f>IF(E47&lt;E48,E48/E47-1,E47/E48-1)</f>
        <v>1.7214397496087663E-2</v>
      </c>
      <c r="F52" s="435" t="str">
        <f>IF(OR(E52&gt;=0.3,E52&lt;=-0.3),"超过30%","")</f>
        <v/>
      </c>
      <c r="G52" s="434">
        <f>IF(G47&lt;G48,G48/G47-1,G47/G48-1)</f>
        <v>4.4628099173553704E-2</v>
      </c>
      <c r="H52" s="435" t="str">
        <f>IF(OR(G52&gt;=0.3,G52&lt;=-0.3),"超过30%","")</f>
        <v/>
      </c>
      <c r="I52" s="434">
        <f>IF(I47&lt;I48,I48/I47-1,I47/I48-1)</f>
        <v>5.805243445692887E-2</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1712</v>
      </c>
      <c r="D53" s="436"/>
      <c r="E53" s="434">
        <f>IF(E48&lt;G48,G48/E48-1,E48/G48-1)</f>
        <v>1.1075949367088445E-2</v>
      </c>
      <c r="F53" s="435" t="str">
        <f>IF(OR(E53&gt;=0.2,E53&lt;=-0.2),"超过20%","")</f>
        <v/>
      </c>
      <c r="G53" s="434">
        <f>IF(G48&lt;I48,I48/G48-1,G48/I48-1)</f>
        <v>0.18352059925093633</v>
      </c>
      <c r="H53" s="435" t="str">
        <f>IF(OR(G53&gt;=0.2,G53&lt;=-0.2),"超过20%","")</f>
        <v/>
      </c>
      <c r="I53" s="434">
        <f>IF(I48&lt;E48,E48/I48-1,I48/E48-1)</f>
        <v>0.19662921348314599</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1713</v>
      </c>
      <c r="D54" s="436"/>
      <c r="E54" s="434">
        <f>IF(E47&lt;G47,G47/E47-1,E47/G47-1)</f>
        <v>7.4380165289256173E-2</v>
      </c>
      <c r="F54" s="435" t="str">
        <f>IF(OR(E54&gt;=0.3,E54&lt;=-0.3),"超过30%","")</f>
        <v/>
      </c>
      <c r="G54" s="434">
        <f>IF(G47&lt;I47,I47/G47-1,G47/I47-1)</f>
        <v>7.0796460176991038E-2</v>
      </c>
      <c r="H54" s="435" t="str">
        <f>IF(OR(G54&gt;=0.3,G54&lt;=-0.3),"超过30%","")</f>
        <v/>
      </c>
      <c r="I54" s="434">
        <f>IF(I47&lt;E47,E47/I47-1,I47/E47-1)</f>
        <v>0.15044247787610621</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1714</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1681</v>
      </c>
      <c r="B61" s="444"/>
      <c r="C61" s="456" t="s">
        <v>1718</v>
      </c>
      <c r="D61" s="3174" t="s">
        <v>3456</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v>105</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1688</v>
      </c>
      <c r="C65" s="513" t="s">
        <v>3451</v>
      </c>
      <c r="D65" s="513" t="s">
        <v>3452</v>
      </c>
      <c r="E65" s="513" t="s">
        <v>3453</v>
      </c>
      <c r="F65" s="513" t="s">
        <v>3454</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f t="shared" ref="C66:D66" si="17">D66-5</f>
        <v>85</v>
      </c>
      <c r="D66" s="467">
        <f t="shared" si="17"/>
        <v>90</v>
      </c>
      <c r="E66" s="467">
        <f>F66-5</f>
        <v>95</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1689</v>
      </c>
      <c r="C67" s="478" t="str">
        <f>C68&amp;"（含）"&amp;"-"&amp;D68</f>
        <v>0（含）-5</v>
      </c>
      <c r="D67" s="478" t="str">
        <f t="shared" ref="D67:L67" si="18">D68&amp;"（含）"&amp;"-"&amp;E68</f>
        <v>5（含）-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5</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1804</v>
      </c>
      <c r="C86" s="3173" t="s">
        <v>3457</v>
      </c>
      <c r="D86" s="3173" t="s">
        <v>3458</v>
      </c>
      <c r="E86" s="3173" t="s">
        <v>3517</v>
      </c>
      <c r="F86" s="3173" t="s">
        <v>3460</v>
      </c>
      <c r="G86" s="3173" t="s">
        <v>3462</v>
      </c>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1">C87-$K25</f>
        <v>97</v>
      </c>
      <c r="E87" s="475">
        <f t="shared" si="21"/>
        <v>94</v>
      </c>
      <c r="F87" s="475">
        <f t="shared" si="21"/>
        <v>91</v>
      </c>
      <c r="G87" s="475">
        <f t="shared" si="21"/>
        <v>88</v>
      </c>
      <c r="H87" s="475">
        <f t="shared" si="21"/>
        <v>85</v>
      </c>
      <c r="I87" s="475">
        <f t="shared" si="21"/>
        <v>82</v>
      </c>
      <c r="J87" s="475">
        <f t="shared" si="21"/>
        <v>79</v>
      </c>
      <c r="K87" s="475">
        <f t="shared" si="21"/>
        <v>76</v>
      </c>
      <c r="L87" s="475">
        <f t="shared" si="21"/>
        <v>73</v>
      </c>
      <c r="M87" s="475">
        <f t="shared" si="21"/>
        <v>70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3173" t="s">
        <v>3464</v>
      </c>
      <c r="D88" s="3173" t="s">
        <v>3465</v>
      </c>
      <c r="E88" s="3173" t="s">
        <v>3467</v>
      </c>
      <c r="F88" s="3175" t="s">
        <v>3468</v>
      </c>
      <c r="G88" s="3173" t="s">
        <v>3470</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v>100</v>
      </c>
      <c r="D89" s="467">
        <f>C89-5</f>
        <v>95</v>
      </c>
      <c r="E89" s="467">
        <f t="shared" ref="E89:G89" si="22">D89-5</f>
        <v>90</v>
      </c>
      <c r="F89" s="467">
        <f t="shared" si="22"/>
        <v>85</v>
      </c>
      <c r="G89" s="467">
        <f t="shared" si="22"/>
        <v>80</v>
      </c>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3173" t="s">
        <v>3471</v>
      </c>
      <c r="D90" s="3173" t="s">
        <v>3472</v>
      </c>
      <c r="E90" s="3173" t="s">
        <v>3467</v>
      </c>
      <c r="F90" s="3173" t="s">
        <v>3473</v>
      </c>
      <c r="G90" s="3173" t="s">
        <v>3474</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98</v>
      </c>
      <c r="E91" s="475">
        <f t="shared" ref="E91:M91" si="23">D91-$K27</f>
        <v>96</v>
      </c>
      <c r="F91" s="475">
        <f t="shared" si="23"/>
        <v>94</v>
      </c>
      <c r="G91" s="475">
        <f t="shared" si="23"/>
        <v>92</v>
      </c>
      <c r="H91" s="475">
        <f t="shared" si="23"/>
        <v>90</v>
      </c>
      <c r="I91" s="475">
        <f t="shared" si="23"/>
        <v>88</v>
      </c>
      <c r="J91" s="475">
        <f t="shared" si="23"/>
        <v>86</v>
      </c>
      <c r="K91" s="475">
        <f t="shared" si="23"/>
        <v>84</v>
      </c>
      <c r="L91" s="475">
        <f t="shared" si="23"/>
        <v>82</v>
      </c>
      <c r="M91" s="475">
        <f t="shared" si="23"/>
        <v>80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3475</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3180" t="s">
        <v>3514</v>
      </c>
      <c r="D100" s="3180"/>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20"/>
      <c r="O101" s="2520"/>
      <c r="P101" s="2511"/>
      <c r="Q101" s="2506"/>
      <c r="R101" s="2485"/>
      <c r="S101" s="2485"/>
      <c r="T101" s="2485"/>
      <c r="U101" s="2485"/>
      <c r="V101" s="2485"/>
      <c r="W101" s="2485"/>
      <c r="X101" s="2485"/>
      <c r="Y101" s="2485"/>
      <c r="Z101" s="2485"/>
      <c r="AA101" s="2485"/>
      <c r="AB101" s="2485"/>
      <c r="AC101" s="2485"/>
    </row>
    <row r="102" spans="1:29" ht="14.5" thickTop="1">
      <c r="A102" s="367"/>
      <c r="B102" s="469" t="s">
        <v>1737</v>
      </c>
      <c r="C102" s="509" t="str">
        <f>C103&amp;"(含)"&amp;"-"&amp;D103</f>
        <v>0(含)-80</v>
      </c>
      <c r="D102" s="509" t="str">
        <f t="shared" ref="D102:L102" si="25">D103&amp;"(含)"&amp;"-"&amp;E103</f>
        <v>80(含)-150</v>
      </c>
      <c r="E102" s="509" t="str">
        <f t="shared" si="25"/>
        <v>150(含)-300</v>
      </c>
      <c r="F102" s="509" t="str">
        <f t="shared" si="25"/>
        <v>300(含)-400</v>
      </c>
      <c r="G102" s="509" t="str">
        <f t="shared" si="25"/>
        <v>400(含)-500</v>
      </c>
      <c r="H102" s="509" t="str">
        <f t="shared" si="25"/>
        <v>500(含)-</v>
      </c>
      <c r="I102" s="509" t="str">
        <f t="shared" si="25"/>
        <v>(含)-</v>
      </c>
      <c r="J102" s="509" t="str">
        <f t="shared" si="25"/>
        <v>(含)-</v>
      </c>
      <c r="K102" s="509" t="str">
        <f t="shared" si="25"/>
        <v>(含)-</v>
      </c>
      <c r="L102" s="509" t="str">
        <f t="shared" si="25"/>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80</v>
      </c>
      <c r="E103" s="6">
        <v>150</v>
      </c>
      <c r="F103" s="6">
        <v>300</v>
      </c>
      <c r="G103" s="6">
        <v>400</v>
      </c>
      <c r="H103" s="6">
        <v>500</v>
      </c>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v>100</v>
      </c>
      <c r="D104" s="467">
        <f>C104-1</f>
        <v>99</v>
      </c>
      <c r="E104" s="467">
        <f t="shared" ref="E104:H104" si="26">D104-1</f>
        <v>98</v>
      </c>
      <c r="F104" s="467">
        <f t="shared" si="26"/>
        <v>97</v>
      </c>
      <c r="G104" s="467">
        <f t="shared" si="26"/>
        <v>96</v>
      </c>
      <c r="H104" s="467">
        <f t="shared" si="26"/>
        <v>95</v>
      </c>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1738</v>
      </c>
      <c r="C105" s="3173" t="s">
        <v>3497</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6">
        <f t="shared" si="28"/>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1742</v>
      </c>
      <c r="C112" s="3173" t="s">
        <v>3498</v>
      </c>
      <c r="D112" s="3173" t="s">
        <v>3499</v>
      </c>
      <c r="E112" s="3173" t="s">
        <v>3500</v>
      </c>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1806</v>
      </c>
      <c r="C114" s="3173" t="s">
        <v>3448</v>
      </c>
      <c r="D114" s="3173" t="s">
        <v>3450</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31">C115-$K38</f>
        <v>97</v>
      </c>
      <c r="E115" s="475">
        <f t="shared" si="31"/>
        <v>94</v>
      </c>
      <c r="F115" s="475">
        <f t="shared" si="31"/>
        <v>91</v>
      </c>
      <c r="G115" s="475">
        <f t="shared" si="31"/>
        <v>88</v>
      </c>
      <c r="H115" s="475">
        <f t="shared" si="31"/>
        <v>85</v>
      </c>
      <c r="I115" s="475">
        <f t="shared" si="31"/>
        <v>82</v>
      </c>
      <c r="J115" s="475">
        <f t="shared" si="31"/>
        <v>79</v>
      </c>
      <c r="K115" s="475">
        <f t="shared" si="31"/>
        <v>76</v>
      </c>
      <c r="L115" s="475">
        <f t="shared" si="31"/>
        <v>73</v>
      </c>
      <c r="M115" s="476">
        <f t="shared" si="31"/>
        <v>70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1807</v>
      </c>
      <c r="C116" s="3173" t="s">
        <v>3501</v>
      </c>
      <c r="D116" s="3173" t="s">
        <v>3503</v>
      </c>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1744</v>
      </c>
      <c r="C122" s="3173" t="s">
        <v>3504</v>
      </c>
      <c r="D122" s="3173" t="s">
        <v>3506</v>
      </c>
      <c r="E122" s="3173" t="s">
        <v>3507</v>
      </c>
      <c r="F122" s="3181" t="s">
        <v>3509</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3">C123-$K42</f>
        <v>99</v>
      </c>
      <c r="E123" s="475">
        <f t="shared" si="33"/>
        <v>98</v>
      </c>
      <c r="F123" s="475">
        <f t="shared" si="33"/>
        <v>97</v>
      </c>
      <c r="G123" s="475">
        <f t="shared" si="33"/>
        <v>96</v>
      </c>
      <c r="H123" s="475">
        <f t="shared" si="33"/>
        <v>95</v>
      </c>
      <c r="I123" s="475">
        <f t="shared" si="33"/>
        <v>94</v>
      </c>
      <c r="J123" s="475">
        <f t="shared" si="33"/>
        <v>93</v>
      </c>
      <c r="K123" s="475">
        <f t="shared" si="33"/>
        <v>92</v>
      </c>
      <c r="L123" s="475">
        <f t="shared" si="33"/>
        <v>91</v>
      </c>
      <c r="M123" s="476">
        <f t="shared" si="33"/>
        <v>90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algorithmName="SHA-512" hashValue="osAqhg8d9238+HGjyJYP4Mf4huAz6Wm5rbpKkGmqamsyBsAGWGf633GReSI/n2zprWOYGDgix6VSpZycdHkqDQ==" saltValue="KnHn2IE/mQqg4xiMR5K4pA=="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126" priority="14" stopIfTrue="1">
      <formula>$F$52="超过30%"</formula>
    </cfRule>
  </conditionalFormatting>
  <conditionalFormatting sqref="E53">
    <cfRule type="expression" dxfId="125" priority="13" stopIfTrue="1">
      <formula>$F$53="超过20%"</formula>
    </cfRule>
  </conditionalFormatting>
  <conditionalFormatting sqref="E54">
    <cfRule type="expression" dxfId="124" priority="12"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5" stopIfTrue="1" operator="containsText" text="超过">
      <formula>NOT(ISERROR(SEARCH("超过",F52)))</formula>
    </cfRule>
  </conditionalFormatting>
  <conditionalFormatting sqref="G52">
    <cfRule type="expression" dxfId="120" priority="10" stopIfTrue="1">
      <formula>$H$52="超过30%"</formula>
    </cfRule>
  </conditionalFormatting>
  <conditionalFormatting sqref="G53">
    <cfRule type="expression" dxfId="119" priority="9" stopIfTrue="1">
      <formula>$H$53="超过20%"</formula>
    </cfRule>
  </conditionalFormatting>
  <conditionalFormatting sqref="G54">
    <cfRule type="expression" dxfId="118" priority="11"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E1" xr:uid="{DC577116-4E94-4A85-86B3-22662DBF1E30}">
      <formula1>"项目模式,单套模式"</formula1>
    </dataValidation>
    <dataValidation type="list" allowBlank="1" showInputMessage="1" showErrorMessage="1" sqref="D48" xr:uid="{3317101B-CCBB-428B-9FCF-E4A16F9B7354}">
      <formula1>"简单平均,加权平均"</formula1>
    </dataValidation>
    <dataValidation type="list" allowBlank="1" showInputMessage="1" showErrorMessage="1" sqref="F2" xr:uid="{BAB5D267-2DC2-4DDF-9372-B8303BA8D786}">
      <formula1>估价方法</formula1>
    </dataValidation>
    <dataValidation type="list" allowBlank="1" showInputMessage="1" showErrorMessage="1" sqref="C2" xr:uid="{CF7D6077-2188-459A-8F11-E16C9B701699}">
      <formula1>"需扣减承租人权益,——"</formula1>
    </dataValidation>
    <dataValidation type="list" allowBlank="1" showInputMessage="1" showErrorMessage="1" sqref="F1" xr:uid="{AF3693AD-BABB-450E-93A0-191C16DF321D}">
      <formula1>"售价,租金"</formula1>
    </dataValidation>
    <dataValidation type="list" allowBlank="1" showInputMessage="1" showErrorMessage="1" sqref="C22 E22 G22 I22" xr:uid="{784FCBC0-3C27-4FA1-8A2B-9A87A3DDBB92}">
      <formula1>基础设施水平</formula1>
    </dataValidation>
    <dataValidation type="list" allowBlank="1" showInputMessage="1" showErrorMessage="1" sqref="C16 E16 G16 I16" xr:uid="{18537D23-E6D2-422D-819E-7CFD347BB32E}">
      <formula1>商业繁华度</formula1>
    </dataValidation>
    <dataValidation type="list" allowBlank="1" showInputMessage="1" showErrorMessage="1" sqref="C8 E8 G8 I8" xr:uid="{9964752C-87EE-4482-A211-ED6E2FC72781}">
      <formula1>商业交易情况</formula1>
    </dataValidation>
    <dataValidation type="list" allowBlank="1" showInputMessage="1" showErrorMessage="1" sqref="C39 E39 G39 I39" xr:uid="{99E2C3CB-4367-412C-A524-D15E818FD6E5}">
      <formula1>商业层高</formula1>
    </dataValidation>
    <dataValidation type="list" allowBlank="1" showInputMessage="1" showErrorMessage="1" sqref="C38 E38 G38 I38" xr:uid="{A4AE9546-AE0A-4737-A525-06168CEEAF53}">
      <formula1>商业业态</formula1>
    </dataValidation>
    <dataValidation type="list" allowBlank="1" showInputMessage="1" showErrorMessage="1" sqref="E9 G9 I9" xr:uid="{5842B9B5-ED25-47A3-8A40-22CF474ADA22}">
      <formula1>商业用途</formula1>
    </dataValidation>
    <dataValidation type="list" allowBlank="1" showInputMessage="1" showErrorMessage="1" sqref="C42 E42 G42 I42" xr:uid="{A2A5B5E3-7BF5-425C-A765-036C1D465F74}">
      <formula1>商业内部装修</formula1>
    </dataValidation>
    <dataValidation type="list" allowBlank="1" showInputMessage="1" showErrorMessage="1" sqref="C41 E41 G41 I41" xr:uid="{F8710A79-DCC6-453C-B530-D74F220B0F78}">
      <formula1>商业进深比</formula1>
    </dataValidation>
    <dataValidation type="list" allowBlank="1" showInputMessage="1" showErrorMessage="1" sqref="C37 E37 G37 I37" xr:uid="{58683DFF-4895-4B38-95C3-64AAE8C8A24B}">
      <formula1>商业基础设施水平</formula1>
    </dataValidation>
    <dataValidation type="list" allowBlank="1" showInputMessage="1" showErrorMessage="1" sqref="C35 E35 G35 I35" xr:uid="{59993497-AF1A-4EAA-A7C5-1917C9E63707}">
      <formula1>商业公共部分装修</formula1>
    </dataValidation>
    <dataValidation type="list" allowBlank="1" showInputMessage="1" showErrorMessage="1" sqref="C34 E34 G34 I34" xr:uid="{7F44B428-BDB1-4D5B-B20B-DB412A891D47}">
      <formula1>商业建筑结构</formula1>
    </dataValidation>
    <dataValidation type="list" allowBlank="1" showInputMessage="1" showErrorMessage="1" sqref="C32 E32 G32 I32" xr:uid="{5E64B242-2DEF-4B53-8F0C-3DA028BD7098}">
      <formula1>商业类型</formula1>
    </dataValidation>
    <dataValidation type="list" allowBlank="1" showInputMessage="1" showErrorMessage="1" sqref="C28 E28 G28 I28" xr:uid="{E65ED02A-A683-4673-98F5-F6FE9BC11907}">
      <formula1>商业楼层</formula1>
    </dataValidation>
    <dataValidation type="list" allowBlank="1" showInputMessage="1" showErrorMessage="1" sqref="C27 E27 G27 I27" xr:uid="{6C4DBE69-54BB-4077-9B18-C1AC95D6BBFF}">
      <formula1>商业人流量</formula1>
    </dataValidation>
    <dataValidation type="list" allowBlank="1" showInputMessage="1" showErrorMessage="1" sqref="C25 E25 G25 I25" xr:uid="{A007A42A-0FCE-440E-8AA8-DB60BDC1412C}">
      <formula1>商业临街状况</formula1>
    </dataValidation>
    <dataValidation type="list" allowBlank="1" showInputMessage="1" showErrorMessage="1" sqref="E24 G24 I24 C24" xr:uid="{57DD1C4C-2B53-4643-A22E-63E820666D03}">
      <formula1>环境</formula1>
    </dataValidation>
    <dataValidation type="list" allowBlank="1" showInputMessage="1" showErrorMessage="1" sqref="E18 G18 I18 C18" xr:uid="{68A93BE6-BBCD-4873-84D7-6FCC2FD28950}">
      <formula1>交通便捷度</formula1>
    </dataValidation>
    <dataValidation type="list" allowBlank="1" showInputMessage="1" showErrorMessage="1" sqref="E20 I20 G20 C20" xr:uid="{2EC339BC-0540-40B4-A710-1ADD30EB9622}">
      <formula1>公共配套设施</formula1>
    </dataValidation>
    <dataValidation type="list" allowBlank="1" showInputMessage="1" showErrorMessage="1" sqref="C43 E43 G43 I43" xr:uid="{D485C9D8-C5ED-4FA6-8A0A-F20EC71AF8C8}">
      <formula1>内部装修维护情况</formula1>
    </dataValidation>
    <dataValidation type="list" allowBlank="1" showInputMessage="1" showErrorMessage="1" sqref="D1" xr:uid="{6E5512C3-32E5-4B72-94D9-433482A735AA}">
      <formula1>项目类型</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H40" sqref="H4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673</v>
      </c>
      <c r="D1" s="1271" t="s">
        <v>43</v>
      </c>
      <c r="E1" s="1272" t="s">
        <v>678</v>
      </c>
      <c r="F1" s="999">
        <f ca="1">J53</f>
        <v>18</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135.98179999999999</v>
      </c>
      <c r="C2" s="1289" t="s">
        <v>879</v>
      </c>
      <c r="D2" s="1375">
        <f ca="1">C40+J29+L46</f>
        <v>1359818</v>
      </c>
      <c r="E2" s="1295" t="s">
        <v>880</v>
      </c>
      <c r="F2" s="1296"/>
      <c r="G2" s="2476"/>
      <c r="H2" s="2466"/>
      <c r="I2" s="2466"/>
      <c r="J2" s="2466"/>
      <c r="K2" s="2467"/>
      <c r="L2" s="2466"/>
      <c r="M2" s="2466"/>
    </row>
    <row r="3" spans="1:37" ht="18" customHeight="1" thickBot="1">
      <c r="A3" s="1297" t="s">
        <v>881</v>
      </c>
      <c r="B3" s="1298">
        <f ca="1">IF(ISERROR(D2/F43),0,ROUND(D2/F43,0))</f>
        <v>23911</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112231</v>
      </c>
      <c r="D5" s="1273" t="s">
        <v>889</v>
      </c>
      <c r="E5" s="1008"/>
      <c r="F5" s="1009"/>
      <c r="G5" s="1292"/>
      <c r="H5" s="291">
        <v>1</v>
      </c>
      <c r="I5" s="292" t="s">
        <v>888</v>
      </c>
      <c r="J5" s="1007">
        <f ca="1">J6+J10+J12</f>
        <v>0</v>
      </c>
      <c r="K5" s="1273" t="s">
        <v>889</v>
      </c>
      <c r="L5" s="1008"/>
      <c r="M5" s="1009"/>
    </row>
    <row r="6" spans="1:37" ht="18" customHeight="1">
      <c r="A6" s="1006" t="s">
        <v>398</v>
      </c>
      <c r="B6" s="3370" t="s">
        <v>694</v>
      </c>
      <c r="C6" s="1011">
        <f ca="1">ROUND(F6*F8*F7*(1-F9),0)</f>
        <v>112091</v>
      </c>
      <c r="D6" s="147" t="s">
        <v>2106</v>
      </c>
      <c r="E6" s="294" t="s">
        <v>696</v>
      </c>
      <c r="F6" s="295">
        <f ca="1">INDIRECT("'数据-取费表'!u"&amp;$G$1)</f>
        <v>6</v>
      </c>
      <c r="G6" s="1292"/>
      <c r="H6" s="1006" t="s">
        <v>398</v>
      </c>
      <c r="I6" s="3370" t="s">
        <v>694</v>
      </c>
      <c r="J6" s="293">
        <f ca="1">ROUND(M6*M8*M7*(1-M9),0)</f>
        <v>0</v>
      </c>
      <c r="K6" s="1284" t="s">
        <v>2107</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56.87</v>
      </c>
      <c r="G7" s="1292"/>
      <c r="H7" s="296"/>
      <c r="I7" s="3371"/>
      <c r="J7" s="298"/>
      <c r="K7" s="299"/>
      <c r="L7" s="294" t="s">
        <v>697</v>
      </c>
      <c r="M7" s="295">
        <f ca="1">F7</f>
        <v>56.87</v>
      </c>
    </row>
    <row r="8" spans="1:37" ht="18" customHeight="1">
      <c r="A8" s="296"/>
      <c r="B8" s="3371"/>
      <c r="C8" s="298"/>
      <c r="D8" s="299"/>
      <c r="E8" s="294" t="s">
        <v>698</v>
      </c>
      <c r="F8" s="295">
        <f ca="1">INDIRECT("'数据-取费表'!ai"&amp;$G$1)</f>
        <v>365</v>
      </c>
      <c r="G8" s="1292"/>
      <c r="H8" s="296"/>
      <c r="I8" s="3371"/>
      <c r="J8" s="298"/>
      <c r="K8" s="299"/>
      <c r="L8" s="294" t="s">
        <v>698</v>
      </c>
      <c r="M8" s="295">
        <f ca="1">INDIRECT("'数据-取费表'!ai"&amp;$G$1)</f>
        <v>365</v>
      </c>
    </row>
    <row r="9" spans="1:37" ht="18" customHeight="1">
      <c r="A9" s="296"/>
      <c r="B9" s="3372"/>
      <c r="C9" s="298"/>
      <c r="D9" s="299"/>
      <c r="E9" s="294" t="s">
        <v>699</v>
      </c>
      <c r="F9" s="304">
        <f ca="1">INDIRECT("'数据-取费表'!w"&amp;$G$1)</f>
        <v>0.1</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140</v>
      </c>
      <c r="D10" s="150" t="s">
        <v>2116</v>
      </c>
      <c r="E10" s="305" t="s">
        <v>701</v>
      </c>
      <c r="F10" s="1053" t="s">
        <v>3429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242912</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227480</v>
      </c>
      <c r="D14" s="1257" t="s">
        <v>708</v>
      </c>
      <c r="E14" s="1255"/>
      <c r="F14" s="311"/>
      <c r="G14" s="1292"/>
      <c r="H14" s="928" t="s">
        <v>398</v>
      </c>
      <c r="I14" s="294" t="s">
        <v>709</v>
      </c>
      <c r="J14" s="21">
        <f ca="1">C29</f>
        <v>347017</v>
      </c>
      <c r="K14" s="12"/>
      <c r="L14" s="759"/>
      <c r="M14" s="760"/>
    </row>
    <row r="15" spans="1:37" s="1304" customFormat="1" ht="18" customHeight="1" thickBot="1">
      <c r="A15" s="928" t="s">
        <v>399</v>
      </c>
      <c r="B15" s="294" t="s">
        <v>710</v>
      </c>
      <c r="C15" s="21">
        <f ca="1">ROUND(C14*F15,0)</f>
        <v>11374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1735</v>
      </c>
      <c r="K16" s="1024" t="s">
        <v>715</v>
      </c>
      <c r="L16" s="1025"/>
      <c r="M16" s="1009"/>
    </row>
    <row r="17" spans="1:37" s="1304" customFormat="1" ht="18" customHeight="1">
      <c r="A17" s="928" t="s">
        <v>681</v>
      </c>
      <c r="B17" s="294" t="s">
        <v>716</v>
      </c>
      <c r="C17" s="21">
        <f ca="1">ROUND(F17*(F43+INDIRECT("'数据-取费表'!S"&amp;$G$1)),0)</f>
        <v>11374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4550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254778</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5096</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1735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8135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-1735</v>
      </c>
      <c r="K25" s="1032" t="s">
        <v>753</v>
      </c>
      <c r="L25" s="1033"/>
      <c r="M25" s="1034"/>
    </row>
    <row r="26" spans="1:37" ht="18" customHeight="1">
      <c r="A26" s="928" t="s">
        <v>397</v>
      </c>
      <c r="B26" s="294" t="s">
        <v>754</v>
      </c>
      <c r="C26" s="21">
        <f ca="1">ROUND((C19+C20)*F26,0)</f>
        <v>51975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347017</v>
      </c>
      <c r="D29" s="1029"/>
      <c r="E29" s="1027"/>
      <c r="F29" s="1030"/>
      <c r="G29" s="1303"/>
      <c r="H29" s="325" t="s">
        <v>396</v>
      </c>
      <c r="I29" s="326" t="s">
        <v>768</v>
      </c>
      <c r="J29" s="327">
        <f ca="1">ROUND(J26/(1+F40)^F41,0)</f>
        <v>0</v>
      </c>
      <c r="K29" s="328" t="s">
        <v>769</v>
      </c>
      <c r="L29" s="329"/>
      <c r="M29" s="330">
        <f ca="1">INDIRECT("'数据-取费表'!k"&amp;$G$1)</f>
        <v>56.87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10573</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7473</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1735</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243</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1122</v>
      </c>
      <c r="D38" s="1029" t="s">
        <v>748</v>
      </c>
      <c r="E38" s="1027" t="s">
        <v>744</v>
      </c>
      <c r="F38" s="1023">
        <f ca="1">INDIRECT("'数据-取费表'!Am"&amp;$G$1)</f>
        <v>0.01</v>
      </c>
      <c r="G38" s="1292"/>
      <c r="H38" s="2471"/>
      <c r="I38" s="1305"/>
      <c r="J38" s="1306"/>
      <c r="K38" s="2469"/>
      <c r="L38" s="2471"/>
      <c r="M38" s="2471"/>
    </row>
    <row r="39" spans="1:18" ht="24.65" customHeight="1" thickTop="1">
      <c r="A39" s="1016" t="s">
        <v>394</v>
      </c>
      <c r="B39" s="1031" t="s">
        <v>772</v>
      </c>
      <c r="C39" s="302">
        <f ca="1">C5-C30</f>
        <v>101658</v>
      </c>
      <c r="D39" s="1032" t="s">
        <v>773</v>
      </c>
      <c r="E39" s="1033"/>
      <c r="F39" s="1034"/>
      <c r="G39" s="1292"/>
      <c r="H39" s="2471">
        <f ca="1">C39/C5</f>
        <v>0.90579251721895016</v>
      </c>
      <c r="I39" s="1305"/>
      <c r="J39" s="1306"/>
      <c r="K39" s="2469"/>
      <c r="L39" s="2471"/>
      <c r="M39" s="2471"/>
    </row>
    <row r="40" spans="1:18" ht="18" customHeight="1">
      <c r="A40" s="291" t="s">
        <v>395</v>
      </c>
      <c r="B40" s="292" t="s">
        <v>774</v>
      </c>
      <c r="C40" s="293">
        <f ca="1">ROUND(C39*(1-((1+F42)/(1+F40))^F41)/(F40-F42),0)</f>
        <v>1322056</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18</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23247</v>
      </c>
      <c r="D43" s="328" t="s">
        <v>777</v>
      </c>
      <c r="E43" s="329" t="s">
        <v>778</v>
      </c>
      <c r="F43" s="330">
        <f ca="1">INDIRECT("'数据-取费表'!k"&amp;$G$1)</f>
        <v>56.87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3349</v>
      </c>
      <c r="B45" s="1307"/>
      <c r="C45" s="1376">
        <f ca="1">ROUND((C68-C40)/10000,4)</f>
        <v>-134.43010000000001</v>
      </c>
      <c r="D45" s="3128" t="s">
        <v>3350</v>
      </c>
      <c r="E45" s="1307"/>
      <c r="F45" s="1307"/>
      <c r="O45" s="1310" t="s">
        <v>808</v>
      </c>
      <c r="P45" s="1366"/>
      <c r="Q45" s="1366"/>
      <c r="R45" s="1366"/>
    </row>
    <row r="46" spans="1:18" s="1292" customFormat="1" ht="14" thickBot="1">
      <c r="A46" s="1311" t="s">
        <v>809</v>
      </c>
      <c r="C46" s="1312">
        <f ca="1">ROUND(C45,0)</f>
        <v>-134</v>
      </c>
      <c r="D46" s="1313" t="str">
        <f>C2</f>
        <v>万元</v>
      </c>
      <c r="I46" s="1314" t="s">
        <v>810</v>
      </c>
      <c r="J46" s="1315"/>
      <c r="K46" s="1316"/>
      <c r="L46" s="1317">
        <f ca="1">IF(M47="住宅",0,IF(L48&gt;J51,L60,J60))</f>
        <v>37762</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3430</v>
      </c>
      <c r="K47" s="1323" t="s">
        <v>816</v>
      </c>
      <c r="L47" s="1324">
        <f ca="1">INDIRECT("'数据-取费表'!d"&amp;$G$1)</f>
        <v>40</v>
      </c>
      <c r="M47" s="1288" t="str">
        <f>IF(ISNUMBER(FIND("住宅",C1)),"住宅","非住宅")</f>
        <v>非住宅</v>
      </c>
      <c r="O47" s="1325" t="s">
        <v>403</v>
      </c>
      <c r="P47" s="1326" t="s">
        <v>817</v>
      </c>
      <c r="Q47" s="1327">
        <f ca="1">C40+J29</f>
        <v>1322056</v>
      </c>
      <c r="R47" s="1327" t="s">
        <v>818</v>
      </c>
    </row>
    <row r="48" spans="1:18" s="1292" customFormat="1" ht="43.5" thickBot="1">
      <c r="A48" s="1047" t="s">
        <v>438</v>
      </c>
      <c r="B48" s="292" t="s">
        <v>692</v>
      </c>
      <c r="C48" s="1268">
        <f ca="1">C49+C53+C55</f>
        <v>0</v>
      </c>
      <c r="D48" s="1049"/>
      <c r="E48" s="1050"/>
      <c r="F48" s="908"/>
      <c r="G48" s="681"/>
      <c r="H48" s="682"/>
      <c r="I48" s="1328" t="s">
        <v>819</v>
      </c>
      <c r="J48" s="1329" t="s">
        <v>3431</v>
      </c>
      <c r="K48" s="1330" t="s">
        <v>820</v>
      </c>
      <c r="L48" s="1331">
        <f ca="1">INDIRECT("'数据-取费表'!f"&amp;$G$1)</f>
        <v>18</v>
      </c>
      <c r="O48" s="1325" t="s">
        <v>404</v>
      </c>
      <c r="P48" s="1326" t="s">
        <v>821</v>
      </c>
      <c r="Q48" s="1327">
        <f ca="1">J60</f>
        <v>37762</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'数据-取费表'!N19</f>
        <v>2005</v>
      </c>
      <c r="K49" s="1330" t="s">
        <v>824</v>
      </c>
      <c r="L49" s="1333"/>
      <c r="O49" s="1334" t="s">
        <v>405</v>
      </c>
      <c r="P49" s="1326" t="s">
        <v>825</v>
      </c>
      <c r="Q49" s="1327">
        <f ca="1">C29</f>
        <v>347017</v>
      </c>
      <c r="R49" s="1327" t="s">
        <v>818</v>
      </c>
    </row>
    <row r="50" spans="1:18" s="1292" customFormat="1" ht="13.5" thickBot="1">
      <c r="A50" s="922"/>
      <c r="B50" s="925"/>
      <c r="C50" s="926"/>
      <c r="D50" s="899"/>
      <c r="E50" s="993" t="s">
        <v>697</v>
      </c>
      <c r="F50" s="994">
        <f ca="1">F7</f>
        <v>56.87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1452588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18</v>
      </c>
      <c r="K53" s="3368" t="s">
        <v>837</v>
      </c>
      <c r="L53" s="3369"/>
      <c r="O53" s="1325" t="s">
        <v>409</v>
      </c>
      <c r="P53" s="1326" t="s">
        <v>838</v>
      </c>
      <c r="Q53" s="1327">
        <f ca="1">Q47+Q48</f>
        <v>1359818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242912</v>
      </c>
      <c r="D56" s="1352"/>
      <c r="E56" s="1353"/>
      <c r="F56" s="1345"/>
      <c r="I56" s="1354" t="s">
        <v>842</v>
      </c>
      <c r="J56" s="1355" t="s">
        <v>3432</v>
      </c>
      <c r="K56" s="1328" t="s">
        <v>843</v>
      </c>
      <c r="L56" s="1331" t="str">
        <f ca="1">IF(L48&lt;J51,"——",L48-J51)</f>
        <v>——</v>
      </c>
      <c r="O56" s="1325" t="s">
        <v>403</v>
      </c>
      <c r="P56" s="1326" t="s">
        <v>817</v>
      </c>
      <c r="Q56" s="1327">
        <f ca="1">C40+J29</f>
        <v>1322056</v>
      </c>
      <c r="R56" s="1327" t="s">
        <v>818</v>
      </c>
    </row>
    <row r="57" spans="1:18" s="1292" customFormat="1" ht="26.5" thickBot="1">
      <c r="A57" s="1356"/>
      <c r="B57" s="896" t="s">
        <v>767</v>
      </c>
      <c r="C57" s="230">
        <f ca="1">C29</f>
        <v>347017</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1978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138807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37762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1322056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1735</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243</v>
      </c>
      <c r="D65" s="910" t="s">
        <v>743</v>
      </c>
      <c r="E65" s="896" t="s">
        <v>744</v>
      </c>
      <c r="F65" s="321">
        <f t="shared" ca="1" si="0"/>
        <v>1E-3</v>
      </c>
      <c r="I65" s="1367" t="s">
        <v>867</v>
      </c>
      <c r="J65" s="610">
        <v>40</v>
      </c>
      <c r="K65" s="610">
        <v>30</v>
      </c>
      <c r="L65" s="610">
        <v>50</v>
      </c>
      <c r="M65" s="1369">
        <v>0.02</v>
      </c>
      <c r="O65" s="1325" t="s">
        <v>403</v>
      </c>
      <c r="P65" s="1326" t="s">
        <v>868</v>
      </c>
      <c r="Q65" s="1327">
        <f ca="1">C40+J29</f>
        <v>1322056</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-1978</v>
      </c>
      <c r="D67" s="909" t="s">
        <v>753</v>
      </c>
      <c r="E67" s="914"/>
      <c r="F67" s="915"/>
      <c r="O67" s="1334" t="s">
        <v>405</v>
      </c>
      <c r="P67" s="1326" t="s">
        <v>850</v>
      </c>
      <c r="Q67" s="1370">
        <f ca="1">L51</f>
        <v>1452588</v>
      </c>
      <c r="R67" s="1327" t="s">
        <v>870</v>
      </c>
    </row>
    <row r="68" spans="1:18" s="1292" customFormat="1" ht="16" thickBot="1">
      <c r="A68" s="893" t="s">
        <v>395</v>
      </c>
      <c r="B68" s="894" t="s">
        <v>774</v>
      </c>
      <c r="C68" s="293">
        <f ca="1">ROUND(C67*(1-((1+F70)/(1+F68))^F69)/(F68-F70),0)</f>
        <v>-22245</v>
      </c>
      <c r="D68" s="911" t="s">
        <v>758</v>
      </c>
      <c r="E68" s="896" t="s">
        <v>759</v>
      </c>
      <c r="F68" s="304">
        <f ca="1">F40</f>
        <v>5.5E-2</v>
      </c>
      <c r="O68" s="1334" t="s">
        <v>406</v>
      </c>
      <c r="P68" s="1371" t="s">
        <v>871</v>
      </c>
      <c r="Q68" s="1327">
        <f ca="1">ROUND(Q69-Q70*Q71,0)</f>
        <v>84654</v>
      </c>
      <c r="R68" s="1327" t="s">
        <v>414</v>
      </c>
    </row>
    <row r="69" spans="1:18" s="1292" customFormat="1" ht="13.5" thickBot="1">
      <c r="A69" s="897"/>
      <c r="B69" s="898"/>
      <c r="C69" s="298"/>
      <c r="D69" s="916" t="s">
        <v>762</v>
      </c>
      <c r="E69" s="896" t="s">
        <v>763</v>
      </c>
      <c r="F69" s="324">
        <f ca="1">F41</f>
        <v>18</v>
      </c>
      <c r="O69" s="1334" t="s">
        <v>411</v>
      </c>
      <c r="P69" s="1371" t="s">
        <v>872</v>
      </c>
      <c r="Q69" s="1327">
        <f ca="1">C39</f>
        <v>101658</v>
      </c>
      <c r="R69" s="1327" t="s">
        <v>818</v>
      </c>
    </row>
    <row r="70" spans="1:18" s="1292" customFormat="1" ht="13.5" thickBot="1">
      <c r="A70" s="900"/>
      <c r="B70" s="901"/>
      <c r="C70" s="302"/>
      <c r="D70" s="912"/>
      <c r="E70" s="896" t="s">
        <v>766</v>
      </c>
      <c r="F70" s="991"/>
      <c r="O70" s="1334" t="s">
        <v>412</v>
      </c>
      <c r="P70" s="1371" t="s">
        <v>873</v>
      </c>
      <c r="Q70" s="1327">
        <f ca="1">C13</f>
        <v>242912</v>
      </c>
      <c r="R70" s="1327" t="s">
        <v>818</v>
      </c>
    </row>
    <row r="71" spans="1:18" s="1292" customFormat="1" ht="13.5" thickBot="1">
      <c r="A71" s="917" t="s">
        <v>396</v>
      </c>
      <c r="B71" s="918" t="s">
        <v>776</v>
      </c>
      <c r="C71" s="327">
        <f ca="1">ROUND(C68/F71,0)</f>
        <v>-391</v>
      </c>
      <c r="D71" s="919" t="s">
        <v>777</v>
      </c>
      <c r="E71" s="920" t="s">
        <v>778</v>
      </c>
      <c r="F71" s="330">
        <f ca="1">F43</f>
        <v>56.87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17004</v>
      </c>
      <c r="D75" s="1292"/>
      <c r="E75" s="1292"/>
      <c r="F75" s="1292"/>
      <c r="K75" s="1309"/>
      <c r="L75" s="1292"/>
      <c r="O75" s="1325" t="s">
        <v>409</v>
      </c>
      <c r="P75" s="1326" t="s">
        <v>838</v>
      </c>
      <c r="Q75" s="1327">
        <f ca="1">Q65+Q66</f>
        <v>1322056</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0.83299999999999996</v>
      </c>
    </row>
    <row r="80" spans="1:18" ht="13">
      <c r="B80" s="331" t="s">
        <v>800</v>
      </c>
      <c r="C80" s="266">
        <f ca="1">ROUND(C75/C39,3)</f>
        <v>0.16700000000000001</v>
      </c>
    </row>
    <row r="81" spans="2:3" ht="13.5">
      <c r="B81" s="262" t="s">
        <v>801</v>
      </c>
      <c r="C81" s="230"/>
    </row>
    <row r="82" spans="2:3" ht="13">
      <c r="B82" s="265" t="s">
        <v>802</v>
      </c>
      <c r="C82" s="267">
        <f ca="1">1-C83</f>
        <v>0.81600000000000006</v>
      </c>
    </row>
    <row r="83" spans="2:3" ht="13">
      <c r="B83" s="265" t="s">
        <v>803</v>
      </c>
      <c r="C83" s="266">
        <f ca="1">ROUND(C13/C40,3)</f>
        <v>0.184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1" customWidth="1"/>
    <col min="2" max="2" width="8.90625" style="2591"/>
    <col min="3" max="5" width="12.90625" style="2591" customWidth="1"/>
    <col min="6" max="6" width="47.453125" style="2591" customWidth="1"/>
    <col min="7" max="7" width="13" style="2585" customWidth="1"/>
    <col min="8" max="8" width="8.90625" style="2585"/>
    <col min="9" max="9" width="8.90625" style="2586"/>
    <col min="10" max="10" width="5.7265625" style="2745" customWidth="1"/>
    <col min="11" max="11" width="11.7265625" style="2745" customWidth="1"/>
    <col min="12" max="13" width="10.7265625" style="2745" customWidth="1"/>
    <col min="14" max="14" width="10" style="2745" customWidth="1"/>
    <col min="15" max="16" width="10.453125" style="2745" bestFit="1" customWidth="1"/>
    <col min="17" max="17" width="10" style="2745" customWidth="1"/>
    <col min="18" max="18" width="10.08984375" style="2745" customWidth="1"/>
    <col min="19" max="19" width="10" style="2745" customWidth="1"/>
    <col min="20" max="20" width="26.08984375" style="2745" customWidth="1"/>
    <col min="21" max="21" width="8.90625" style="2745"/>
    <col min="22" max="22" width="8.90625" style="2586"/>
    <col min="23" max="256" width="8.90625" style="2591"/>
    <col min="257" max="257" width="9.453125" style="2591" customWidth="1"/>
    <col min="258" max="258" width="8.90625" style="2591"/>
    <col min="259" max="261" width="12.90625" style="2591" customWidth="1"/>
    <col min="262" max="262" width="47.453125" style="2591" customWidth="1"/>
    <col min="263" max="263" width="13" style="2591" customWidth="1"/>
    <col min="264" max="265" width="8.90625" style="2591"/>
    <col min="266" max="266" width="5.7265625" style="2591" customWidth="1"/>
    <col min="267" max="267" width="11.7265625" style="2591" customWidth="1"/>
    <col min="268" max="269" width="10.7265625" style="2591" customWidth="1"/>
    <col min="270" max="270" width="10" style="2591" customWidth="1"/>
    <col min="271" max="272" width="10.453125" style="2591" bestFit="1" customWidth="1"/>
    <col min="273" max="273" width="10" style="2591" customWidth="1"/>
    <col min="274" max="274" width="10.08984375" style="2591" customWidth="1"/>
    <col min="275" max="275" width="10" style="2591" customWidth="1"/>
    <col min="276" max="276" width="26.08984375" style="2591" customWidth="1"/>
    <col min="277" max="512" width="8.90625" style="2591"/>
    <col min="513" max="513" width="9.453125" style="2591" customWidth="1"/>
    <col min="514" max="514" width="8.90625" style="2591"/>
    <col min="515" max="517" width="12.90625" style="2591" customWidth="1"/>
    <col min="518" max="518" width="47.453125" style="2591" customWidth="1"/>
    <col min="519" max="519" width="13" style="2591" customWidth="1"/>
    <col min="520" max="521" width="8.90625" style="2591"/>
    <col min="522" max="522" width="5.7265625" style="2591" customWidth="1"/>
    <col min="523" max="523" width="11.7265625" style="2591" customWidth="1"/>
    <col min="524" max="525" width="10.7265625" style="2591" customWidth="1"/>
    <col min="526" max="526" width="10" style="2591" customWidth="1"/>
    <col min="527" max="528" width="10.453125" style="2591" bestFit="1" customWidth="1"/>
    <col min="529" max="529" width="10" style="2591" customWidth="1"/>
    <col min="530" max="530" width="10.08984375" style="2591" customWidth="1"/>
    <col min="531" max="531" width="10" style="2591" customWidth="1"/>
    <col min="532" max="532" width="26.08984375" style="2591" customWidth="1"/>
    <col min="533" max="768" width="8.90625" style="2591"/>
    <col min="769" max="769" width="9.453125" style="2591" customWidth="1"/>
    <col min="770" max="770" width="8.90625" style="2591"/>
    <col min="771" max="773" width="12.90625" style="2591" customWidth="1"/>
    <col min="774" max="774" width="47.453125" style="2591" customWidth="1"/>
    <col min="775" max="775" width="13" style="2591" customWidth="1"/>
    <col min="776" max="777" width="8.90625" style="2591"/>
    <col min="778" max="778" width="5.7265625" style="2591" customWidth="1"/>
    <col min="779" max="779" width="11.7265625" style="2591" customWidth="1"/>
    <col min="780" max="781" width="10.7265625" style="2591" customWidth="1"/>
    <col min="782" max="782" width="10" style="2591" customWidth="1"/>
    <col min="783" max="784" width="10.453125" style="2591" bestFit="1" customWidth="1"/>
    <col min="785" max="785" width="10" style="2591" customWidth="1"/>
    <col min="786" max="786" width="10.08984375" style="2591" customWidth="1"/>
    <col min="787" max="787" width="10" style="2591" customWidth="1"/>
    <col min="788" max="788" width="26.08984375" style="2591" customWidth="1"/>
    <col min="789" max="1024" width="8.90625" style="2591"/>
    <col min="1025" max="1025" width="9.453125" style="2591" customWidth="1"/>
    <col min="1026" max="1026" width="8.90625" style="2591"/>
    <col min="1027" max="1029" width="12.90625" style="2591" customWidth="1"/>
    <col min="1030" max="1030" width="47.453125" style="2591" customWidth="1"/>
    <col min="1031" max="1031" width="13" style="2591" customWidth="1"/>
    <col min="1032" max="1033" width="8.90625" style="2591"/>
    <col min="1034" max="1034" width="5.7265625" style="2591" customWidth="1"/>
    <col min="1035" max="1035" width="11.7265625" style="2591" customWidth="1"/>
    <col min="1036" max="1037" width="10.7265625" style="2591" customWidth="1"/>
    <col min="1038" max="1038" width="10" style="2591" customWidth="1"/>
    <col min="1039" max="1040" width="10.453125" style="2591" bestFit="1" customWidth="1"/>
    <col min="1041" max="1041" width="10" style="2591" customWidth="1"/>
    <col min="1042" max="1042" width="10.08984375" style="2591" customWidth="1"/>
    <col min="1043" max="1043" width="10" style="2591" customWidth="1"/>
    <col min="1044" max="1044" width="26.08984375" style="2591" customWidth="1"/>
    <col min="1045" max="1280" width="8.90625" style="2591"/>
    <col min="1281" max="1281" width="9.453125" style="2591" customWidth="1"/>
    <col min="1282" max="1282" width="8.90625" style="2591"/>
    <col min="1283" max="1285" width="12.90625" style="2591" customWidth="1"/>
    <col min="1286" max="1286" width="47.453125" style="2591" customWidth="1"/>
    <col min="1287" max="1287" width="13" style="2591" customWidth="1"/>
    <col min="1288" max="1289" width="8.90625" style="2591"/>
    <col min="1290" max="1290" width="5.7265625" style="2591" customWidth="1"/>
    <col min="1291" max="1291" width="11.7265625" style="2591" customWidth="1"/>
    <col min="1292" max="1293" width="10.7265625" style="2591" customWidth="1"/>
    <col min="1294" max="1294" width="10" style="2591" customWidth="1"/>
    <col min="1295" max="1296" width="10.453125" style="2591" bestFit="1" customWidth="1"/>
    <col min="1297" max="1297" width="10" style="2591" customWidth="1"/>
    <col min="1298" max="1298" width="10.08984375" style="2591" customWidth="1"/>
    <col min="1299" max="1299" width="10" style="2591" customWidth="1"/>
    <col min="1300" max="1300" width="26.08984375" style="2591" customWidth="1"/>
    <col min="1301" max="1536" width="8.90625" style="2591"/>
    <col min="1537" max="1537" width="9.453125" style="2591" customWidth="1"/>
    <col min="1538" max="1538" width="8.90625" style="2591"/>
    <col min="1539" max="1541" width="12.90625" style="2591" customWidth="1"/>
    <col min="1542" max="1542" width="47.453125" style="2591" customWidth="1"/>
    <col min="1543" max="1543" width="13" style="2591" customWidth="1"/>
    <col min="1544" max="1545" width="8.90625" style="2591"/>
    <col min="1546" max="1546" width="5.7265625" style="2591" customWidth="1"/>
    <col min="1547" max="1547" width="11.7265625" style="2591" customWidth="1"/>
    <col min="1548" max="1549" width="10.7265625" style="2591" customWidth="1"/>
    <col min="1550" max="1550" width="10" style="2591" customWidth="1"/>
    <col min="1551" max="1552" width="10.453125" style="2591" bestFit="1" customWidth="1"/>
    <col min="1553" max="1553" width="10" style="2591" customWidth="1"/>
    <col min="1554" max="1554" width="10.08984375" style="2591" customWidth="1"/>
    <col min="1555" max="1555" width="10" style="2591" customWidth="1"/>
    <col min="1556" max="1556" width="26.08984375" style="2591" customWidth="1"/>
    <col min="1557" max="1792" width="8.90625" style="2591"/>
    <col min="1793" max="1793" width="9.453125" style="2591" customWidth="1"/>
    <col min="1794" max="1794" width="8.90625" style="2591"/>
    <col min="1795" max="1797" width="12.90625" style="2591" customWidth="1"/>
    <col min="1798" max="1798" width="47.453125" style="2591" customWidth="1"/>
    <col min="1799" max="1799" width="13" style="2591" customWidth="1"/>
    <col min="1800" max="1801" width="8.90625" style="2591"/>
    <col min="1802" max="1802" width="5.7265625" style="2591" customWidth="1"/>
    <col min="1803" max="1803" width="11.7265625" style="2591" customWidth="1"/>
    <col min="1804" max="1805" width="10.7265625" style="2591" customWidth="1"/>
    <col min="1806" max="1806" width="10" style="2591" customWidth="1"/>
    <col min="1807" max="1808" width="10.453125" style="2591" bestFit="1" customWidth="1"/>
    <col min="1809" max="1809" width="10" style="2591" customWidth="1"/>
    <col min="1810" max="1810" width="10.08984375" style="2591" customWidth="1"/>
    <col min="1811" max="1811" width="10" style="2591" customWidth="1"/>
    <col min="1812" max="1812" width="26.08984375" style="2591" customWidth="1"/>
    <col min="1813" max="2048" width="8.90625" style="2591"/>
    <col min="2049" max="2049" width="9.453125" style="2591" customWidth="1"/>
    <col min="2050" max="2050" width="8.90625" style="2591"/>
    <col min="2051" max="2053" width="12.90625" style="2591" customWidth="1"/>
    <col min="2054" max="2054" width="47.453125" style="2591" customWidth="1"/>
    <col min="2055" max="2055" width="13" style="2591" customWidth="1"/>
    <col min="2056" max="2057" width="8.90625" style="2591"/>
    <col min="2058" max="2058" width="5.7265625" style="2591" customWidth="1"/>
    <col min="2059" max="2059" width="11.7265625" style="2591" customWidth="1"/>
    <col min="2060" max="2061" width="10.7265625" style="2591" customWidth="1"/>
    <col min="2062" max="2062" width="10" style="2591" customWidth="1"/>
    <col min="2063" max="2064" width="10.453125" style="2591" bestFit="1" customWidth="1"/>
    <col min="2065" max="2065" width="10" style="2591" customWidth="1"/>
    <col min="2066" max="2066" width="10.08984375" style="2591" customWidth="1"/>
    <col min="2067" max="2067" width="10" style="2591" customWidth="1"/>
    <col min="2068" max="2068" width="26.08984375" style="2591" customWidth="1"/>
    <col min="2069" max="2304" width="8.90625" style="2591"/>
    <col min="2305" max="2305" width="9.453125" style="2591" customWidth="1"/>
    <col min="2306" max="2306" width="8.90625" style="2591"/>
    <col min="2307" max="2309" width="12.90625" style="2591" customWidth="1"/>
    <col min="2310" max="2310" width="47.453125" style="2591" customWidth="1"/>
    <col min="2311" max="2311" width="13" style="2591" customWidth="1"/>
    <col min="2312" max="2313" width="8.90625" style="2591"/>
    <col min="2314" max="2314" width="5.7265625" style="2591" customWidth="1"/>
    <col min="2315" max="2315" width="11.7265625" style="2591" customWidth="1"/>
    <col min="2316" max="2317" width="10.7265625" style="2591" customWidth="1"/>
    <col min="2318" max="2318" width="10" style="2591" customWidth="1"/>
    <col min="2319" max="2320" width="10.453125" style="2591" bestFit="1" customWidth="1"/>
    <col min="2321" max="2321" width="10" style="2591" customWidth="1"/>
    <col min="2322" max="2322" width="10.08984375" style="2591" customWidth="1"/>
    <col min="2323" max="2323" width="10" style="2591" customWidth="1"/>
    <col min="2324" max="2324" width="26.08984375" style="2591" customWidth="1"/>
    <col min="2325" max="2560" width="8.90625" style="2591"/>
    <col min="2561" max="2561" width="9.453125" style="2591" customWidth="1"/>
    <col min="2562" max="2562" width="8.90625" style="2591"/>
    <col min="2563" max="2565" width="12.90625" style="2591" customWidth="1"/>
    <col min="2566" max="2566" width="47.453125" style="2591" customWidth="1"/>
    <col min="2567" max="2567" width="13" style="2591" customWidth="1"/>
    <col min="2568" max="2569" width="8.90625" style="2591"/>
    <col min="2570" max="2570" width="5.7265625" style="2591" customWidth="1"/>
    <col min="2571" max="2571" width="11.7265625" style="2591" customWidth="1"/>
    <col min="2572" max="2573" width="10.7265625" style="2591" customWidth="1"/>
    <col min="2574" max="2574" width="10" style="2591" customWidth="1"/>
    <col min="2575" max="2576" width="10.453125" style="2591" bestFit="1" customWidth="1"/>
    <col min="2577" max="2577" width="10" style="2591" customWidth="1"/>
    <col min="2578" max="2578" width="10.08984375" style="2591" customWidth="1"/>
    <col min="2579" max="2579" width="10" style="2591" customWidth="1"/>
    <col min="2580" max="2580" width="26.08984375" style="2591" customWidth="1"/>
    <col min="2581" max="2816" width="8.90625" style="2591"/>
    <col min="2817" max="2817" width="9.453125" style="2591" customWidth="1"/>
    <col min="2818" max="2818" width="8.90625" style="2591"/>
    <col min="2819" max="2821" width="12.90625" style="2591" customWidth="1"/>
    <col min="2822" max="2822" width="47.453125" style="2591" customWidth="1"/>
    <col min="2823" max="2823" width="13" style="2591" customWidth="1"/>
    <col min="2824" max="2825" width="8.90625" style="2591"/>
    <col min="2826" max="2826" width="5.7265625" style="2591" customWidth="1"/>
    <col min="2827" max="2827" width="11.7265625" style="2591" customWidth="1"/>
    <col min="2828" max="2829" width="10.7265625" style="2591" customWidth="1"/>
    <col min="2830" max="2830" width="10" style="2591" customWidth="1"/>
    <col min="2831" max="2832" width="10.453125" style="2591" bestFit="1" customWidth="1"/>
    <col min="2833" max="2833" width="10" style="2591" customWidth="1"/>
    <col min="2834" max="2834" width="10.08984375" style="2591" customWidth="1"/>
    <col min="2835" max="2835" width="10" style="2591" customWidth="1"/>
    <col min="2836" max="2836" width="26.08984375" style="2591" customWidth="1"/>
    <col min="2837" max="3072" width="8.90625" style="2591"/>
    <col min="3073" max="3073" width="9.453125" style="2591" customWidth="1"/>
    <col min="3074" max="3074" width="8.90625" style="2591"/>
    <col min="3075" max="3077" width="12.90625" style="2591" customWidth="1"/>
    <col min="3078" max="3078" width="47.453125" style="2591" customWidth="1"/>
    <col min="3079" max="3079" width="13" style="2591" customWidth="1"/>
    <col min="3080" max="3081" width="8.90625" style="2591"/>
    <col min="3082" max="3082" width="5.7265625" style="2591" customWidth="1"/>
    <col min="3083" max="3083" width="11.7265625" style="2591" customWidth="1"/>
    <col min="3084" max="3085" width="10.7265625" style="2591" customWidth="1"/>
    <col min="3086" max="3086" width="10" style="2591" customWidth="1"/>
    <col min="3087" max="3088" width="10.453125" style="2591" bestFit="1" customWidth="1"/>
    <col min="3089" max="3089" width="10" style="2591" customWidth="1"/>
    <col min="3090" max="3090" width="10.08984375" style="2591" customWidth="1"/>
    <col min="3091" max="3091" width="10" style="2591" customWidth="1"/>
    <col min="3092" max="3092" width="26.08984375" style="2591" customWidth="1"/>
    <col min="3093" max="3328" width="8.90625" style="2591"/>
    <col min="3329" max="3329" width="9.453125" style="2591" customWidth="1"/>
    <col min="3330" max="3330" width="8.90625" style="2591"/>
    <col min="3331" max="3333" width="12.90625" style="2591" customWidth="1"/>
    <col min="3334" max="3334" width="47.453125" style="2591" customWidth="1"/>
    <col min="3335" max="3335" width="13" style="2591" customWidth="1"/>
    <col min="3336" max="3337" width="8.90625" style="2591"/>
    <col min="3338" max="3338" width="5.7265625" style="2591" customWidth="1"/>
    <col min="3339" max="3339" width="11.7265625" style="2591" customWidth="1"/>
    <col min="3340" max="3341" width="10.7265625" style="2591" customWidth="1"/>
    <col min="3342" max="3342" width="10" style="2591" customWidth="1"/>
    <col min="3343" max="3344" width="10.453125" style="2591" bestFit="1" customWidth="1"/>
    <col min="3345" max="3345" width="10" style="2591" customWidth="1"/>
    <col min="3346" max="3346" width="10.08984375" style="2591" customWidth="1"/>
    <col min="3347" max="3347" width="10" style="2591" customWidth="1"/>
    <col min="3348" max="3348" width="26.08984375" style="2591" customWidth="1"/>
    <col min="3349" max="3584" width="8.90625" style="2591"/>
    <col min="3585" max="3585" width="9.453125" style="2591" customWidth="1"/>
    <col min="3586" max="3586" width="8.90625" style="2591"/>
    <col min="3587" max="3589" width="12.90625" style="2591" customWidth="1"/>
    <col min="3590" max="3590" width="47.453125" style="2591" customWidth="1"/>
    <col min="3591" max="3591" width="13" style="2591" customWidth="1"/>
    <col min="3592" max="3593" width="8.90625" style="2591"/>
    <col min="3594" max="3594" width="5.7265625" style="2591" customWidth="1"/>
    <col min="3595" max="3595" width="11.7265625" style="2591" customWidth="1"/>
    <col min="3596" max="3597" width="10.7265625" style="2591" customWidth="1"/>
    <col min="3598" max="3598" width="10" style="2591" customWidth="1"/>
    <col min="3599" max="3600" width="10.453125" style="2591" bestFit="1" customWidth="1"/>
    <col min="3601" max="3601" width="10" style="2591" customWidth="1"/>
    <col min="3602" max="3602" width="10.08984375" style="2591" customWidth="1"/>
    <col min="3603" max="3603" width="10" style="2591" customWidth="1"/>
    <col min="3604" max="3604" width="26.08984375" style="2591" customWidth="1"/>
    <col min="3605" max="3840" width="8.90625" style="2591"/>
    <col min="3841" max="3841" width="9.453125" style="2591" customWidth="1"/>
    <col min="3842" max="3842" width="8.90625" style="2591"/>
    <col min="3843" max="3845" width="12.90625" style="2591" customWidth="1"/>
    <col min="3846" max="3846" width="47.453125" style="2591" customWidth="1"/>
    <col min="3847" max="3847" width="13" style="2591" customWidth="1"/>
    <col min="3848" max="3849" width="8.90625" style="2591"/>
    <col min="3850" max="3850" width="5.7265625" style="2591" customWidth="1"/>
    <col min="3851" max="3851" width="11.7265625" style="2591" customWidth="1"/>
    <col min="3852" max="3853" width="10.7265625" style="2591" customWidth="1"/>
    <col min="3854" max="3854" width="10" style="2591" customWidth="1"/>
    <col min="3855" max="3856" width="10.453125" style="2591" bestFit="1" customWidth="1"/>
    <col min="3857" max="3857" width="10" style="2591" customWidth="1"/>
    <col min="3858" max="3858" width="10.08984375" style="2591" customWidth="1"/>
    <col min="3859" max="3859" width="10" style="2591" customWidth="1"/>
    <col min="3860" max="3860" width="26.08984375" style="2591" customWidth="1"/>
    <col min="3861" max="4096" width="8.90625" style="2591"/>
    <col min="4097" max="4097" width="9.453125" style="2591" customWidth="1"/>
    <col min="4098" max="4098" width="8.90625" style="2591"/>
    <col min="4099" max="4101" width="12.90625" style="2591" customWidth="1"/>
    <col min="4102" max="4102" width="47.453125" style="2591" customWidth="1"/>
    <col min="4103" max="4103" width="13" style="2591" customWidth="1"/>
    <col min="4104" max="4105" width="8.90625" style="2591"/>
    <col min="4106" max="4106" width="5.7265625" style="2591" customWidth="1"/>
    <col min="4107" max="4107" width="11.7265625" style="2591" customWidth="1"/>
    <col min="4108" max="4109" width="10.7265625" style="2591" customWidth="1"/>
    <col min="4110" max="4110" width="10" style="2591" customWidth="1"/>
    <col min="4111" max="4112" width="10.453125" style="2591" bestFit="1" customWidth="1"/>
    <col min="4113" max="4113" width="10" style="2591" customWidth="1"/>
    <col min="4114" max="4114" width="10.08984375" style="2591" customWidth="1"/>
    <col min="4115" max="4115" width="10" style="2591" customWidth="1"/>
    <col min="4116" max="4116" width="26.08984375" style="2591" customWidth="1"/>
    <col min="4117" max="4352" width="8.90625" style="2591"/>
    <col min="4353" max="4353" width="9.453125" style="2591" customWidth="1"/>
    <col min="4354" max="4354" width="8.90625" style="2591"/>
    <col min="4355" max="4357" width="12.90625" style="2591" customWidth="1"/>
    <col min="4358" max="4358" width="47.453125" style="2591" customWidth="1"/>
    <col min="4359" max="4359" width="13" style="2591" customWidth="1"/>
    <col min="4360" max="4361" width="8.90625" style="2591"/>
    <col min="4362" max="4362" width="5.7265625" style="2591" customWidth="1"/>
    <col min="4363" max="4363" width="11.7265625" style="2591" customWidth="1"/>
    <col min="4364" max="4365" width="10.7265625" style="2591" customWidth="1"/>
    <col min="4366" max="4366" width="10" style="2591" customWidth="1"/>
    <col min="4367" max="4368" width="10.453125" style="2591" bestFit="1" customWidth="1"/>
    <col min="4369" max="4369" width="10" style="2591" customWidth="1"/>
    <col min="4370" max="4370" width="10.08984375" style="2591" customWidth="1"/>
    <col min="4371" max="4371" width="10" style="2591" customWidth="1"/>
    <col min="4372" max="4372" width="26.08984375" style="2591" customWidth="1"/>
    <col min="4373" max="4608" width="8.90625" style="2591"/>
    <col min="4609" max="4609" width="9.453125" style="2591" customWidth="1"/>
    <col min="4610" max="4610" width="8.90625" style="2591"/>
    <col min="4611" max="4613" width="12.90625" style="2591" customWidth="1"/>
    <col min="4614" max="4614" width="47.453125" style="2591" customWidth="1"/>
    <col min="4615" max="4615" width="13" style="2591" customWidth="1"/>
    <col min="4616" max="4617" width="8.90625" style="2591"/>
    <col min="4618" max="4618" width="5.7265625" style="2591" customWidth="1"/>
    <col min="4619" max="4619" width="11.7265625" style="2591" customWidth="1"/>
    <col min="4620" max="4621" width="10.7265625" style="2591" customWidth="1"/>
    <col min="4622" max="4622" width="10" style="2591" customWidth="1"/>
    <col min="4623" max="4624" width="10.453125" style="2591" bestFit="1" customWidth="1"/>
    <col min="4625" max="4625" width="10" style="2591" customWidth="1"/>
    <col min="4626" max="4626" width="10.08984375" style="2591" customWidth="1"/>
    <col min="4627" max="4627" width="10" style="2591" customWidth="1"/>
    <col min="4628" max="4628" width="26.08984375" style="2591" customWidth="1"/>
    <col min="4629" max="4864" width="8.90625" style="2591"/>
    <col min="4865" max="4865" width="9.453125" style="2591" customWidth="1"/>
    <col min="4866" max="4866" width="8.90625" style="2591"/>
    <col min="4867" max="4869" width="12.90625" style="2591" customWidth="1"/>
    <col min="4870" max="4870" width="47.453125" style="2591" customWidth="1"/>
    <col min="4871" max="4871" width="13" style="2591" customWidth="1"/>
    <col min="4872" max="4873" width="8.90625" style="2591"/>
    <col min="4874" max="4874" width="5.7265625" style="2591" customWidth="1"/>
    <col min="4875" max="4875" width="11.7265625" style="2591" customWidth="1"/>
    <col min="4876" max="4877" width="10.7265625" style="2591" customWidth="1"/>
    <col min="4878" max="4878" width="10" style="2591" customWidth="1"/>
    <col min="4879" max="4880" width="10.453125" style="2591" bestFit="1" customWidth="1"/>
    <col min="4881" max="4881" width="10" style="2591" customWidth="1"/>
    <col min="4882" max="4882" width="10.08984375" style="2591" customWidth="1"/>
    <col min="4883" max="4883" width="10" style="2591" customWidth="1"/>
    <col min="4884" max="4884" width="26.08984375" style="2591" customWidth="1"/>
    <col min="4885" max="5120" width="8.90625" style="2591"/>
    <col min="5121" max="5121" width="9.453125" style="2591" customWidth="1"/>
    <col min="5122" max="5122" width="8.90625" style="2591"/>
    <col min="5123" max="5125" width="12.90625" style="2591" customWidth="1"/>
    <col min="5126" max="5126" width="47.453125" style="2591" customWidth="1"/>
    <col min="5127" max="5127" width="13" style="2591" customWidth="1"/>
    <col min="5128" max="5129" width="8.90625" style="2591"/>
    <col min="5130" max="5130" width="5.7265625" style="2591" customWidth="1"/>
    <col min="5131" max="5131" width="11.7265625" style="2591" customWidth="1"/>
    <col min="5132" max="5133" width="10.7265625" style="2591" customWidth="1"/>
    <col min="5134" max="5134" width="10" style="2591" customWidth="1"/>
    <col min="5135" max="5136" width="10.453125" style="2591" bestFit="1" customWidth="1"/>
    <col min="5137" max="5137" width="10" style="2591" customWidth="1"/>
    <col min="5138" max="5138" width="10.08984375" style="2591" customWidth="1"/>
    <col min="5139" max="5139" width="10" style="2591" customWidth="1"/>
    <col min="5140" max="5140" width="26.08984375" style="2591" customWidth="1"/>
    <col min="5141" max="5376" width="8.90625" style="2591"/>
    <col min="5377" max="5377" width="9.453125" style="2591" customWidth="1"/>
    <col min="5378" max="5378" width="8.90625" style="2591"/>
    <col min="5379" max="5381" width="12.90625" style="2591" customWidth="1"/>
    <col min="5382" max="5382" width="47.453125" style="2591" customWidth="1"/>
    <col min="5383" max="5383" width="13" style="2591" customWidth="1"/>
    <col min="5384" max="5385" width="8.90625" style="2591"/>
    <col min="5386" max="5386" width="5.7265625" style="2591" customWidth="1"/>
    <col min="5387" max="5387" width="11.7265625" style="2591" customWidth="1"/>
    <col min="5388" max="5389" width="10.7265625" style="2591" customWidth="1"/>
    <col min="5390" max="5390" width="10" style="2591" customWidth="1"/>
    <col min="5391" max="5392" width="10.453125" style="2591" bestFit="1" customWidth="1"/>
    <col min="5393" max="5393" width="10" style="2591" customWidth="1"/>
    <col min="5394" max="5394" width="10.08984375" style="2591" customWidth="1"/>
    <col min="5395" max="5395" width="10" style="2591" customWidth="1"/>
    <col min="5396" max="5396" width="26.08984375" style="2591" customWidth="1"/>
    <col min="5397" max="5632" width="8.90625" style="2591"/>
    <col min="5633" max="5633" width="9.453125" style="2591" customWidth="1"/>
    <col min="5634" max="5634" width="8.90625" style="2591"/>
    <col min="5635" max="5637" width="12.90625" style="2591" customWidth="1"/>
    <col min="5638" max="5638" width="47.453125" style="2591" customWidth="1"/>
    <col min="5639" max="5639" width="13" style="2591" customWidth="1"/>
    <col min="5640" max="5641" width="8.90625" style="2591"/>
    <col min="5642" max="5642" width="5.7265625" style="2591" customWidth="1"/>
    <col min="5643" max="5643" width="11.7265625" style="2591" customWidth="1"/>
    <col min="5644" max="5645" width="10.7265625" style="2591" customWidth="1"/>
    <col min="5646" max="5646" width="10" style="2591" customWidth="1"/>
    <col min="5647" max="5648" width="10.453125" style="2591" bestFit="1" customWidth="1"/>
    <col min="5649" max="5649" width="10" style="2591" customWidth="1"/>
    <col min="5650" max="5650" width="10.08984375" style="2591" customWidth="1"/>
    <col min="5651" max="5651" width="10" style="2591" customWidth="1"/>
    <col min="5652" max="5652" width="26.08984375" style="2591" customWidth="1"/>
    <col min="5653" max="5888" width="8.90625" style="2591"/>
    <col min="5889" max="5889" width="9.453125" style="2591" customWidth="1"/>
    <col min="5890" max="5890" width="8.90625" style="2591"/>
    <col min="5891" max="5893" width="12.90625" style="2591" customWidth="1"/>
    <col min="5894" max="5894" width="47.453125" style="2591" customWidth="1"/>
    <col min="5895" max="5895" width="13" style="2591" customWidth="1"/>
    <col min="5896" max="5897" width="8.90625" style="2591"/>
    <col min="5898" max="5898" width="5.7265625" style="2591" customWidth="1"/>
    <col min="5899" max="5899" width="11.7265625" style="2591" customWidth="1"/>
    <col min="5900" max="5901" width="10.7265625" style="2591" customWidth="1"/>
    <col min="5902" max="5902" width="10" style="2591" customWidth="1"/>
    <col min="5903" max="5904" width="10.453125" style="2591" bestFit="1" customWidth="1"/>
    <col min="5905" max="5905" width="10" style="2591" customWidth="1"/>
    <col min="5906" max="5906" width="10.08984375" style="2591" customWidth="1"/>
    <col min="5907" max="5907" width="10" style="2591" customWidth="1"/>
    <col min="5908" max="5908" width="26.08984375" style="2591" customWidth="1"/>
    <col min="5909" max="6144" width="8.90625" style="2591"/>
    <col min="6145" max="6145" width="9.453125" style="2591" customWidth="1"/>
    <col min="6146" max="6146" width="8.90625" style="2591"/>
    <col min="6147" max="6149" width="12.90625" style="2591" customWidth="1"/>
    <col min="6150" max="6150" width="47.453125" style="2591" customWidth="1"/>
    <col min="6151" max="6151" width="13" style="2591" customWidth="1"/>
    <col min="6152" max="6153" width="8.90625" style="2591"/>
    <col min="6154" max="6154" width="5.7265625" style="2591" customWidth="1"/>
    <col min="6155" max="6155" width="11.7265625" style="2591" customWidth="1"/>
    <col min="6156" max="6157" width="10.7265625" style="2591" customWidth="1"/>
    <col min="6158" max="6158" width="10" style="2591" customWidth="1"/>
    <col min="6159" max="6160" width="10.453125" style="2591" bestFit="1" customWidth="1"/>
    <col min="6161" max="6161" width="10" style="2591" customWidth="1"/>
    <col min="6162" max="6162" width="10.08984375" style="2591" customWidth="1"/>
    <col min="6163" max="6163" width="10" style="2591" customWidth="1"/>
    <col min="6164" max="6164" width="26.08984375" style="2591" customWidth="1"/>
    <col min="6165" max="6400" width="8.90625" style="2591"/>
    <col min="6401" max="6401" width="9.453125" style="2591" customWidth="1"/>
    <col min="6402" max="6402" width="8.90625" style="2591"/>
    <col min="6403" max="6405" width="12.90625" style="2591" customWidth="1"/>
    <col min="6406" max="6406" width="47.453125" style="2591" customWidth="1"/>
    <col min="6407" max="6407" width="13" style="2591" customWidth="1"/>
    <col min="6408" max="6409" width="8.90625" style="2591"/>
    <col min="6410" max="6410" width="5.7265625" style="2591" customWidth="1"/>
    <col min="6411" max="6411" width="11.7265625" style="2591" customWidth="1"/>
    <col min="6412" max="6413" width="10.7265625" style="2591" customWidth="1"/>
    <col min="6414" max="6414" width="10" style="2591" customWidth="1"/>
    <col min="6415" max="6416" width="10.453125" style="2591" bestFit="1" customWidth="1"/>
    <col min="6417" max="6417" width="10" style="2591" customWidth="1"/>
    <col min="6418" max="6418" width="10.08984375" style="2591" customWidth="1"/>
    <col min="6419" max="6419" width="10" style="2591" customWidth="1"/>
    <col min="6420" max="6420" width="26.08984375" style="2591" customWidth="1"/>
    <col min="6421" max="6656" width="8.90625" style="2591"/>
    <col min="6657" max="6657" width="9.453125" style="2591" customWidth="1"/>
    <col min="6658" max="6658" width="8.90625" style="2591"/>
    <col min="6659" max="6661" width="12.90625" style="2591" customWidth="1"/>
    <col min="6662" max="6662" width="47.453125" style="2591" customWidth="1"/>
    <col min="6663" max="6663" width="13" style="2591" customWidth="1"/>
    <col min="6664" max="6665" width="8.90625" style="2591"/>
    <col min="6666" max="6666" width="5.7265625" style="2591" customWidth="1"/>
    <col min="6667" max="6667" width="11.7265625" style="2591" customWidth="1"/>
    <col min="6668" max="6669" width="10.7265625" style="2591" customWidth="1"/>
    <col min="6670" max="6670" width="10" style="2591" customWidth="1"/>
    <col min="6671" max="6672" width="10.453125" style="2591" bestFit="1" customWidth="1"/>
    <col min="6673" max="6673" width="10" style="2591" customWidth="1"/>
    <col min="6674" max="6674" width="10.08984375" style="2591" customWidth="1"/>
    <col min="6675" max="6675" width="10" style="2591" customWidth="1"/>
    <col min="6676" max="6676" width="26.08984375" style="2591" customWidth="1"/>
    <col min="6677" max="6912" width="8.90625" style="2591"/>
    <col min="6913" max="6913" width="9.453125" style="2591" customWidth="1"/>
    <col min="6914" max="6914" width="8.90625" style="2591"/>
    <col min="6915" max="6917" width="12.90625" style="2591" customWidth="1"/>
    <col min="6918" max="6918" width="47.453125" style="2591" customWidth="1"/>
    <col min="6919" max="6919" width="13" style="2591" customWidth="1"/>
    <col min="6920" max="6921" width="8.90625" style="2591"/>
    <col min="6922" max="6922" width="5.7265625" style="2591" customWidth="1"/>
    <col min="6923" max="6923" width="11.7265625" style="2591" customWidth="1"/>
    <col min="6924" max="6925" width="10.7265625" style="2591" customWidth="1"/>
    <col min="6926" max="6926" width="10" style="2591" customWidth="1"/>
    <col min="6927" max="6928" width="10.453125" style="2591" bestFit="1" customWidth="1"/>
    <col min="6929" max="6929" width="10" style="2591" customWidth="1"/>
    <col min="6930" max="6930" width="10.08984375" style="2591" customWidth="1"/>
    <col min="6931" max="6931" width="10" style="2591" customWidth="1"/>
    <col min="6932" max="6932" width="26.08984375" style="2591" customWidth="1"/>
    <col min="6933" max="7168" width="8.90625" style="2591"/>
    <col min="7169" max="7169" width="9.453125" style="2591" customWidth="1"/>
    <col min="7170" max="7170" width="8.90625" style="2591"/>
    <col min="7171" max="7173" width="12.90625" style="2591" customWidth="1"/>
    <col min="7174" max="7174" width="47.453125" style="2591" customWidth="1"/>
    <col min="7175" max="7175" width="13" style="2591" customWidth="1"/>
    <col min="7176" max="7177" width="8.90625" style="2591"/>
    <col min="7178" max="7178" width="5.7265625" style="2591" customWidth="1"/>
    <col min="7179" max="7179" width="11.7265625" style="2591" customWidth="1"/>
    <col min="7180" max="7181" width="10.7265625" style="2591" customWidth="1"/>
    <col min="7182" max="7182" width="10" style="2591" customWidth="1"/>
    <col min="7183" max="7184" width="10.453125" style="2591" bestFit="1" customWidth="1"/>
    <col min="7185" max="7185" width="10" style="2591" customWidth="1"/>
    <col min="7186" max="7186" width="10.08984375" style="2591" customWidth="1"/>
    <col min="7187" max="7187" width="10" style="2591" customWidth="1"/>
    <col min="7188" max="7188" width="26.08984375" style="2591" customWidth="1"/>
    <col min="7189" max="7424" width="8.90625" style="2591"/>
    <col min="7425" max="7425" width="9.453125" style="2591" customWidth="1"/>
    <col min="7426" max="7426" width="8.90625" style="2591"/>
    <col min="7427" max="7429" width="12.90625" style="2591" customWidth="1"/>
    <col min="7430" max="7430" width="47.453125" style="2591" customWidth="1"/>
    <col min="7431" max="7431" width="13" style="2591" customWidth="1"/>
    <col min="7432" max="7433" width="8.90625" style="2591"/>
    <col min="7434" max="7434" width="5.7265625" style="2591" customWidth="1"/>
    <col min="7435" max="7435" width="11.7265625" style="2591" customWidth="1"/>
    <col min="7436" max="7437" width="10.7265625" style="2591" customWidth="1"/>
    <col min="7438" max="7438" width="10" style="2591" customWidth="1"/>
    <col min="7439" max="7440" width="10.453125" style="2591" bestFit="1" customWidth="1"/>
    <col min="7441" max="7441" width="10" style="2591" customWidth="1"/>
    <col min="7442" max="7442" width="10.08984375" style="2591" customWidth="1"/>
    <col min="7443" max="7443" width="10" style="2591" customWidth="1"/>
    <col min="7444" max="7444" width="26.08984375" style="2591" customWidth="1"/>
    <col min="7445" max="7680" width="8.90625" style="2591"/>
    <col min="7681" max="7681" width="9.453125" style="2591" customWidth="1"/>
    <col min="7682" max="7682" width="8.90625" style="2591"/>
    <col min="7683" max="7685" width="12.90625" style="2591" customWidth="1"/>
    <col min="7686" max="7686" width="47.453125" style="2591" customWidth="1"/>
    <col min="7687" max="7687" width="13" style="2591" customWidth="1"/>
    <col min="7688" max="7689" width="8.90625" style="2591"/>
    <col min="7690" max="7690" width="5.7265625" style="2591" customWidth="1"/>
    <col min="7691" max="7691" width="11.7265625" style="2591" customWidth="1"/>
    <col min="7692" max="7693" width="10.7265625" style="2591" customWidth="1"/>
    <col min="7694" max="7694" width="10" style="2591" customWidth="1"/>
    <col min="7695" max="7696" width="10.453125" style="2591" bestFit="1" customWidth="1"/>
    <col min="7697" max="7697" width="10" style="2591" customWidth="1"/>
    <col min="7698" max="7698" width="10.08984375" style="2591" customWidth="1"/>
    <col min="7699" max="7699" width="10" style="2591" customWidth="1"/>
    <col min="7700" max="7700" width="26.08984375" style="2591" customWidth="1"/>
    <col min="7701" max="7936" width="8.90625" style="2591"/>
    <col min="7937" max="7937" width="9.453125" style="2591" customWidth="1"/>
    <col min="7938" max="7938" width="8.90625" style="2591"/>
    <col min="7939" max="7941" width="12.90625" style="2591" customWidth="1"/>
    <col min="7942" max="7942" width="47.453125" style="2591" customWidth="1"/>
    <col min="7943" max="7943" width="13" style="2591" customWidth="1"/>
    <col min="7944" max="7945" width="8.90625" style="2591"/>
    <col min="7946" max="7946" width="5.7265625" style="2591" customWidth="1"/>
    <col min="7947" max="7947" width="11.7265625" style="2591" customWidth="1"/>
    <col min="7948" max="7949" width="10.7265625" style="2591" customWidth="1"/>
    <col min="7950" max="7950" width="10" style="2591" customWidth="1"/>
    <col min="7951" max="7952" width="10.453125" style="2591" bestFit="1" customWidth="1"/>
    <col min="7953" max="7953" width="10" style="2591" customWidth="1"/>
    <col min="7954" max="7954" width="10.08984375" style="2591" customWidth="1"/>
    <col min="7955" max="7955" width="10" style="2591" customWidth="1"/>
    <col min="7956" max="7956" width="26.08984375" style="2591" customWidth="1"/>
    <col min="7957" max="8192" width="8.90625" style="2591"/>
    <col min="8193" max="8193" width="9.453125" style="2591" customWidth="1"/>
    <col min="8194" max="8194" width="8.90625" style="2591"/>
    <col min="8195" max="8197" width="12.90625" style="2591" customWidth="1"/>
    <col min="8198" max="8198" width="47.453125" style="2591" customWidth="1"/>
    <col min="8199" max="8199" width="13" style="2591" customWidth="1"/>
    <col min="8200" max="8201" width="8.90625" style="2591"/>
    <col min="8202" max="8202" width="5.7265625" style="2591" customWidth="1"/>
    <col min="8203" max="8203" width="11.7265625" style="2591" customWidth="1"/>
    <col min="8204" max="8205" width="10.7265625" style="2591" customWidth="1"/>
    <col min="8206" max="8206" width="10" style="2591" customWidth="1"/>
    <col min="8207" max="8208" width="10.453125" style="2591" bestFit="1" customWidth="1"/>
    <col min="8209" max="8209" width="10" style="2591" customWidth="1"/>
    <col min="8210" max="8210" width="10.08984375" style="2591" customWidth="1"/>
    <col min="8211" max="8211" width="10" style="2591" customWidth="1"/>
    <col min="8212" max="8212" width="26.08984375" style="2591" customWidth="1"/>
    <col min="8213" max="8448" width="8.90625" style="2591"/>
    <col min="8449" max="8449" width="9.453125" style="2591" customWidth="1"/>
    <col min="8450" max="8450" width="8.90625" style="2591"/>
    <col min="8451" max="8453" width="12.90625" style="2591" customWidth="1"/>
    <col min="8454" max="8454" width="47.453125" style="2591" customWidth="1"/>
    <col min="8455" max="8455" width="13" style="2591" customWidth="1"/>
    <col min="8456" max="8457" width="8.90625" style="2591"/>
    <col min="8458" max="8458" width="5.7265625" style="2591" customWidth="1"/>
    <col min="8459" max="8459" width="11.7265625" style="2591" customWidth="1"/>
    <col min="8460" max="8461" width="10.7265625" style="2591" customWidth="1"/>
    <col min="8462" max="8462" width="10" style="2591" customWidth="1"/>
    <col min="8463" max="8464" width="10.453125" style="2591" bestFit="1" customWidth="1"/>
    <col min="8465" max="8465" width="10" style="2591" customWidth="1"/>
    <col min="8466" max="8466" width="10.08984375" style="2591" customWidth="1"/>
    <col min="8467" max="8467" width="10" style="2591" customWidth="1"/>
    <col min="8468" max="8468" width="26.08984375" style="2591" customWidth="1"/>
    <col min="8469" max="8704" width="8.90625" style="2591"/>
    <col min="8705" max="8705" width="9.453125" style="2591" customWidth="1"/>
    <col min="8706" max="8706" width="8.90625" style="2591"/>
    <col min="8707" max="8709" width="12.90625" style="2591" customWidth="1"/>
    <col min="8710" max="8710" width="47.453125" style="2591" customWidth="1"/>
    <col min="8711" max="8711" width="13" style="2591" customWidth="1"/>
    <col min="8712" max="8713" width="8.90625" style="2591"/>
    <col min="8714" max="8714" width="5.7265625" style="2591" customWidth="1"/>
    <col min="8715" max="8715" width="11.7265625" style="2591" customWidth="1"/>
    <col min="8716" max="8717" width="10.7265625" style="2591" customWidth="1"/>
    <col min="8718" max="8718" width="10" style="2591" customWidth="1"/>
    <col min="8719" max="8720" width="10.453125" style="2591" bestFit="1" customWidth="1"/>
    <col min="8721" max="8721" width="10" style="2591" customWidth="1"/>
    <col min="8722" max="8722" width="10.08984375" style="2591" customWidth="1"/>
    <col min="8723" max="8723" width="10" style="2591" customWidth="1"/>
    <col min="8724" max="8724" width="26.08984375" style="2591" customWidth="1"/>
    <col min="8725" max="8960" width="8.90625" style="2591"/>
    <col min="8961" max="8961" width="9.453125" style="2591" customWidth="1"/>
    <col min="8962" max="8962" width="8.90625" style="2591"/>
    <col min="8963" max="8965" width="12.90625" style="2591" customWidth="1"/>
    <col min="8966" max="8966" width="47.453125" style="2591" customWidth="1"/>
    <col min="8967" max="8967" width="13" style="2591" customWidth="1"/>
    <col min="8968" max="8969" width="8.90625" style="2591"/>
    <col min="8970" max="8970" width="5.7265625" style="2591" customWidth="1"/>
    <col min="8971" max="8971" width="11.7265625" style="2591" customWidth="1"/>
    <col min="8972" max="8973" width="10.7265625" style="2591" customWidth="1"/>
    <col min="8974" max="8974" width="10" style="2591" customWidth="1"/>
    <col min="8975" max="8976" width="10.453125" style="2591" bestFit="1" customWidth="1"/>
    <col min="8977" max="8977" width="10" style="2591" customWidth="1"/>
    <col min="8978" max="8978" width="10.08984375" style="2591" customWidth="1"/>
    <col min="8979" max="8979" width="10" style="2591" customWidth="1"/>
    <col min="8980" max="8980" width="26.08984375" style="2591" customWidth="1"/>
    <col min="8981" max="9216" width="8.90625" style="2591"/>
    <col min="9217" max="9217" width="9.453125" style="2591" customWidth="1"/>
    <col min="9218" max="9218" width="8.90625" style="2591"/>
    <col min="9219" max="9221" width="12.90625" style="2591" customWidth="1"/>
    <col min="9222" max="9222" width="47.453125" style="2591" customWidth="1"/>
    <col min="9223" max="9223" width="13" style="2591" customWidth="1"/>
    <col min="9224" max="9225" width="8.90625" style="2591"/>
    <col min="9226" max="9226" width="5.7265625" style="2591" customWidth="1"/>
    <col min="9227" max="9227" width="11.7265625" style="2591" customWidth="1"/>
    <col min="9228" max="9229" width="10.7265625" style="2591" customWidth="1"/>
    <col min="9230" max="9230" width="10" style="2591" customWidth="1"/>
    <col min="9231" max="9232" width="10.453125" style="2591" bestFit="1" customWidth="1"/>
    <col min="9233" max="9233" width="10" style="2591" customWidth="1"/>
    <col min="9234" max="9234" width="10.08984375" style="2591" customWidth="1"/>
    <col min="9235" max="9235" width="10" style="2591" customWidth="1"/>
    <col min="9236" max="9236" width="26.08984375" style="2591" customWidth="1"/>
    <col min="9237" max="9472" width="8.90625" style="2591"/>
    <col min="9473" max="9473" width="9.453125" style="2591" customWidth="1"/>
    <col min="9474" max="9474" width="8.90625" style="2591"/>
    <col min="9475" max="9477" width="12.90625" style="2591" customWidth="1"/>
    <col min="9478" max="9478" width="47.453125" style="2591" customWidth="1"/>
    <col min="9479" max="9479" width="13" style="2591" customWidth="1"/>
    <col min="9480" max="9481" width="8.90625" style="2591"/>
    <col min="9482" max="9482" width="5.7265625" style="2591" customWidth="1"/>
    <col min="9483" max="9483" width="11.7265625" style="2591" customWidth="1"/>
    <col min="9484" max="9485" width="10.7265625" style="2591" customWidth="1"/>
    <col min="9486" max="9486" width="10" style="2591" customWidth="1"/>
    <col min="9487" max="9488" width="10.453125" style="2591" bestFit="1" customWidth="1"/>
    <col min="9489" max="9489" width="10" style="2591" customWidth="1"/>
    <col min="9490" max="9490" width="10.08984375" style="2591" customWidth="1"/>
    <col min="9491" max="9491" width="10" style="2591" customWidth="1"/>
    <col min="9492" max="9492" width="26.08984375" style="2591" customWidth="1"/>
    <col min="9493" max="9728" width="8.90625" style="2591"/>
    <col min="9729" max="9729" width="9.453125" style="2591" customWidth="1"/>
    <col min="9730" max="9730" width="8.90625" style="2591"/>
    <col min="9731" max="9733" width="12.90625" style="2591" customWidth="1"/>
    <col min="9734" max="9734" width="47.453125" style="2591" customWidth="1"/>
    <col min="9735" max="9735" width="13" style="2591" customWidth="1"/>
    <col min="9736" max="9737" width="8.90625" style="2591"/>
    <col min="9738" max="9738" width="5.7265625" style="2591" customWidth="1"/>
    <col min="9739" max="9739" width="11.7265625" style="2591" customWidth="1"/>
    <col min="9740" max="9741" width="10.7265625" style="2591" customWidth="1"/>
    <col min="9742" max="9742" width="10" style="2591" customWidth="1"/>
    <col min="9743" max="9744" width="10.453125" style="2591" bestFit="1" customWidth="1"/>
    <col min="9745" max="9745" width="10" style="2591" customWidth="1"/>
    <col min="9746" max="9746" width="10.08984375" style="2591" customWidth="1"/>
    <col min="9747" max="9747" width="10" style="2591" customWidth="1"/>
    <col min="9748" max="9748" width="26.08984375" style="2591" customWidth="1"/>
    <col min="9749" max="9984" width="8.90625" style="2591"/>
    <col min="9985" max="9985" width="9.453125" style="2591" customWidth="1"/>
    <col min="9986" max="9986" width="8.90625" style="2591"/>
    <col min="9987" max="9989" width="12.90625" style="2591" customWidth="1"/>
    <col min="9990" max="9990" width="47.453125" style="2591" customWidth="1"/>
    <col min="9991" max="9991" width="13" style="2591" customWidth="1"/>
    <col min="9992" max="9993" width="8.90625" style="2591"/>
    <col min="9994" max="9994" width="5.7265625" style="2591" customWidth="1"/>
    <col min="9995" max="9995" width="11.7265625" style="2591" customWidth="1"/>
    <col min="9996" max="9997" width="10.7265625" style="2591" customWidth="1"/>
    <col min="9998" max="9998" width="10" style="2591" customWidth="1"/>
    <col min="9999" max="10000" width="10.453125" style="2591" bestFit="1" customWidth="1"/>
    <col min="10001" max="10001" width="10" style="2591" customWidth="1"/>
    <col min="10002" max="10002" width="10.08984375" style="2591" customWidth="1"/>
    <col min="10003" max="10003" width="10" style="2591" customWidth="1"/>
    <col min="10004" max="10004" width="26.08984375" style="2591" customWidth="1"/>
    <col min="10005" max="10240" width="8.90625" style="2591"/>
    <col min="10241" max="10241" width="9.453125" style="2591" customWidth="1"/>
    <col min="10242" max="10242" width="8.90625" style="2591"/>
    <col min="10243" max="10245" width="12.90625" style="2591" customWidth="1"/>
    <col min="10246" max="10246" width="47.453125" style="2591" customWidth="1"/>
    <col min="10247" max="10247" width="13" style="2591" customWidth="1"/>
    <col min="10248" max="10249" width="8.90625" style="2591"/>
    <col min="10250" max="10250" width="5.7265625" style="2591" customWidth="1"/>
    <col min="10251" max="10251" width="11.7265625" style="2591" customWidth="1"/>
    <col min="10252" max="10253" width="10.7265625" style="2591" customWidth="1"/>
    <col min="10254" max="10254" width="10" style="2591" customWidth="1"/>
    <col min="10255" max="10256" width="10.453125" style="2591" bestFit="1" customWidth="1"/>
    <col min="10257" max="10257" width="10" style="2591" customWidth="1"/>
    <col min="10258" max="10258" width="10.08984375" style="2591" customWidth="1"/>
    <col min="10259" max="10259" width="10" style="2591" customWidth="1"/>
    <col min="10260" max="10260" width="26.08984375" style="2591" customWidth="1"/>
    <col min="10261" max="10496" width="8.90625" style="2591"/>
    <col min="10497" max="10497" width="9.453125" style="2591" customWidth="1"/>
    <col min="10498" max="10498" width="8.90625" style="2591"/>
    <col min="10499" max="10501" width="12.90625" style="2591" customWidth="1"/>
    <col min="10502" max="10502" width="47.453125" style="2591" customWidth="1"/>
    <col min="10503" max="10503" width="13" style="2591" customWidth="1"/>
    <col min="10504" max="10505" width="8.90625" style="2591"/>
    <col min="10506" max="10506" width="5.7265625" style="2591" customWidth="1"/>
    <col min="10507" max="10507" width="11.7265625" style="2591" customWidth="1"/>
    <col min="10508" max="10509" width="10.7265625" style="2591" customWidth="1"/>
    <col min="10510" max="10510" width="10" style="2591" customWidth="1"/>
    <col min="10511" max="10512" width="10.453125" style="2591" bestFit="1" customWidth="1"/>
    <col min="10513" max="10513" width="10" style="2591" customWidth="1"/>
    <col min="10514" max="10514" width="10.08984375" style="2591" customWidth="1"/>
    <col min="10515" max="10515" width="10" style="2591" customWidth="1"/>
    <col min="10516" max="10516" width="26.08984375" style="2591" customWidth="1"/>
    <col min="10517" max="10752" width="8.90625" style="2591"/>
    <col min="10753" max="10753" width="9.453125" style="2591" customWidth="1"/>
    <col min="10754" max="10754" width="8.90625" style="2591"/>
    <col min="10755" max="10757" width="12.90625" style="2591" customWidth="1"/>
    <col min="10758" max="10758" width="47.453125" style="2591" customWidth="1"/>
    <col min="10759" max="10759" width="13" style="2591" customWidth="1"/>
    <col min="10760" max="10761" width="8.90625" style="2591"/>
    <col min="10762" max="10762" width="5.7265625" style="2591" customWidth="1"/>
    <col min="10763" max="10763" width="11.7265625" style="2591" customWidth="1"/>
    <col min="10764" max="10765" width="10.7265625" style="2591" customWidth="1"/>
    <col min="10766" max="10766" width="10" style="2591" customWidth="1"/>
    <col min="10767" max="10768" width="10.453125" style="2591" bestFit="1" customWidth="1"/>
    <col min="10769" max="10769" width="10" style="2591" customWidth="1"/>
    <col min="10770" max="10770" width="10.08984375" style="2591" customWidth="1"/>
    <col min="10771" max="10771" width="10" style="2591" customWidth="1"/>
    <col min="10772" max="10772" width="26.08984375" style="2591" customWidth="1"/>
    <col min="10773" max="11008" width="8.90625" style="2591"/>
    <col min="11009" max="11009" width="9.453125" style="2591" customWidth="1"/>
    <col min="11010" max="11010" width="8.90625" style="2591"/>
    <col min="11011" max="11013" width="12.90625" style="2591" customWidth="1"/>
    <col min="11014" max="11014" width="47.453125" style="2591" customWidth="1"/>
    <col min="11015" max="11015" width="13" style="2591" customWidth="1"/>
    <col min="11016" max="11017" width="8.90625" style="2591"/>
    <col min="11018" max="11018" width="5.7265625" style="2591" customWidth="1"/>
    <col min="11019" max="11019" width="11.7265625" style="2591" customWidth="1"/>
    <col min="11020" max="11021" width="10.7265625" style="2591" customWidth="1"/>
    <col min="11022" max="11022" width="10" style="2591" customWidth="1"/>
    <col min="11023" max="11024" width="10.453125" style="2591" bestFit="1" customWidth="1"/>
    <col min="11025" max="11025" width="10" style="2591" customWidth="1"/>
    <col min="11026" max="11026" width="10.08984375" style="2591" customWidth="1"/>
    <col min="11027" max="11027" width="10" style="2591" customWidth="1"/>
    <col min="11028" max="11028" width="26.08984375" style="2591" customWidth="1"/>
    <col min="11029" max="11264" width="8.90625" style="2591"/>
    <col min="11265" max="11265" width="9.453125" style="2591" customWidth="1"/>
    <col min="11266" max="11266" width="8.90625" style="2591"/>
    <col min="11267" max="11269" width="12.90625" style="2591" customWidth="1"/>
    <col min="11270" max="11270" width="47.453125" style="2591" customWidth="1"/>
    <col min="11271" max="11271" width="13" style="2591" customWidth="1"/>
    <col min="11272" max="11273" width="8.90625" style="2591"/>
    <col min="11274" max="11274" width="5.7265625" style="2591" customWidth="1"/>
    <col min="11275" max="11275" width="11.7265625" style="2591" customWidth="1"/>
    <col min="11276" max="11277" width="10.7265625" style="2591" customWidth="1"/>
    <col min="11278" max="11278" width="10" style="2591" customWidth="1"/>
    <col min="11279" max="11280" width="10.453125" style="2591" bestFit="1" customWidth="1"/>
    <col min="11281" max="11281" width="10" style="2591" customWidth="1"/>
    <col min="11282" max="11282" width="10.08984375" style="2591" customWidth="1"/>
    <col min="11283" max="11283" width="10" style="2591" customWidth="1"/>
    <col min="11284" max="11284" width="26.08984375" style="2591" customWidth="1"/>
    <col min="11285" max="11520" width="8.90625" style="2591"/>
    <col min="11521" max="11521" width="9.453125" style="2591" customWidth="1"/>
    <col min="11522" max="11522" width="8.90625" style="2591"/>
    <col min="11523" max="11525" width="12.90625" style="2591" customWidth="1"/>
    <col min="11526" max="11526" width="47.453125" style="2591" customWidth="1"/>
    <col min="11527" max="11527" width="13" style="2591" customWidth="1"/>
    <col min="11528" max="11529" width="8.90625" style="2591"/>
    <col min="11530" max="11530" width="5.7265625" style="2591" customWidth="1"/>
    <col min="11531" max="11531" width="11.7265625" style="2591" customWidth="1"/>
    <col min="11532" max="11533" width="10.7265625" style="2591" customWidth="1"/>
    <col min="11534" max="11534" width="10" style="2591" customWidth="1"/>
    <col min="11535" max="11536" width="10.453125" style="2591" bestFit="1" customWidth="1"/>
    <col min="11537" max="11537" width="10" style="2591" customWidth="1"/>
    <col min="11538" max="11538" width="10.08984375" style="2591" customWidth="1"/>
    <col min="11539" max="11539" width="10" style="2591" customWidth="1"/>
    <col min="11540" max="11540" width="26.08984375" style="2591" customWidth="1"/>
    <col min="11541" max="11776" width="8.90625" style="2591"/>
    <col min="11777" max="11777" width="9.453125" style="2591" customWidth="1"/>
    <col min="11778" max="11778" width="8.90625" style="2591"/>
    <col min="11779" max="11781" width="12.90625" style="2591" customWidth="1"/>
    <col min="11782" max="11782" width="47.453125" style="2591" customWidth="1"/>
    <col min="11783" max="11783" width="13" style="2591" customWidth="1"/>
    <col min="11784" max="11785" width="8.90625" style="2591"/>
    <col min="11786" max="11786" width="5.7265625" style="2591" customWidth="1"/>
    <col min="11787" max="11787" width="11.7265625" style="2591" customWidth="1"/>
    <col min="11788" max="11789" width="10.7265625" style="2591" customWidth="1"/>
    <col min="11790" max="11790" width="10" style="2591" customWidth="1"/>
    <col min="11791" max="11792" width="10.453125" style="2591" bestFit="1" customWidth="1"/>
    <col min="11793" max="11793" width="10" style="2591" customWidth="1"/>
    <col min="11794" max="11794" width="10.08984375" style="2591" customWidth="1"/>
    <col min="11795" max="11795" width="10" style="2591" customWidth="1"/>
    <col min="11796" max="11796" width="26.08984375" style="2591" customWidth="1"/>
    <col min="11797" max="12032" width="8.90625" style="2591"/>
    <col min="12033" max="12033" width="9.453125" style="2591" customWidth="1"/>
    <col min="12034" max="12034" width="8.90625" style="2591"/>
    <col min="12035" max="12037" width="12.90625" style="2591" customWidth="1"/>
    <col min="12038" max="12038" width="47.453125" style="2591" customWidth="1"/>
    <col min="12039" max="12039" width="13" style="2591" customWidth="1"/>
    <col min="12040" max="12041" width="8.90625" style="2591"/>
    <col min="12042" max="12042" width="5.7265625" style="2591" customWidth="1"/>
    <col min="12043" max="12043" width="11.7265625" style="2591" customWidth="1"/>
    <col min="12044" max="12045" width="10.7265625" style="2591" customWidth="1"/>
    <col min="12046" max="12046" width="10" style="2591" customWidth="1"/>
    <col min="12047" max="12048" width="10.453125" style="2591" bestFit="1" customWidth="1"/>
    <col min="12049" max="12049" width="10" style="2591" customWidth="1"/>
    <col min="12050" max="12050" width="10.08984375" style="2591" customWidth="1"/>
    <col min="12051" max="12051" width="10" style="2591" customWidth="1"/>
    <col min="12052" max="12052" width="26.08984375" style="2591" customWidth="1"/>
    <col min="12053" max="12288" width="8.90625" style="2591"/>
    <col min="12289" max="12289" width="9.453125" style="2591" customWidth="1"/>
    <col min="12290" max="12290" width="8.90625" style="2591"/>
    <col min="12291" max="12293" width="12.90625" style="2591" customWidth="1"/>
    <col min="12294" max="12294" width="47.453125" style="2591" customWidth="1"/>
    <col min="12295" max="12295" width="13" style="2591" customWidth="1"/>
    <col min="12296" max="12297" width="8.90625" style="2591"/>
    <col min="12298" max="12298" width="5.7265625" style="2591" customWidth="1"/>
    <col min="12299" max="12299" width="11.7265625" style="2591" customWidth="1"/>
    <col min="12300" max="12301" width="10.7265625" style="2591" customWidth="1"/>
    <col min="12302" max="12302" width="10" style="2591" customWidth="1"/>
    <col min="12303" max="12304" width="10.453125" style="2591" bestFit="1" customWidth="1"/>
    <col min="12305" max="12305" width="10" style="2591" customWidth="1"/>
    <col min="12306" max="12306" width="10.08984375" style="2591" customWidth="1"/>
    <col min="12307" max="12307" width="10" style="2591" customWidth="1"/>
    <col min="12308" max="12308" width="26.08984375" style="2591" customWidth="1"/>
    <col min="12309" max="12544" width="8.90625" style="2591"/>
    <col min="12545" max="12545" width="9.453125" style="2591" customWidth="1"/>
    <col min="12546" max="12546" width="8.90625" style="2591"/>
    <col min="12547" max="12549" width="12.90625" style="2591" customWidth="1"/>
    <col min="12550" max="12550" width="47.453125" style="2591" customWidth="1"/>
    <col min="12551" max="12551" width="13" style="2591" customWidth="1"/>
    <col min="12552" max="12553" width="8.90625" style="2591"/>
    <col min="12554" max="12554" width="5.7265625" style="2591" customWidth="1"/>
    <col min="12555" max="12555" width="11.7265625" style="2591" customWidth="1"/>
    <col min="12556" max="12557" width="10.7265625" style="2591" customWidth="1"/>
    <col min="12558" max="12558" width="10" style="2591" customWidth="1"/>
    <col min="12559" max="12560" width="10.453125" style="2591" bestFit="1" customWidth="1"/>
    <col min="12561" max="12561" width="10" style="2591" customWidth="1"/>
    <col min="12562" max="12562" width="10.08984375" style="2591" customWidth="1"/>
    <col min="12563" max="12563" width="10" style="2591" customWidth="1"/>
    <col min="12564" max="12564" width="26.08984375" style="2591" customWidth="1"/>
    <col min="12565" max="12800" width="8.90625" style="2591"/>
    <col min="12801" max="12801" width="9.453125" style="2591" customWidth="1"/>
    <col min="12802" max="12802" width="8.90625" style="2591"/>
    <col min="12803" max="12805" width="12.90625" style="2591" customWidth="1"/>
    <col min="12806" max="12806" width="47.453125" style="2591" customWidth="1"/>
    <col min="12807" max="12807" width="13" style="2591" customWidth="1"/>
    <col min="12808" max="12809" width="8.90625" style="2591"/>
    <col min="12810" max="12810" width="5.7265625" style="2591" customWidth="1"/>
    <col min="12811" max="12811" width="11.7265625" style="2591" customWidth="1"/>
    <col min="12812" max="12813" width="10.7265625" style="2591" customWidth="1"/>
    <col min="12814" max="12814" width="10" style="2591" customWidth="1"/>
    <col min="12815" max="12816" width="10.453125" style="2591" bestFit="1" customWidth="1"/>
    <col min="12817" max="12817" width="10" style="2591" customWidth="1"/>
    <col min="12818" max="12818" width="10.08984375" style="2591" customWidth="1"/>
    <col min="12819" max="12819" width="10" style="2591" customWidth="1"/>
    <col min="12820" max="12820" width="26.08984375" style="2591" customWidth="1"/>
    <col min="12821" max="13056" width="8.90625" style="2591"/>
    <col min="13057" max="13057" width="9.453125" style="2591" customWidth="1"/>
    <col min="13058" max="13058" width="8.90625" style="2591"/>
    <col min="13059" max="13061" width="12.90625" style="2591" customWidth="1"/>
    <col min="13062" max="13062" width="47.453125" style="2591" customWidth="1"/>
    <col min="13063" max="13063" width="13" style="2591" customWidth="1"/>
    <col min="13064" max="13065" width="8.90625" style="2591"/>
    <col min="13066" max="13066" width="5.7265625" style="2591" customWidth="1"/>
    <col min="13067" max="13067" width="11.7265625" style="2591" customWidth="1"/>
    <col min="13068" max="13069" width="10.7265625" style="2591" customWidth="1"/>
    <col min="13070" max="13070" width="10" style="2591" customWidth="1"/>
    <col min="13071" max="13072" width="10.453125" style="2591" bestFit="1" customWidth="1"/>
    <col min="13073" max="13073" width="10" style="2591" customWidth="1"/>
    <col min="13074" max="13074" width="10.08984375" style="2591" customWidth="1"/>
    <col min="13075" max="13075" width="10" style="2591" customWidth="1"/>
    <col min="13076" max="13076" width="26.08984375" style="2591" customWidth="1"/>
    <col min="13077" max="13312" width="8.90625" style="2591"/>
    <col min="13313" max="13313" width="9.453125" style="2591" customWidth="1"/>
    <col min="13314" max="13314" width="8.90625" style="2591"/>
    <col min="13315" max="13317" width="12.90625" style="2591" customWidth="1"/>
    <col min="13318" max="13318" width="47.453125" style="2591" customWidth="1"/>
    <col min="13319" max="13319" width="13" style="2591" customWidth="1"/>
    <col min="13320" max="13321" width="8.90625" style="2591"/>
    <col min="13322" max="13322" width="5.7265625" style="2591" customWidth="1"/>
    <col min="13323" max="13323" width="11.7265625" style="2591" customWidth="1"/>
    <col min="13324" max="13325" width="10.7265625" style="2591" customWidth="1"/>
    <col min="13326" max="13326" width="10" style="2591" customWidth="1"/>
    <col min="13327" max="13328" width="10.453125" style="2591" bestFit="1" customWidth="1"/>
    <col min="13329" max="13329" width="10" style="2591" customWidth="1"/>
    <col min="13330" max="13330" width="10.08984375" style="2591" customWidth="1"/>
    <col min="13331" max="13331" width="10" style="2591" customWidth="1"/>
    <col min="13332" max="13332" width="26.08984375" style="2591" customWidth="1"/>
    <col min="13333" max="13568" width="8.90625" style="2591"/>
    <col min="13569" max="13569" width="9.453125" style="2591" customWidth="1"/>
    <col min="13570" max="13570" width="8.90625" style="2591"/>
    <col min="13571" max="13573" width="12.90625" style="2591" customWidth="1"/>
    <col min="13574" max="13574" width="47.453125" style="2591" customWidth="1"/>
    <col min="13575" max="13575" width="13" style="2591" customWidth="1"/>
    <col min="13576" max="13577" width="8.90625" style="2591"/>
    <col min="13578" max="13578" width="5.7265625" style="2591" customWidth="1"/>
    <col min="13579" max="13579" width="11.7265625" style="2591" customWidth="1"/>
    <col min="13580" max="13581" width="10.7265625" style="2591" customWidth="1"/>
    <col min="13582" max="13582" width="10" style="2591" customWidth="1"/>
    <col min="13583" max="13584" width="10.453125" style="2591" bestFit="1" customWidth="1"/>
    <col min="13585" max="13585" width="10" style="2591" customWidth="1"/>
    <col min="13586" max="13586" width="10.08984375" style="2591" customWidth="1"/>
    <col min="13587" max="13587" width="10" style="2591" customWidth="1"/>
    <col min="13588" max="13588" width="26.08984375" style="2591" customWidth="1"/>
    <col min="13589" max="13824" width="8.90625" style="2591"/>
    <col min="13825" max="13825" width="9.453125" style="2591" customWidth="1"/>
    <col min="13826" max="13826" width="8.90625" style="2591"/>
    <col min="13827" max="13829" width="12.90625" style="2591" customWidth="1"/>
    <col min="13830" max="13830" width="47.453125" style="2591" customWidth="1"/>
    <col min="13831" max="13831" width="13" style="2591" customWidth="1"/>
    <col min="13832" max="13833" width="8.90625" style="2591"/>
    <col min="13834" max="13834" width="5.7265625" style="2591" customWidth="1"/>
    <col min="13835" max="13835" width="11.7265625" style="2591" customWidth="1"/>
    <col min="13836" max="13837" width="10.7265625" style="2591" customWidth="1"/>
    <col min="13838" max="13838" width="10" style="2591" customWidth="1"/>
    <col min="13839" max="13840" width="10.453125" style="2591" bestFit="1" customWidth="1"/>
    <col min="13841" max="13841" width="10" style="2591" customWidth="1"/>
    <col min="13842" max="13842" width="10.08984375" style="2591" customWidth="1"/>
    <col min="13843" max="13843" width="10" style="2591" customWidth="1"/>
    <col min="13844" max="13844" width="26.08984375" style="2591" customWidth="1"/>
    <col min="13845" max="14080" width="8.90625" style="2591"/>
    <col min="14081" max="14081" width="9.453125" style="2591" customWidth="1"/>
    <col min="14082" max="14082" width="8.90625" style="2591"/>
    <col min="14083" max="14085" width="12.90625" style="2591" customWidth="1"/>
    <col min="14086" max="14086" width="47.453125" style="2591" customWidth="1"/>
    <col min="14087" max="14087" width="13" style="2591" customWidth="1"/>
    <col min="14088" max="14089" width="8.90625" style="2591"/>
    <col min="14090" max="14090" width="5.7265625" style="2591" customWidth="1"/>
    <col min="14091" max="14091" width="11.7265625" style="2591" customWidth="1"/>
    <col min="14092" max="14093" width="10.7265625" style="2591" customWidth="1"/>
    <col min="14094" max="14094" width="10" style="2591" customWidth="1"/>
    <col min="14095" max="14096" width="10.453125" style="2591" bestFit="1" customWidth="1"/>
    <col min="14097" max="14097" width="10" style="2591" customWidth="1"/>
    <col min="14098" max="14098" width="10.08984375" style="2591" customWidth="1"/>
    <col min="14099" max="14099" width="10" style="2591" customWidth="1"/>
    <col min="14100" max="14100" width="26.08984375" style="2591" customWidth="1"/>
    <col min="14101" max="14336" width="8.90625" style="2591"/>
    <col min="14337" max="14337" width="9.453125" style="2591" customWidth="1"/>
    <col min="14338" max="14338" width="8.90625" style="2591"/>
    <col min="14339" max="14341" width="12.90625" style="2591" customWidth="1"/>
    <col min="14342" max="14342" width="47.453125" style="2591" customWidth="1"/>
    <col min="14343" max="14343" width="13" style="2591" customWidth="1"/>
    <col min="14344" max="14345" width="8.90625" style="2591"/>
    <col min="14346" max="14346" width="5.7265625" style="2591" customWidth="1"/>
    <col min="14347" max="14347" width="11.7265625" style="2591" customWidth="1"/>
    <col min="14348" max="14349" width="10.7265625" style="2591" customWidth="1"/>
    <col min="14350" max="14350" width="10" style="2591" customWidth="1"/>
    <col min="14351" max="14352" width="10.453125" style="2591" bestFit="1" customWidth="1"/>
    <col min="14353" max="14353" width="10" style="2591" customWidth="1"/>
    <col min="14354" max="14354" width="10.08984375" style="2591" customWidth="1"/>
    <col min="14355" max="14355" width="10" style="2591" customWidth="1"/>
    <col min="14356" max="14356" width="26.08984375" style="2591" customWidth="1"/>
    <col min="14357" max="14592" width="8.90625" style="2591"/>
    <col min="14593" max="14593" width="9.453125" style="2591" customWidth="1"/>
    <col min="14594" max="14594" width="8.90625" style="2591"/>
    <col min="14595" max="14597" width="12.90625" style="2591" customWidth="1"/>
    <col min="14598" max="14598" width="47.453125" style="2591" customWidth="1"/>
    <col min="14599" max="14599" width="13" style="2591" customWidth="1"/>
    <col min="14600" max="14601" width="8.90625" style="2591"/>
    <col min="14602" max="14602" width="5.7265625" style="2591" customWidth="1"/>
    <col min="14603" max="14603" width="11.7265625" style="2591" customWidth="1"/>
    <col min="14604" max="14605" width="10.7265625" style="2591" customWidth="1"/>
    <col min="14606" max="14606" width="10" style="2591" customWidth="1"/>
    <col min="14607" max="14608" width="10.453125" style="2591" bestFit="1" customWidth="1"/>
    <col min="14609" max="14609" width="10" style="2591" customWidth="1"/>
    <col min="14610" max="14610" width="10.08984375" style="2591" customWidth="1"/>
    <col min="14611" max="14611" width="10" style="2591" customWidth="1"/>
    <col min="14612" max="14612" width="26.08984375" style="2591" customWidth="1"/>
    <col min="14613" max="14848" width="8.90625" style="2591"/>
    <col min="14849" max="14849" width="9.453125" style="2591" customWidth="1"/>
    <col min="14850" max="14850" width="8.90625" style="2591"/>
    <col min="14851" max="14853" width="12.90625" style="2591" customWidth="1"/>
    <col min="14854" max="14854" width="47.453125" style="2591" customWidth="1"/>
    <col min="14855" max="14855" width="13" style="2591" customWidth="1"/>
    <col min="14856" max="14857" width="8.90625" style="2591"/>
    <col min="14858" max="14858" width="5.7265625" style="2591" customWidth="1"/>
    <col min="14859" max="14859" width="11.7265625" style="2591" customWidth="1"/>
    <col min="14860" max="14861" width="10.7265625" style="2591" customWidth="1"/>
    <col min="14862" max="14862" width="10" style="2591" customWidth="1"/>
    <col min="14863" max="14864" width="10.453125" style="2591" bestFit="1" customWidth="1"/>
    <col min="14865" max="14865" width="10" style="2591" customWidth="1"/>
    <col min="14866" max="14866" width="10.08984375" style="2591" customWidth="1"/>
    <col min="14867" max="14867" width="10" style="2591" customWidth="1"/>
    <col min="14868" max="14868" width="26.08984375" style="2591" customWidth="1"/>
    <col min="14869" max="15104" width="8.90625" style="2591"/>
    <col min="15105" max="15105" width="9.453125" style="2591" customWidth="1"/>
    <col min="15106" max="15106" width="8.90625" style="2591"/>
    <col min="15107" max="15109" width="12.90625" style="2591" customWidth="1"/>
    <col min="15110" max="15110" width="47.453125" style="2591" customWidth="1"/>
    <col min="15111" max="15111" width="13" style="2591" customWidth="1"/>
    <col min="15112" max="15113" width="8.90625" style="2591"/>
    <col min="15114" max="15114" width="5.7265625" style="2591" customWidth="1"/>
    <col min="15115" max="15115" width="11.7265625" style="2591" customWidth="1"/>
    <col min="15116" max="15117" width="10.7265625" style="2591" customWidth="1"/>
    <col min="15118" max="15118" width="10" style="2591" customWidth="1"/>
    <col min="15119" max="15120" width="10.453125" style="2591" bestFit="1" customWidth="1"/>
    <col min="15121" max="15121" width="10" style="2591" customWidth="1"/>
    <col min="15122" max="15122" width="10.08984375" style="2591" customWidth="1"/>
    <col min="15123" max="15123" width="10" style="2591" customWidth="1"/>
    <col min="15124" max="15124" width="26.08984375" style="2591" customWidth="1"/>
    <col min="15125" max="15360" width="8.90625" style="2591"/>
    <col min="15361" max="15361" width="9.453125" style="2591" customWidth="1"/>
    <col min="15362" max="15362" width="8.90625" style="2591"/>
    <col min="15363" max="15365" width="12.90625" style="2591" customWidth="1"/>
    <col min="15366" max="15366" width="47.453125" style="2591" customWidth="1"/>
    <col min="15367" max="15367" width="13" style="2591" customWidth="1"/>
    <col min="15368" max="15369" width="8.90625" style="2591"/>
    <col min="15370" max="15370" width="5.7265625" style="2591" customWidth="1"/>
    <col min="15371" max="15371" width="11.7265625" style="2591" customWidth="1"/>
    <col min="15372" max="15373" width="10.7265625" style="2591" customWidth="1"/>
    <col min="15374" max="15374" width="10" style="2591" customWidth="1"/>
    <col min="15375" max="15376" width="10.453125" style="2591" bestFit="1" customWidth="1"/>
    <col min="15377" max="15377" width="10" style="2591" customWidth="1"/>
    <col min="15378" max="15378" width="10.08984375" style="2591" customWidth="1"/>
    <col min="15379" max="15379" width="10" style="2591" customWidth="1"/>
    <col min="15380" max="15380" width="26.08984375" style="2591" customWidth="1"/>
    <col min="15381" max="15616" width="8.90625" style="2591"/>
    <col min="15617" max="15617" width="9.453125" style="2591" customWidth="1"/>
    <col min="15618" max="15618" width="8.90625" style="2591"/>
    <col min="15619" max="15621" width="12.90625" style="2591" customWidth="1"/>
    <col min="15622" max="15622" width="47.453125" style="2591" customWidth="1"/>
    <col min="15623" max="15623" width="13" style="2591" customWidth="1"/>
    <col min="15624" max="15625" width="8.90625" style="2591"/>
    <col min="15626" max="15626" width="5.7265625" style="2591" customWidth="1"/>
    <col min="15627" max="15627" width="11.7265625" style="2591" customWidth="1"/>
    <col min="15628" max="15629" width="10.7265625" style="2591" customWidth="1"/>
    <col min="15630" max="15630" width="10" style="2591" customWidth="1"/>
    <col min="15631" max="15632" width="10.453125" style="2591" bestFit="1" customWidth="1"/>
    <col min="15633" max="15633" width="10" style="2591" customWidth="1"/>
    <col min="15634" max="15634" width="10.08984375" style="2591" customWidth="1"/>
    <col min="15635" max="15635" width="10" style="2591" customWidth="1"/>
    <col min="15636" max="15636" width="26.08984375" style="2591" customWidth="1"/>
    <col min="15637" max="15872" width="8.90625" style="2591"/>
    <col min="15873" max="15873" width="9.453125" style="2591" customWidth="1"/>
    <col min="15874" max="15874" width="8.90625" style="2591"/>
    <col min="15875" max="15877" width="12.90625" style="2591" customWidth="1"/>
    <col min="15878" max="15878" width="47.453125" style="2591" customWidth="1"/>
    <col min="15879" max="15879" width="13" style="2591" customWidth="1"/>
    <col min="15880" max="15881" width="8.90625" style="2591"/>
    <col min="15882" max="15882" width="5.7265625" style="2591" customWidth="1"/>
    <col min="15883" max="15883" width="11.7265625" style="2591" customWidth="1"/>
    <col min="15884" max="15885" width="10.7265625" style="2591" customWidth="1"/>
    <col min="15886" max="15886" width="10" style="2591" customWidth="1"/>
    <col min="15887" max="15888" width="10.453125" style="2591" bestFit="1" customWidth="1"/>
    <col min="15889" max="15889" width="10" style="2591" customWidth="1"/>
    <col min="15890" max="15890" width="10.08984375" style="2591" customWidth="1"/>
    <col min="15891" max="15891" width="10" style="2591" customWidth="1"/>
    <col min="15892" max="15892" width="26.08984375" style="2591" customWidth="1"/>
    <col min="15893" max="16128" width="8.90625" style="2591"/>
    <col min="16129" max="16129" width="9.453125" style="2591" customWidth="1"/>
    <col min="16130" max="16130" width="8.90625" style="2591"/>
    <col min="16131" max="16133" width="12.90625" style="2591" customWidth="1"/>
    <col min="16134" max="16134" width="47.453125" style="2591" customWidth="1"/>
    <col min="16135" max="16135" width="13" style="2591" customWidth="1"/>
    <col min="16136" max="16137" width="8.90625" style="2591"/>
    <col min="16138" max="16138" width="5.7265625" style="2591" customWidth="1"/>
    <col min="16139" max="16139" width="11.7265625" style="2591" customWidth="1"/>
    <col min="16140" max="16141" width="10.7265625" style="2591" customWidth="1"/>
    <col min="16142" max="16142" width="10" style="2591" customWidth="1"/>
    <col min="16143" max="16144" width="10.453125" style="2591" bestFit="1" customWidth="1"/>
    <col min="16145" max="16145" width="10" style="2591" customWidth="1"/>
    <col min="16146" max="16146" width="10.08984375" style="2591" customWidth="1"/>
    <col min="16147" max="16147" width="10" style="2591" customWidth="1"/>
    <col min="16148" max="16148" width="26.08984375" style="2591" customWidth="1"/>
    <col min="16149" max="16384" width="8.9062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15" customHeight="1">
      <c r="A2" s="1293" t="s">
        <v>2315</v>
      </c>
      <c r="B2" s="2592" t="e">
        <f>IF(D2="——",C40,C40+E2)</f>
        <v>#DIV/0!</v>
      </c>
      <c r="C2" s="2593" t="s">
        <v>2316</v>
      </c>
      <c r="D2" s="3136" t="s">
        <v>3356</v>
      </c>
      <c r="E2" s="3137"/>
      <c r="F2" s="2595"/>
      <c r="G2" s="2596"/>
      <c r="H2" s="2597"/>
      <c r="I2" s="2598"/>
      <c r="J2" s="3421" t="s">
        <v>2317</v>
      </c>
      <c r="K2" s="3422"/>
      <c r="L2" s="2599" t="s">
        <v>2318</v>
      </c>
      <c r="M2" s="2599" t="s">
        <v>2319</v>
      </c>
      <c r="N2" s="2599" t="s">
        <v>2320</v>
      </c>
      <c r="O2" s="2599" t="s">
        <v>2321</v>
      </c>
      <c r="P2" s="2599" t="s">
        <v>2322</v>
      </c>
      <c r="Q2" s="2600" t="s">
        <v>2323</v>
      </c>
      <c r="R2" s="2601" t="s">
        <v>2324</v>
      </c>
      <c r="S2" s="2590"/>
      <c r="T2" s="2590"/>
      <c r="U2" s="2590"/>
      <c r="V2" s="2598"/>
    </row>
    <row r="3" spans="1:22" s="2602" customFormat="1" ht="13.15" customHeight="1">
      <c r="A3" s="2603" t="s">
        <v>2325</v>
      </c>
      <c r="B3" s="2604" t="e">
        <f>ROUND(B2*10000/B4,0)</f>
        <v>#DIV/0!</v>
      </c>
      <c r="C3" s="2593" t="s">
        <v>2326</v>
      </c>
      <c r="D3" s="2593"/>
      <c r="E3" s="2594"/>
      <c r="F3" s="2595"/>
      <c r="G3" s="2596"/>
      <c r="H3" s="2597"/>
      <c r="I3" s="2598"/>
      <c r="J3" s="3423" t="s">
        <v>2327</v>
      </c>
      <c r="K3" s="3424"/>
      <c r="L3" s="2605"/>
      <c r="M3" s="2605"/>
      <c r="N3" s="2605"/>
      <c r="O3" s="2605"/>
      <c r="P3" s="2605"/>
      <c r="Q3" s="2606"/>
      <c r="R3" s="2607">
        <f>SUM(L3:Q3)</f>
        <v>0</v>
      </c>
      <c r="S3" s="2590"/>
      <c r="T3" s="2590"/>
      <c r="U3" s="2590"/>
      <c r="V3" s="2598"/>
    </row>
    <row r="4" spans="1:22" s="2602" customFormat="1" ht="13.15" customHeight="1">
      <c r="A4" s="2608" t="s">
        <v>2328</v>
      </c>
      <c r="B4" s="2609"/>
      <c r="C4" s="2593"/>
      <c r="D4" s="2593"/>
      <c r="E4" s="2594"/>
      <c r="F4" s="2595"/>
      <c r="G4" s="2596"/>
      <c r="H4" s="2597"/>
      <c r="I4" s="2598"/>
      <c r="J4" s="3423" t="s">
        <v>2329</v>
      </c>
      <c r="K4" s="3424"/>
      <c r="L4" s="2610"/>
      <c r="M4" s="2610"/>
      <c r="N4" s="2610"/>
      <c r="O4" s="2610"/>
      <c r="P4" s="2610"/>
      <c r="Q4" s="2611"/>
      <c r="R4" s="2612">
        <f>SUM(L4:Q4)</f>
        <v>0</v>
      </c>
      <c r="S4" s="2590"/>
      <c r="T4" s="2590"/>
      <c r="U4" s="2590"/>
      <c r="V4" s="2598"/>
    </row>
    <row r="5" spans="1:22" s="2602" customFormat="1" ht="13.1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15" customHeight="1" thickBot="1">
      <c r="A6" s="3425" t="s">
        <v>2333</v>
      </c>
      <c r="B6" s="3426"/>
      <c r="C6" s="3427"/>
      <c r="D6" s="2619"/>
      <c r="E6" s="2620"/>
      <c r="F6" s="2621"/>
      <c r="G6" s="2622"/>
      <c r="H6" s="2597"/>
      <c r="I6" s="2598"/>
      <c r="J6" s="3428">
        <v>1</v>
      </c>
      <c r="K6" s="3429"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15" customHeight="1">
      <c r="A7" s="2625" t="s">
        <v>2343</v>
      </c>
      <c r="B7" s="2626"/>
      <c r="C7" s="2627"/>
      <c r="D7" s="2628">
        <f>SUM(D9,D10,D11,D17,0)</f>
        <v>0</v>
      </c>
      <c r="E7" s="2629" t="e">
        <f>E9+E10+E11+E17</f>
        <v>#DIV/0!</v>
      </c>
      <c r="F7" s="2630"/>
      <c r="G7" s="2631"/>
      <c r="H7" s="2597"/>
      <c r="I7" s="2598"/>
      <c r="J7" s="3428"/>
      <c r="K7" s="3430"/>
      <c r="L7" s="2632" t="s">
        <v>2344</v>
      </c>
      <c r="M7" s="2633"/>
      <c r="N7" s="2609"/>
      <c r="O7" s="2634"/>
      <c r="P7" s="2634"/>
      <c r="Q7" s="2635">
        <v>365</v>
      </c>
      <c r="R7" s="2636">
        <f>ROUND(M7*N7*O7*P7*Q7/10000,0)</f>
        <v>0</v>
      </c>
      <c r="S7" s="2590"/>
      <c r="T7" s="2590" t="s">
        <v>2345</v>
      </c>
      <c r="U7" s="2590"/>
      <c r="V7" s="2598"/>
    </row>
    <row r="8" spans="1:22" s="2602" customFormat="1" ht="13.15" customHeight="1">
      <c r="A8" s="2637" t="s">
        <v>2346</v>
      </c>
      <c r="B8" s="3432" t="s">
        <v>2347</v>
      </c>
      <c r="C8" s="3433"/>
      <c r="D8" s="2638" t="s">
        <v>2348</v>
      </c>
      <c r="E8" s="2639" t="s">
        <v>2349</v>
      </c>
      <c r="F8" s="2640" t="s">
        <v>2350</v>
      </c>
      <c r="G8" s="2641"/>
      <c r="H8" s="2597"/>
      <c r="I8" s="2598"/>
      <c r="J8" s="3428"/>
      <c r="K8" s="3430"/>
      <c r="L8" s="2632" t="s">
        <v>2351</v>
      </c>
      <c r="M8" s="2633"/>
      <c r="N8" s="2609"/>
      <c r="O8" s="2634"/>
      <c r="P8" s="2634"/>
      <c r="Q8" s="2635">
        <v>365</v>
      </c>
      <c r="R8" s="2636">
        <f t="shared" ref="R8:R13" si="0">ROUND(M8*N8*O8*P8*Q8/10000,0)</f>
        <v>0</v>
      </c>
      <c r="S8" s="2590"/>
      <c r="T8" s="2590" t="s">
        <v>2352</v>
      </c>
      <c r="U8" s="2590"/>
      <c r="V8" s="2598"/>
    </row>
    <row r="9" spans="1:22" s="2602" customFormat="1" ht="13.15" customHeight="1">
      <c r="A9" s="2637">
        <v>1</v>
      </c>
      <c r="B9" s="3432" t="s">
        <v>2353</v>
      </c>
      <c r="C9" s="3433"/>
      <c r="D9" s="2638">
        <f>ROUND(D6*E9,0)</f>
        <v>0</v>
      </c>
      <c r="E9" s="2642"/>
      <c r="F9" s="2643" t="s">
        <v>2354</v>
      </c>
      <c r="G9" s="2622"/>
      <c r="H9" s="2597"/>
      <c r="I9" s="2598"/>
      <c r="J9" s="3428"/>
      <c r="K9" s="3430"/>
      <c r="L9" s="2632" t="s">
        <v>2355</v>
      </c>
      <c r="M9" s="2633"/>
      <c r="N9" s="2609"/>
      <c r="O9" s="2634"/>
      <c r="P9" s="2634"/>
      <c r="Q9" s="2635">
        <v>365</v>
      </c>
      <c r="R9" s="2636">
        <f t="shared" si="0"/>
        <v>0</v>
      </c>
      <c r="S9" s="2590"/>
      <c r="T9" s="2590"/>
      <c r="U9" s="2590"/>
      <c r="V9" s="2598"/>
    </row>
    <row r="10" spans="1:22" s="2602" customFormat="1" ht="13.15" customHeight="1">
      <c r="A10" s="2637">
        <v>2</v>
      </c>
      <c r="B10" s="3432" t="s">
        <v>2356</v>
      </c>
      <c r="C10" s="3433"/>
      <c r="D10" s="2638">
        <f>ROUND(D6*E10,0)</f>
        <v>0</v>
      </c>
      <c r="E10" s="2642"/>
      <c r="F10" s="2643" t="s">
        <v>2357</v>
      </c>
      <c r="G10" s="2622"/>
      <c r="H10" s="2597"/>
      <c r="I10" s="2598"/>
      <c r="J10" s="3428"/>
      <c r="K10" s="3430"/>
      <c r="L10" s="2632" t="s">
        <v>2358</v>
      </c>
      <c r="M10" s="2633"/>
      <c r="N10" s="2609"/>
      <c r="O10" s="2634"/>
      <c r="P10" s="2634"/>
      <c r="Q10" s="2635">
        <v>365</v>
      </c>
      <c r="R10" s="2636">
        <f t="shared" si="0"/>
        <v>0</v>
      </c>
      <c r="S10" s="2590"/>
      <c r="T10" s="2590"/>
      <c r="U10" s="2590"/>
      <c r="V10" s="2598"/>
    </row>
    <row r="11" spans="1:22" s="2602" customFormat="1" ht="13.15" customHeight="1">
      <c r="A11" s="2637">
        <v>3</v>
      </c>
      <c r="B11" s="3432" t="s">
        <v>2359</v>
      </c>
      <c r="C11" s="3433"/>
      <c r="D11" s="2638">
        <f>D12+D14+D15+D16</f>
        <v>0</v>
      </c>
      <c r="E11" s="2644" t="e">
        <f>D11/D6</f>
        <v>#DIV/0!</v>
      </c>
      <c r="F11" s="2640"/>
      <c r="G11" s="2641"/>
      <c r="H11" s="2597"/>
      <c r="I11" s="2598"/>
      <c r="J11" s="3428"/>
      <c r="K11" s="3430"/>
      <c r="L11" s="2632" t="s">
        <v>2360</v>
      </c>
      <c r="M11" s="2633"/>
      <c r="N11" s="2609"/>
      <c r="O11" s="2634"/>
      <c r="P11" s="2634"/>
      <c r="Q11" s="2635">
        <v>365</v>
      </c>
      <c r="R11" s="2636">
        <f t="shared" si="0"/>
        <v>0</v>
      </c>
      <c r="S11" s="2590"/>
      <c r="T11" s="2590"/>
      <c r="U11" s="2590"/>
      <c r="V11" s="2598"/>
    </row>
    <row r="12" spans="1:22" s="2602" customFormat="1" ht="13.15" customHeight="1">
      <c r="A12" s="2645" t="s">
        <v>2361</v>
      </c>
      <c r="B12" s="3434" t="s">
        <v>2362</v>
      </c>
      <c r="C12" s="3435"/>
      <c r="D12" s="2646">
        <f>ROUND(D13*1.2%*(1-30%),0)</f>
        <v>0</v>
      </c>
      <c r="E12" s="2647">
        <v>1.2E-2</v>
      </c>
      <c r="F12" s="2640" t="s">
        <v>2363</v>
      </c>
      <c r="G12" s="2641"/>
      <c r="H12" s="2597"/>
      <c r="I12" s="2598"/>
      <c r="J12" s="3428"/>
      <c r="K12" s="3430"/>
      <c r="L12" s="2632" t="s">
        <v>2364</v>
      </c>
      <c r="M12" s="2633"/>
      <c r="N12" s="2609"/>
      <c r="O12" s="2634"/>
      <c r="P12" s="2634"/>
      <c r="Q12" s="2635">
        <v>365</v>
      </c>
      <c r="R12" s="2636">
        <f t="shared" si="0"/>
        <v>0</v>
      </c>
      <c r="S12" s="2590"/>
      <c r="T12" s="2590"/>
      <c r="U12" s="2590"/>
      <c r="V12" s="2598"/>
    </row>
    <row r="13" spans="1:22" s="2602" customFormat="1" ht="13.15" customHeight="1">
      <c r="A13" s="2645"/>
      <c r="B13" s="2648"/>
      <c r="C13" s="2649" t="s">
        <v>2365</v>
      </c>
      <c r="D13" s="2650"/>
      <c r="E13" s="2651"/>
      <c r="F13" s="2640"/>
      <c r="G13" s="2641"/>
      <c r="H13" s="2597"/>
      <c r="I13" s="2598"/>
      <c r="J13" s="3428"/>
      <c r="K13" s="3430"/>
      <c r="L13" s="2632" t="s">
        <v>2366</v>
      </c>
      <c r="M13" s="2633"/>
      <c r="N13" s="2609"/>
      <c r="O13" s="2634"/>
      <c r="P13" s="2634"/>
      <c r="Q13" s="2635">
        <v>365</v>
      </c>
      <c r="R13" s="2636">
        <f t="shared" si="0"/>
        <v>0</v>
      </c>
      <c r="S13" s="2590"/>
      <c r="T13" s="2590"/>
      <c r="U13" s="2590"/>
      <c r="V13" s="2598"/>
    </row>
    <row r="14" spans="1:22" s="2602" customFormat="1" ht="13.15" customHeight="1">
      <c r="A14" s="2645" t="s">
        <v>2367</v>
      </c>
      <c r="B14" s="3434" t="s">
        <v>2368</v>
      </c>
      <c r="C14" s="3435"/>
      <c r="D14" s="2646">
        <f>ROUND(E14*B5/10000,0)</f>
        <v>0</v>
      </c>
      <c r="E14" s="2635"/>
      <c r="F14" s="2640" t="s">
        <v>2369</v>
      </c>
      <c r="G14" s="2641"/>
      <c r="H14" s="2597"/>
      <c r="I14" s="2598"/>
      <c r="J14" s="3428"/>
      <c r="K14" s="3431"/>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2371</v>
      </c>
      <c r="B15" s="3434" t="s">
        <v>2372</v>
      </c>
      <c r="C15" s="3435"/>
      <c r="D15" s="2646">
        <f>ROUND(D6*E15,0)</f>
        <v>0</v>
      </c>
      <c r="E15" s="2647">
        <v>5.5E-2</v>
      </c>
      <c r="F15" s="2640" t="s">
        <v>2373</v>
      </c>
      <c r="G15" s="2622"/>
      <c r="H15" s="2597"/>
      <c r="I15" s="2598"/>
      <c r="J15" s="3428">
        <v>2</v>
      </c>
      <c r="K15" s="3429"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15" customHeight="1">
      <c r="A16" s="2645" t="s">
        <v>2380</v>
      </c>
      <c r="B16" s="3434" t="s">
        <v>2381</v>
      </c>
      <c r="C16" s="3435"/>
      <c r="D16" s="2657">
        <f>D6*E16</f>
        <v>0</v>
      </c>
      <c r="E16" s="2658"/>
      <c r="F16" s="2643" t="s">
        <v>2382</v>
      </c>
      <c r="G16" s="2622"/>
      <c r="H16" s="2597"/>
      <c r="I16" s="2598"/>
      <c r="J16" s="3428"/>
      <c r="K16" s="3430"/>
      <c r="L16" s="2632" t="s">
        <v>2383</v>
      </c>
      <c r="M16" s="2633"/>
      <c r="N16" s="2633"/>
      <c r="O16" s="2634"/>
      <c r="P16" s="2635">
        <v>365</v>
      </c>
      <c r="Q16" s="2609"/>
      <c r="R16" s="2656">
        <f>ROUND(M16*N16*O16*P16/10000,0)</f>
        <v>0</v>
      </c>
      <c r="S16" s="2590"/>
      <c r="T16" s="2590"/>
      <c r="U16" s="2590"/>
      <c r="V16" s="2598"/>
    </row>
    <row r="17" spans="1:22" s="2602" customFormat="1" ht="13.15" customHeight="1" thickBot="1">
      <c r="A17" s="2659">
        <v>4</v>
      </c>
      <c r="B17" s="3436" t="s">
        <v>2384</v>
      </c>
      <c r="C17" s="3437"/>
      <c r="D17" s="2660">
        <f>ROUND(D6*E17,0)</f>
        <v>0</v>
      </c>
      <c r="E17" s="2661"/>
      <c r="F17" s="2662" t="s">
        <v>2385</v>
      </c>
      <c r="G17" s="2622"/>
      <c r="H17" s="2597"/>
      <c r="I17" s="2598"/>
      <c r="J17" s="3428"/>
      <c r="K17" s="3430"/>
      <c r="L17" s="2632" t="s">
        <v>2386</v>
      </c>
      <c r="M17" s="2633"/>
      <c r="N17" s="2633"/>
      <c r="O17" s="2634"/>
      <c r="P17" s="2635">
        <v>365</v>
      </c>
      <c r="Q17" s="2609"/>
      <c r="R17" s="2656">
        <f>ROUND(M17*N17*O17*P17/10000,0)</f>
        <v>0</v>
      </c>
      <c r="S17" s="2590"/>
      <c r="T17" s="2590"/>
      <c r="U17" s="2590"/>
      <c r="V17" s="2598"/>
    </row>
    <row r="18" spans="1:22" s="2602" customFormat="1" ht="13.15" customHeight="1" thickBot="1">
      <c r="A18" s="2625" t="s">
        <v>2387</v>
      </c>
      <c r="B18" s="2626"/>
      <c r="C18" s="2626"/>
      <c r="D18" s="2663">
        <f>ROUND(D6*E18,0)</f>
        <v>0</v>
      </c>
      <c r="E18" s="2664"/>
      <c r="F18" s="2665" t="s">
        <v>2388</v>
      </c>
      <c r="G18" s="2622"/>
      <c r="H18" s="2597"/>
      <c r="I18" s="2598"/>
      <c r="J18" s="3428"/>
      <c r="K18" s="3430"/>
      <c r="L18" s="2632" t="s">
        <v>2389</v>
      </c>
      <c r="M18" s="2633"/>
      <c r="N18" s="2633"/>
      <c r="O18" s="2634"/>
      <c r="P18" s="2635">
        <v>365</v>
      </c>
      <c r="Q18" s="2609"/>
      <c r="R18" s="2656">
        <f>ROUND(M18*N18*O18*P18/10000,0)</f>
        <v>0</v>
      </c>
      <c r="S18" s="2590"/>
      <c r="T18" s="2590"/>
      <c r="U18" s="2590"/>
      <c r="V18" s="2598"/>
    </row>
    <row r="19" spans="1:22" s="2602" customFormat="1" ht="13.15" customHeight="1" thickBot="1">
      <c r="A19" s="2666" t="s">
        <v>2390</v>
      </c>
      <c r="B19" s="2620"/>
      <c r="C19" s="2620"/>
      <c r="D19" s="2620"/>
      <c r="E19" s="2620"/>
      <c r="F19" s="2621"/>
      <c r="G19" s="2641"/>
      <c r="H19" s="2597"/>
      <c r="I19" s="2598"/>
      <c r="J19" s="3428"/>
      <c r="K19" s="3431"/>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28">
        <v>3</v>
      </c>
      <c r="K20" s="3429"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15" customHeight="1">
      <c r="A21" s="2625"/>
      <c r="B21" s="2626"/>
      <c r="C21" s="2671" t="s">
        <v>2399</v>
      </c>
      <c r="D21" s="2672" t="s">
        <v>2400</v>
      </c>
      <c r="E21" s="2673" t="s">
        <v>2401</v>
      </c>
      <c r="F21" s="2669"/>
      <c r="G21" s="2641"/>
      <c r="H21" s="2597"/>
      <c r="I21" s="2598"/>
      <c r="J21" s="3428"/>
      <c r="K21" s="3430"/>
      <c r="L21" s="2632" t="s">
        <v>2402</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2403</v>
      </c>
      <c r="D22" s="2676" t="s">
        <v>2404</v>
      </c>
      <c r="E22" s="2677" t="s">
        <v>2405</v>
      </c>
      <c r="F22" s="2669"/>
      <c r="G22" s="2590"/>
      <c r="H22" s="2597"/>
      <c r="I22" s="2598"/>
      <c r="J22" s="3428"/>
      <c r="K22" s="3430"/>
      <c r="L22" s="2632" t="s">
        <v>2406</v>
      </c>
      <c r="M22" s="2633"/>
      <c r="N22" s="2633"/>
      <c r="O22" s="2634"/>
      <c r="P22" s="2635">
        <v>365</v>
      </c>
      <c r="Q22" s="2609"/>
      <c r="R22" s="2674">
        <f>ROUND(M22*N22*O22*P22/10000,0)</f>
        <v>0</v>
      </c>
      <c r="S22" s="2590"/>
      <c r="T22" s="2590"/>
      <c r="U22" s="2590"/>
      <c r="V22" s="2598"/>
    </row>
    <row r="23" spans="1:22" s="2602" customFormat="1" ht="13.15" customHeight="1">
      <c r="A23" s="2678">
        <v>1</v>
      </c>
      <c r="B23" s="2679" t="s">
        <v>2407</v>
      </c>
      <c r="C23" s="2680">
        <f>D6</f>
        <v>0</v>
      </c>
      <c r="D23" s="2681">
        <f>C23*(1+D24)</f>
        <v>0</v>
      </c>
      <c r="E23" s="2682">
        <f>D23*(1+E24)</f>
        <v>0</v>
      </c>
      <c r="F23" s="2683"/>
      <c r="G23" s="2684"/>
      <c r="H23" s="2597"/>
      <c r="I23" s="2598"/>
      <c r="J23" s="3428"/>
      <c r="K23" s="3430"/>
      <c r="L23" s="2632" t="s">
        <v>2408</v>
      </c>
      <c r="M23" s="2633"/>
      <c r="N23" s="2633"/>
      <c r="O23" s="2634"/>
      <c r="P23" s="2635">
        <v>365</v>
      </c>
      <c r="Q23" s="2609"/>
      <c r="R23" s="2674">
        <f>ROUND(M23*N23*O23*P23/10000,0)</f>
        <v>0</v>
      </c>
      <c r="S23" s="2590"/>
      <c r="T23" s="2590"/>
      <c r="U23" s="2590"/>
      <c r="V23" s="2598"/>
    </row>
    <row r="24" spans="1:22" s="2602" customFormat="1" ht="13.15" customHeight="1">
      <c r="A24" s="2685"/>
      <c r="B24" s="2686" t="s">
        <v>2409</v>
      </c>
      <c r="C24" s="2687"/>
      <c r="D24" s="2688"/>
      <c r="E24" s="2689"/>
      <c r="F24" s="2690"/>
      <c r="G24" s="2684"/>
      <c r="H24" s="2597"/>
      <c r="I24" s="2598"/>
      <c r="J24" s="3428"/>
      <c r="K24" s="3431"/>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15" customHeight="1">
      <c r="A26" s="2678">
        <v>2</v>
      </c>
      <c r="B26" s="2679" t="s">
        <v>2411</v>
      </c>
      <c r="C26" s="2680">
        <f>D7</f>
        <v>0</v>
      </c>
      <c r="D26" s="2681">
        <f>D23*D27</f>
        <v>0</v>
      </c>
      <c r="E26" s="2682">
        <f>E23*E27</f>
        <v>0</v>
      </c>
      <c r="F26" s="2683"/>
      <c r="G26" s="2684"/>
      <c r="H26" s="2597"/>
      <c r="I26" s="2598"/>
      <c r="J26" s="3438">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15" customHeight="1">
      <c r="A27" s="2685"/>
      <c r="B27" s="2686" t="s">
        <v>2417</v>
      </c>
      <c r="C27" s="2703" t="e">
        <f>E7</f>
        <v>#DIV/0!</v>
      </c>
      <c r="D27" s="2688"/>
      <c r="E27" s="2689"/>
      <c r="F27" s="2690"/>
      <c r="G27" s="2684"/>
      <c r="H27" s="2704"/>
      <c r="I27" s="2696"/>
      <c r="J27" s="3439"/>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1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15" customHeight="1">
      <c r="A32" s="2678">
        <v>4</v>
      </c>
      <c r="B32" s="2679" t="s">
        <v>2425</v>
      </c>
      <c r="C32" s="2680">
        <f>C23-C26-C29</f>
        <v>0</v>
      </c>
      <c r="D32" s="2681">
        <f>D23-D26-D29</f>
        <v>0</v>
      </c>
      <c r="E32" s="2682">
        <f>E23-E26-E29</f>
        <v>0</v>
      </c>
      <c r="F32" s="2683"/>
      <c r="G32" s="2590"/>
      <c r="H32" s="2597"/>
      <c r="I32" s="2598"/>
      <c r="J32" s="3421" t="s">
        <v>2317</v>
      </c>
      <c r="K32" s="3422"/>
      <c r="L32" s="2599" t="s">
        <v>2318</v>
      </c>
      <c r="M32" s="2599" t="s">
        <v>2319</v>
      </c>
      <c r="N32" s="2599" t="s">
        <v>2320</v>
      </c>
      <c r="O32" s="2599" t="s">
        <v>2321</v>
      </c>
      <c r="P32" s="2599" t="s">
        <v>2322</v>
      </c>
      <c r="Q32" s="2600" t="s">
        <v>2323</v>
      </c>
      <c r="R32" s="2719" t="s">
        <v>2324</v>
      </c>
      <c r="S32" s="2590"/>
      <c r="T32" s="2590"/>
      <c r="U32" s="2590"/>
      <c r="V32" s="2696"/>
    </row>
    <row r="33" spans="1:23" s="2602" customFormat="1" ht="13.15" customHeight="1">
      <c r="A33" s="2678"/>
      <c r="B33" s="2679"/>
      <c r="C33" s="2680"/>
      <c r="D33" s="2720"/>
      <c r="E33" s="2721"/>
      <c r="F33" s="2683"/>
      <c r="G33" s="2590"/>
      <c r="H33" s="2704"/>
      <c r="I33" s="2696"/>
      <c r="J33" s="3423" t="s">
        <v>2327</v>
      </c>
      <c r="K33" s="3424"/>
      <c r="L33" s="2605"/>
      <c r="M33" s="2605"/>
      <c r="N33" s="2605"/>
      <c r="O33" s="2605"/>
      <c r="P33" s="2605"/>
      <c r="Q33" s="2606"/>
      <c r="R33" s="2722">
        <f>SUM(L33:Q33)</f>
        <v>0</v>
      </c>
      <c r="S33" s="2590"/>
      <c r="T33" s="2590"/>
      <c r="U33" s="2590"/>
      <c r="V33" s="2598"/>
    </row>
    <row r="34" spans="1:23" s="2602" customFormat="1" ht="13.15" customHeight="1">
      <c r="A34" s="2678">
        <v>5</v>
      </c>
      <c r="B34" s="2679" t="s">
        <v>2426</v>
      </c>
      <c r="C34" s="2723"/>
      <c r="D34" s="2724"/>
      <c r="E34" s="2725"/>
      <c r="F34" s="2683"/>
      <c r="G34" s="2590"/>
      <c r="H34" s="2704"/>
      <c r="I34" s="2696"/>
      <c r="J34" s="3423" t="s">
        <v>2329</v>
      </c>
      <c r="K34" s="3424"/>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15" customHeight="1" thickBot="1">
      <c r="A36" s="2678">
        <v>7</v>
      </c>
      <c r="B36" s="2732" t="s">
        <v>2428</v>
      </c>
      <c r="C36" s="2733"/>
      <c r="D36" s="2734"/>
      <c r="E36" s="2735"/>
      <c r="F36" s="2736">
        <f>C36+D36+E36</f>
        <v>0</v>
      </c>
      <c r="G36" s="2590"/>
      <c r="H36" s="2597"/>
      <c r="I36" s="2598"/>
      <c r="J36" s="3428">
        <v>1</v>
      </c>
      <c r="K36" s="3429" t="s">
        <v>2429</v>
      </c>
      <c r="L36" s="2623"/>
      <c r="M36" s="2624"/>
      <c r="N36" s="2624"/>
      <c r="O36" s="2624"/>
      <c r="P36" s="2624"/>
      <c r="Q36" s="2624"/>
      <c r="R36" s="2607" t="s">
        <v>2341</v>
      </c>
      <c r="S36" s="2590"/>
      <c r="T36" s="2590" t="s">
        <v>2342</v>
      </c>
      <c r="U36" s="2590"/>
      <c r="V36" s="2598"/>
    </row>
    <row r="37" spans="1:23" s="2602" customFormat="1" ht="13.15" customHeight="1">
      <c r="A37" s="2678"/>
      <c r="B37" s="2679"/>
      <c r="C37" s="2679"/>
      <c r="D37" s="2679"/>
      <c r="E37" s="2679"/>
      <c r="F37" s="2683"/>
      <c r="G37" s="2590"/>
      <c r="H37" s="2597"/>
      <c r="I37" s="2598"/>
      <c r="J37" s="3428"/>
      <c r="K37" s="3430"/>
      <c r="L37" s="2632"/>
      <c r="M37" s="2633"/>
      <c r="N37" s="2609"/>
      <c r="O37" s="2634"/>
      <c r="P37" s="2634"/>
      <c r="Q37" s="2635"/>
      <c r="R37" s="2636"/>
      <c r="S37" s="2590"/>
      <c r="T37" s="2590" t="s">
        <v>2345</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28"/>
      <c r="K38" s="3430"/>
      <c r="L38" s="2632"/>
      <c r="M38" s="2633"/>
      <c r="N38" s="2609"/>
      <c r="O38" s="2634"/>
      <c r="P38" s="2634"/>
      <c r="Q38" s="2635"/>
      <c r="R38" s="2636"/>
      <c r="S38" s="2590"/>
      <c r="T38" s="2590" t="s">
        <v>2352</v>
      </c>
      <c r="U38" s="2590"/>
      <c r="V38" s="2598"/>
    </row>
    <row r="39" spans="1:23" s="2602" customFormat="1" ht="13.15" customHeight="1">
      <c r="A39" s="2678">
        <v>9</v>
      </c>
      <c r="B39" s="2679" t="s">
        <v>2430</v>
      </c>
      <c r="C39" s="2646" t="e">
        <f>C38</f>
        <v>#DIV/0!</v>
      </c>
      <c r="D39" s="2679">
        <f>D38/(1+D34)^C36</f>
        <v>0</v>
      </c>
      <c r="E39" s="2679">
        <f>E38/(1+E34)^(C36+D36)</f>
        <v>0</v>
      </c>
      <c r="F39" s="2683"/>
      <c r="G39" s="2598"/>
      <c r="H39" s="2597"/>
      <c r="I39" s="2598"/>
      <c r="J39" s="3428"/>
      <c r="K39" s="3430"/>
      <c r="L39" s="2632"/>
      <c r="M39" s="2633"/>
      <c r="N39" s="2609"/>
      <c r="O39" s="2634"/>
      <c r="P39" s="2634"/>
      <c r="Q39" s="2635"/>
      <c r="R39" s="2636"/>
      <c r="S39" s="2590"/>
      <c r="T39" s="2590"/>
      <c r="U39" s="2590"/>
      <c r="V39" s="2598"/>
    </row>
    <row r="40" spans="1:23" s="2602" customFormat="1" ht="13.15" customHeight="1">
      <c r="A40" s="2737">
        <v>10</v>
      </c>
      <c r="B40" s="2679" t="s">
        <v>2431</v>
      </c>
      <c r="C40" s="2738" t="e">
        <f>C39+D39+E39</f>
        <v>#DIV/0!</v>
      </c>
      <c r="D40" s="2739"/>
      <c r="E40" s="2739"/>
      <c r="F40" s="2740"/>
      <c r="G40" s="2590"/>
      <c r="H40" s="2597"/>
      <c r="I40" s="2598"/>
      <c r="J40" s="3428"/>
      <c r="K40" s="3431"/>
      <c r="L40" s="2652" t="s">
        <v>2370</v>
      </c>
      <c r="M40" s="2653"/>
      <c r="N40" s="2653"/>
      <c r="O40" s="2654"/>
      <c r="P40" s="2654"/>
      <c r="Q40" s="2655"/>
      <c r="R40" s="2601">
        <f>SUM(R37:R39)</f>
        <v>0</v>
      </c>
      <c r="S40" s="2590"/>
      <c r="T40" s="2590"/>
      <c r="U40" s="2590"/>
      <c r="V40" s="2598"/>
    </row>
    <row r="41" spans="1:23" s="2602" customFormat="1" ht="13.1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15" customHeight="1">
      <c r="G42" s="2597"/>
      <c r="H42" s="2597"/>
      <c r="I42" s="2598"/>
      <c r="J42" s="3438">
        <v>3</v>
      </c>
      <c r="K42" s="2698" t="s">
        <v>2412</v>
      </c>
      <c r="L42" s="2699"/>
      <c r="M42" s="2700"/>
      <c r="N42" s="2701" t="s">
        <v>2413</v>
      </c>
      <c r="O42" s="2701" t="s">
        <v>2414</v>
      </c>
      <c r="P42" s="2702" t="s">
        <v>2415</v>
      </c>
      <c r="Q42" s="2702" t="s">
        <v>2416</v>
      </c>
      <c r="R42" s="2607" t="s">
        <v>2341</v>
      </c>
      <c r="S42" s="2641"/>
      <c r="T42" s="2641"/>
      <c r="U42" s="2590"/>
      <c r="V42" s="2598"/>
    </row>
    <row r="43" spans="1:23" ht="13.15" customHeight="1">
      <c r="A43" s="2602"/>
      <c r="B43" s="2602"/>
      <c r="C43" s="2602"/>
      <c r="D43" s="2602"/>
      <c r="E43" s="2602"/>
      <c r="F43" s="2602"/>
      <c r="I43" s="2585"/>
      <c r="J43" s="3439"/>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5">
      <c r="A2" s="1728" t="s">
        <v>1462</v>
      </c>
      <c r="B2" s="811">
        <f ca="1">SUMIF(B6:B13,"&lt;&gt;#ref!",B6:B13)</f>
        <v>135.98179999999999</v>
      </c>
      <c r="C2" s="1729" t="s">
        <v>1651</v>
      </c>
      <c r="D2" s="1730" t="s">
        <v>1652</v>
      </c>
      <c r="E2" s="2391">
        <f>SUM(E6:E13)</f>
        <v>56.87</v>
      </c>
      <c r="F2" s="2477"/>
      <c r="G2" s="459"/>
      <c r="H2" s="459"/>
      <c r="I2" s="459"/>
      <c r="J2" s="459"/>
      <c r="K2" s="459"/>
      <c r="L2" s="459"/>
      <c r="M2" s="459"/>
      <c r="N2" s="459"/>
      <c r="O2" s="459"/>
      <c r="P2" s="459"/>
      <c r="Q2" s="459"/>
      <c r="R2" s="459"/>
      <c r="S2" s="459"/>
    </row>
    <row r="3" spans="1:22" ht="15.5">
      <c r="A3" s="1728" t="s">
        <v>686</v>
      </c>
      <c r="B3" s="2385">
        <f ca="1">ROUND(B2*10000/E2,0)</f>
        <v>23911</v>
      </c>
      <c r="C3" s="1729" t="s">
        <v>1659</v>
      </c>
      <c r="D3" s="2477"/>
      <c r="E3" s="2480"/>
      <c r="F3" s="2477"/>
      <c r="G3" s="459"/>
      <c r="H3" s="459"/>
      <c r="I3" s="459"/>
      <c r="J3" s="459"/>
      <c r="K3" s="459"/>
      <c r="L3" s="459"/>
      <c r="M3" s="459"/>
      <c r="N3" s="459"/>
      <c r="O3" s="459"/>
      <c r="P3" s="459"/>
      <c r="Q3" s="459"/>
      <c r="R3" s="459"/>
      <c r="S3" s="459"/>
    </row>
    <row r="4" spans="1:22" ht="15.5">
      <c r="A4" s="2481"/>
      <c r="B4" s="2477"/>
      <c r="C4" s="2477"/>
      <c r="D4" s="2477"/>
      <c r="E4" s="2480"/>
      <c r="F4" s="2477"/>
      <c r="G4" s="459"/>
      <c r="H4" s="459"/>
      <c r="I4" s="459"/>
      <c r="J4" s="459"/>
      <c r="K4" s="459"/>
      <c r="L4" s="459"/>
      <c r="M4" s="459"/>
      <c r="N4" s="459"/>
      <c r="O4" s="459"/>
      <c r="P4" s="459"/>
      <c r="Q4" s="459"/>
      <c r="R4" s="459"/>
      <c r="S4" s="459"/>
    </row>
    <row r="5" spans="1:22">
      <c r="A5" s="2387" t="s">
        <v>1653</v>
      </c>
      <c r="B5" s="3440" t="s">
        <v>1654</v>
      </c>
      <c r="C5" s="3441"/>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135.98179999999999</v>
      </c>
      <c r="C6" s="1729" t="s">
        <v>1651</v>
      </c>
      <c r="D6" s="2477"/>
      <c r="E6" s="2390">
        <f>IF(OR(A6=0,F6="否"),0,'数据-取费表'!K6+'数据-取费表'!S6)</f>
        <v>56.87</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56.87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c r="A4" s="345" t="s">
        <v>1666</v>
      </c>
      <c r="B4" s="346"/>
      <c r="C4" s="3393" t="s">
        <v>1667</v>
      </c>
      <c r="D4" s="3394"/>
      <c r="E4" s="3395" t="s">
        <v>1668</v>
      </c>
      <c r="F4" s="3396"/>
      <c r="G4" s="3393" t="s">
        <v>1669</v>
      </c>
      <c r="H4" s="3394"/>
      <c r="I4" s="3393" t="s">
        <v>1670</v>
      </c>
      <c r="J4" s="3394"/>
      <c r="K4" s="1744" t="s">
        <v>1671</v>
      </c>
      <c r="L4" s="2484"/>
      <c r="M4" s="2485"/>
      <c r="N4" s="2485"/>
      <c r="O4" s="2485"/>
      <c r="P4" s="3397" t="s">
        <v>1672</v>
      </c>
      <c r="Q4" s="3398"/>
      <c r="R4" s="3379" t="s">
        <v>1668</v>
      </c>
      <c r="S4" s="3380"/>
      <c r="T4" s="3379" t="s">
        <v>1669</v>
      </c>
      <c r="U4" s="3380"/>
      <c r="V4" s="3376" t="s">
        <v>1670</v>
      </c>
      <c r="W4" s="3376"/>
      <c r="X4" s="1265"/>
      <c r="Y4" s="3379" t="s">
        <v>1672</v>
      </c>
      <c r="Z4" s="3380"/>
      <c r="AA4" s="3373" t="s">
        <v>1668</v>
      </c>
      <c r="AB4" s="3373" t="s">
        <v>1669</v>
      </c>
      <c r="AC4" s="3373" t="s">
        <v>1670</v>
      </c>
    </row>
    <row r="5" spans="1:29">
      <c r="A5" s="348"/>
      <c r="B5" s="349"/>
      <c r="C5" s="3385" t="s">
        <v>1673</v>
      </c>
      <c r="D5" s="3386"/>
      <c r="E5" s="3442" t="s">
        <v>1674</v>
      </c>
      <c r="F5" s="3384"/>
      <c r="G5" s="3385" t="s">
        <v>1675</v>
      </c>
      <c r="H5" s="3386"/>
      <c r="I5" s="3385" t="s">
        <v>1676</v>
      </c>
      <c r="J5" s="3386"/>
      <c r="K5" s="1745"/>
      <c r="L5" s="2484"/>
      <c r="M5" s="2485"/>
      <c r="N5" s="2485"/>
      <c r="O5" s="2485"/>
      <c r="P5" s="3399"/>
      <c r="Q5" s="3400"/>
      <c r="R5" s="3381"/>
      <c r="S5" s="3382"/>
      <c r="T5" s="3381"/>
      <c r="U5" s="3382"/>
      <c r="V5" s="3376"/>
      <c r="W5" s="3376"/>
      <c r="X5" s="1265"/>
      <c r="Y5" s="3381"/>
      <c r="Z5" s="3382"/>
      <c r="AA5" s="3374"/>
      <c r="AB5" s="3374"/>
      <c r="AC5" s="3374"/>
    </row>
    <row r="6" spans="1:29" ht="15" thickBot="1">
      <c r="A6" s="350"/>
      <c r="B6" s="351"/>
      <c r="C6" s="3387" t="s">
        <v>1677</v>
      </c>
      <c r="D6" s="3388"/>
      <c r="E6" s="3390" t="s">
        <v>1677</v>
      </c>
      <c r="F6" s="3391"/>
      <c r="G6" s="3387" t="s">
        <v>1677</v>
      </c>
      <c r="H6" s="3388"/>
      <c r="I6" s="3387" t="s">
        <v>1677</v>
      </c>
      <c r="J6" s="3388"/>
      <c r="K6" s="1745" t="s">
        <v>1678</v>
      </c>
      <c r="L6" s="2484"/>
      <c r="M6" s="2485"/>
      <c r="N6" s="2485"/>
      <c r="O6" s="2485"/>
      <c r="P6" s="3401"/>
      <c r="Q6" s="3402"/>
      <c r="R6" s="3381"/>
      <c r="S6" s="3382"/>
      <c r="T6" s="3403"/>
      <c r="U6" s="3404"/>
      <c r="V6" s="3376"/>
      <c r="W6" s="3376"/>
      <c r="X6" s="1265"/>
      <c r="Y6" s="3403"/>
      <c r="Z6" s="3404"/>
      <c r="AA6" s="3375"/>
      <c r="AB6" s="3375"/>
      <c r="AC6" s="3375"/>
    </row>
    <row r="7" spans="1:29" s="102" customFormat="1" ht="14.5" thickBot="1">
      <c r="A7" s="352" t="s">
        <v>1679</v>
      </c>
      <c r="B7" s="353"/>
      <c r="C7" s="354">
        <f>'数据-取费表'!B2</f>
        <v>46003</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77" t="s">
        <v>1680</v>
      </c>
      <c r="Q7" s="3405"/>
      <c r="R7" s="664" t="s">
        <v>20</v>
      </c>
      <c r="S7" s="665">
        <f t="shared" ref="S7:S15" si="0">F7</f>
        <v>0</v>
      </c>
      <c r="T7" s="664" t="s">
        <v>20</v>
      </c>
      <c r="U7" s="665">
        <f t="shared" ref="U7:U15" si="1">H7</f>
        <v>0</v>
      </c>
      <c r="V7" s="664" t="s">
        <v>20</v>
      </c>
      <c r="W7" s="665">
        <f t="shared" ref="W7:W15" si="2">J7</f>
        <v>0</v>
      </c>
      <c r="X7" s="666"/>
      <c r="Y7" s="3377" t="s">
        <v>1680</v>
      </c>
      <c r="Z7" s="337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2"/>
      <c r="Q11" s="530" t="str">
        <f t="shared" si="6"/>
        <v>容积率</v>
      </c>
      <c r="R11" s="664" t="s">
        <v>18</v>
      </c>
      <c r="S11" s="665" t="e">
        <f t="shared" si="0"/>
        <v>#N/A</v>
      </c>
      <c r="T11" s="664" t="s">
        <v>18</v>
      </c>
      <c r="U11" s="665" t="e">
        <f t="shared" si="1"/>
        <v>#N/A</v>
      </c>
      <c r="V11" s="664" t="s">
        <v>18</v>
      </c>
      <c r="W11" s="665" t="e">
        <f t="shared" si="2"/>
        <v>#N/A</v>
      </c>
      <c r="X11" s="666"/>
      <c r="Y11" s="3341"/>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92"/>
      <c r="Q12" s="530">
        <f t="shared" si="6"/>
        <v>111</v>
      </c>
      <c r="R12" s="664" t="s">
        <v>18</v>
      </c>
      <c r="S12" s="665">
        <f t="shared" si="0"/>
        <v>100</v>
      </c>
      <c r="T12" s="664" t="s">
        <v>18</v>
      </c>
      <c r="U12" s="665">
        <f t="shared" si="1"/>
        <v>100</v>
      </c>
      <c r="V12" s="664" t="s">
        <v>18</v>
      </c>
      <c r="W12" s="665">
        <f t="shared" si="2"/>
        <v>100</v>
      </c>
      <c r="X12" s="666"/>
      <c r="Y12" s="3341"/>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2"/>
      <c r="Q13" s="530">
        <f t="shared" si="6"/>
        <v>111</v>
      </c>
      <c r="R13" s="664" t="s">
        <v>18</v>
      </c>
      <c r="S13" s="665">
        <f t="shared" si="0"/>
        <v>100</v>
      </c>
      <c r="T13" s="664" t="s">
        <v>18</v>
      </c>
      <c r="U13" s="665">
        <f t="shared" si="1"/>
        <v>100</v>
      </c>
      <c r="V13" s="664" t="s">
        <v>18</v>
      </c>
      <c r="W13" s="665">
        <f t="shared" si="2"/>
        <v>100</v>
      </c>
      <c r="X13" s="666"/>
      <c r="Y13" s="3341"/>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2"/>
      <c r="Q14" s="530">
        <f t="shared" si="6"/>
        <v>111</v>
      </c>
      <c r="R14" s="664" t="s">
        <v>18</v>
      </c>
      <c r="S14" s="665">
        <f t="shared" si="0"/>
        <v>100</v>
      </c>
      <c r="T14" s="664" t="s">
        <v>18</v>
      </c>
      <c r="U14" s="665">
        <f t="shared" si="1"/>
        <v>100</v>
      </c>
      <c r="V14" s="664" t="s">
        <v>18</v>
      </c>
      <c r="W14" s="665">
        <f t="shared" si="2"/>
        <v>100</v>
      </c>
      <c r="X14" s="666"/>
      <c r="Y14" s="3341"/>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6" t="s">
        <v>1691</v>
      </c>
      <c r="Q15" s="1263" t="str">
        <f t="shared" si="6"/>
        <v>居住社区成熟度</v>
      </c>
      <c r="R15" s="667" t="s">
        <v>18</v>
      </c>
      <c r="S15" s="668">
        <f t="shared" si="0"/>
        <v>100</v>
      </c>
      <c r="T15" s="667" t="s">
        <v>18</v>
      </c>
      <c r="U15" s="668">
        <f t="shared" si="1"/>
        <v>100</v>
      </c>
      <c r="V15" s="667" t="s">
        <v>18</v>
      </c>
      <c r="W15" s="668">
        <f t="shared" si="2"/>
        <v>100</v>
      </c>
      <c r="X15" s="1265"/>
      <c r="Y15" s="3408"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0"/>
      <c r="M16" s="2485"/>
      <c r="N16" s="2485"/>
      <c r="O16" s="2485"/>
      <c r="P16" s="3407"/>
      <c r="Q16" s="1263"/>
      <c r="R16" s="667"/>
      <c r="S16" s="668"/>
      <c r="T16" s="667"/>
      <c r="U16" s="668"/>
      <c r="V16" s="667"/>
      <c r="W16" s="668"/>
      <c r="X16" s="1265"/>
      <c r="Y16" s="3409"/>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7"/>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0"/>
      <c r="M18" s="2485"/>
      <c r="N18" s="2485"/>
      <c r="O18" s="2485"/>
      <c r="P18" s="3407"/>
      <c r="Q18" s="1263"/>
      <c r="R18" s="667"/>
      <c r="S18" s="668"/>
      <c r="T18" s="667"/>
      <c r="U18" s="668"/>
      <c r="V18" s="667"/>
      <c r="W18" s="668"/>
      <c r="X18" s="1265"/>
      <c r="Y18" s="3409"/>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7"/>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0"/>
      <c r="M20" s="2485"/>
      <c r="N20" s="2485"/>
      <c r="O20" s="2485"/>
      <c r="P20" s="3407"/>
      <c r="Q20" s="1263"/>
      <c r="R20" s="667"/>
      <c r="S20" s="668"/>
      <c r="T20" s="667"/>
      <c r="U20" s="668"/>
      <c r="V20" s="667"/>
      <c r="W20" s="668"/>
      <c r="X20" s="1265"/>
      <c r="Y20" s="3409"/>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0"/>
      <c r="M22" s="2485"/>
      <c r="N22" s="2485"/>
      <c r="O22" s="2485"/>
      <c r="P22" s="3407"/>
      <c r="Q22" s="1263"/>
      <c r="R22" s="667"/>
      <c r="S22" s="668"/>
      <c r="T22" s="667"/>
      <c r="U22" s="668"/>
      <c r="V22" s="667"/>
      <c r="W22" s="668"/>
      <c r="X22" s="1265"/>
      <c r="Y22" s="3409"/>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7"/>
      <c r="Q23" s="1263" t="str">
        <f>B23</f>
        <v>自然及人文环境</v>
      </c>
      <c r="R23" s="667" t="s">
        <v>18</v>
      </c>
      <c r="S23" s="668">
        <f>F23</f>
        <v>100</v>
      </c>
      <c r="T23" s="667" t="s">
        <v>18</v>
      </c>
      <c r="U23" s="668">
        <f>H23</f>
        <v>100</v>
      </c>
      <c r="V23" s="667" t="s">
        <v>18</v>
      </c>
      <c r="W23" s="668">
        <f>J23</f>
        <v>100</v>
      </c>
      <c r="X23" s="1265"/>
      <c r="Y23" s="3409"/>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0"/>
      <c r="M24" s="2485"/>
      <c r="N24" s="2485"/>
      <c r="O24" s="2485"/>
      <c r="P24" s="3407"/>
      <c r="Q24" s="1263"/>
      <c r="R24" s="667"/>
      <c r="S24" s="668"/>
      <c r="T24" s="667"/>
      <c r="U24" s="668"/>
      <c r="V24" s="667"/>
      <c r="W24" s="668"/>
      <c r="X24" s="1265"/>
      <c r="Y24" s="3409"/>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07"/>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07"/>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07"/>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07"/>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07"/>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07"/>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10" t="s">
        <v>1696</v>
      </c>
      <c r="Q32" s="1263" t="str">
        <f t="shared" si="11"/>
        <v>建筑类型</v>
      </c>
      <c r="R32" s="667" t="s">
        <v>18</v>
      </c>
      <c r="S32" s="668">
        <f t="shared" si="12"/>
        <v>100</v>
      </c>
      <c r="T32" s="667" t="s">
        <v>18</v>
      </c>
      <c r="U32" s="668">
        <f t="shared" si="13"/>
        <v>100</v>
      </c>
      <c r="V32" s="667" t="s">
        <v>18</v>
      </c>
      <c r="W32" s="668">
        <f t="shared" si="14"/>
        <v>100</v>
      </c>
      <c r="X32" s="1265"/>
      <c r="Y32" s="3413"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11"/>
      <c r="Q33" s="531" t="str">
        <f t="shared" si="11"/>
        <v>项目建筑规模</v>
      </c>
      <c r="R33" s="669" t="s">
        <v>18</v>
      </c>
      <c r="S33" s="670" t="e">
        <f t="shared" si="12"/>
        <v>#N/A</v>
      </c>
      <c r="T33" s="669" t="s">
        <v>18</v>
      </c>
      <c r="U33" s="670" t="e">
        <f t="shared" si="13"/>
        <v>#N/A</v>
      </c>
      <c r="V33" s="669" t="s">
        <v>18</v>
      </c>
      <c r="W33" s="670" t="e">
        <f t="shared" si="14"/>
        <v>#N/A</v>
      </c>
      <c r="X33" s="671"/>
      <c r="Y33" s="3413"/>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11"/>
      <c r="Q37" s="530" t="str">
        <f t="shared" si="11"/>
        <v>成新度</v>
      </c>
      <c r="R37" s="664" t="s">
        <v>18</v>
      </c>
      <c r="S37" s="665" t="e">
        <f t="shared" si="12"/>
        <v>#N/A</v>
      </c>
      <c r="T37" s="664" t="s">
        <v>18</v>
      </c>
      <c r="U37" s="665" t="e">
        <f t="shared" si="13"/>
        <v>#N/A</v>
      </c>
      <c r="V37" s="664" t="s">
        <v>18</v>
      </c>
      <c r="W37" s="665" t="e">
        <f t="shared" si="14"/>
        <v>#N/A</v>
      </c>
      <c r="X37" s="666"/>
      <c r="Y37" s="3413"/>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11" t="s">
        <v>1696</v>
      </c>
      <c r="Q38" s="1263" t="str">
        <f t="shared" si="11"/>
        <v>物业管理</v>
      </c>
      <c r="R38" s="667" t="s">
        <v>18</v>
      </c>
      <c r="S38" s="668">
        <f t="shared" si="12"/>
        <v>100</v>
      </c>
      <c r="T38" s="667" t="s">
        <v>18</v>
      </c>
      <c r="U38" s="668">
        <f t="shared" si="13"/>
        <v>100</v>
      </c>
      <c r="V38" s="667" t="s">
        <v>18</v>
      </c>
      <c r="W38" s="668">
        <f t="shared" si="14"/>
        <v>100</v>
      </c>
      <c r="X38" s="1265"/>
      <c r="Y38" s="3413"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11"/>
      <c r="Q44" s="530">
        <f t="shared" si="11"/>
        <v>111</v>
      </c>
      <c r="R44" s="664" t="s">
        <v>18</v>
      </c>
      <c r="S44" s="665">
        <f t="shared" si="12"/>
        <v>100</v>
      </c>
      <c r="T44" s="664" t="s">
        <v>18</v>
      </c>
      <c r="U44" s="665">
        <f t="shared" si="13"/>
        <v>100</v>
      </c>
      <c r="V44" s="664" t="s">
        <v>18</v>
      </c>
      <c r="W44" s="665">
        <f t="shared" si="14"/>
        <v>100</v>
      </c>
      <c r="X44" s="666"/>
      <c r="Y44" s="3413"/>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2"/>
      <c r="M47" s="2485"/>
      <c r="N47" s="2485"/>
      <c r="O47" s="2485"/>
      <c r="P47" s="3415" t="str">
        <f>A47</f>
        <v>成交单价（元/平方米）</v>
      </c>
      <c r="Q47" s="3415"/>
      <c r="R47" s="3376">
        <f>E47</f>
        <v>0</v>
      </c>
      <c r="S47" s="3376"/>
      <c r="T47" s="3376">
        <f>G47</f>
        <v>0</v>
      </c>
      <c r="U47" s="3376"/>
      <c r="V47" s="3376">
        <f>I47</f>
        <v>0</v>
      </c>
      <c r="W47" s="3376"/>
      <c r="X47" s="385"/>
      <c r="Y47" s="673"/>
      <c r="Z47" s="385"/>
      <c r="AA47" s="385"/>
      <c r="AB47" s="385"/>
      <c r="AC47" s="385"/>
    </row>
    <row r="48" spans="1:29" ht="14.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15" t="str">
        <f>A48</f>
        <v>比较价值（元/平方米）</v>
      </c>
      <c r="Q48" s="341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2"/>
      <c r="M49" s="2485"/>
      <c r="N49" s="2485"/>
      <c r="O49" s="2485"/>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56.87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1769</v>
      </c>
      <c r="B4" s="346"/>
      <c r="C4" s="3393" t="s">
        <v>1770</v>
      </c>
      <c r="D4" s="3394"/>
      <c r="E4" s="3395" t="s">
        <v>1771</v>
      </c>
      <c r="F4" s="3396"/>
      <c r="G4" s="3393" t="s">
        <v>1772</v>
      </c>
      <c r="H4" s="3394"/>
      <c r="I4" s="3393" t="s">
        <v>1773</v>
      </c>
      <c r="J4" s="3394"/>
      <c r="K4" s="537" t="s">
        <v>1774</v>
      </c>
      <c r="L4" s="2484"/>
      <c r="M4" s="2485"/>
      <c r="N4" s="2485"/>
      <c r="O4" s="2485"/>
      <c r="P4" s="3449" t="s">
        <v>1775</v>
      </c>
      <c r="Q4" s="3450"/>
      <c r="R4" s="3444" t="s">
        <v>1771</v>
      </c>
      <c r="S4" s="3445"/>
      <c r="T4" s="3444" t="s">
        <v>1772</v>
      </c>
      <c r="U4" s="3445"/>
      <c r="V4" s="3453" t="s">
        <v>1773</v>
      </c>
      <c r="W4" s="3453"/>
      <c r="X4" s="1809"/>
      <c r="Y4" s="3444" t="s">
        <v>1775</v>
      </c>
      <c r="Z4" s="3445"/>
      <c r="AA4" s="3443" t="s">
        <v>1771</v>
      </c>
      <c r="AB4" s="3443" t="s">
        <v>1772</v>
      </c>
      <c r="AC4" s="3446" t="s">
        <v>1773</v>
      </c>
    </row>
    <row r="5" spans="1:29">
      <c r="A5" s="348"/>
      <c r="B5" s="349"/>
      <c r="C5" s="3385" t="s">
        <v>1673</v>
      </c>
      <c r="D5" s="3386"/>
      <c r="E5" s="3442" t="s">
        <v>1674</v>
      </c>
      <c r="F5" s="3384"/>
      <c r="G5" s="3385" t="s">
        <v>1675</v>
      </c>
      <c r="H5" s="3386"/>
      <c r="I5" s="3385" t="s">
        <v>1676</v>
      </c>
      <c r="J5" s="3386"/>
      <c r="K5" s="537"/>
      <c r="L5" s="2484"/>
      <c r="M5" s="2485"/>
      <c r="N5" s="2485"/>
      <c r="O5" s="2485"/>
      <c r="P5" s="3451"/>
      <c r="Q5" s="3400"/>
      <c r="R5" s="3381"/>
      <c r="S5" s="3382"/>
      <c r="T5" s="3381"/>
      <c r="U5" s="3382"/>
      <c r="V5" s="3376"/>
      <c r="W5" s="3376"/>
      <c r="X5" s="1265"/>
      <c r="Y5" s="3381"/>
      <c r="Z5" s="3382"/>
      <c r="AA5" s="3374"/>
      <c r="AB5" s="3374"/>
      <c r="AC5" s="3447"/>
    </row>
    <row r="6" spans="1:29" ht="15" thickBot="1">
      <c r="A6" s="350"/>
      <c r="B6" s="351"/>
      <c r="C6" s="3387" t="s">
        <v>1677</v>
      </c>
      <c r="D6" s="3388"/>
      <c r="E6" s="3390" t="s">
        <v>1677</v>
      </c>
      <c r="F6" s="3391"/>
      <c r="G6" s="3387" t="s">
        <v>1677</v>
      </c>
      <c r="H6" s="3388"/>
      <c r="I6" s="3387" t="s">
        <v>1677</v>
      </c>
      <c r="J6" s="3388"/>
      <c r="K6" s="537" t="s">
        <v>1678</v>
      </c>
      <c r="L6" s="2484"/>
      <c r="M6" s="2485"/>
      <c r="N6" s="2485"/>
      <c r="O6" s="2485"/>
      <c r="P6" s="3452"/>
      <c r="Q6" s="3402"/>
      <c r="R6" s="3381"/>
      <c r="S6" s="3382"/>
      <c r="T6" s="3403"/>
      <c r="U6" s="3404"/>
      <c r="V6" s="3376"/>
      <c r="W6" s="3376"/>
      <c r="X6" s="1265"/>
      <c r="Y6" s="3403"/>
      <c r="Z6" s="3404"/>
      <c r="AA6" s="3375"/>
      <c r="AB6" s="3375"/>
      <c r="AC6" s="3448"/>
    </row>
    <row r="7" spans="1:29" s="102" customFormat="1" ht="14.5" thickBot="1">
      <c r="A7" s="352" t="s">
        <v>1679</v>
      </c>
      <c r="B7" s="353"/>
      <c r="C7" s="354">
        <f>'数据-取费表'!B2</f>
        <v>46003</v>
      </c>
      <c r="D7" s="355">
        <v>100</v>
      </c>
      <c r="E7" s="356"/>
      <c r="F7" s="357">
        <f>SUMIF(59:59,YEAR(E7)&amp;"-"&amp;MONTH(E7),60:60)</f>
        <v>0</v>
      </c>
      <c r="G7" s="356"/>
      <c r="H7" s="355">
        <f>SUMIF(59:59,YEAR(G7)&amp;"-"&amp;MONTH(G7),60:60)</f>
        <v>0</v>
      </c>
      <c r="I7" s="356"/>
      <c r="J7" s="355">
        <f>SUMIF(59:59,YEAR(I7)&amp;"-"&amp;MONTH(I7),60:60)</f>
        <v>0</v>
      </c>
      <c r="K7" s="38"/>
      <c r="L7" s="2486"/>
      <c r="M7" s="2438"/>
      <c r="N7" s="2438"/>
      <c r="O7" s="2438"/>
      <c r="P7" s="3454"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54"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802">
        <f t="shared" si="5"/>
        <v>1</v>
      </c>
    </row>
    <row r="10" spans="1:29" s="366" customFormat="1" ht="2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2"/>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06" t="s">
        <v>1691</v>
      </c>
      <c r="Q15" s="1263" t="str">
        <f t="shared" si="6"/>
        <v>办公集聚程度</v>
      </c>
      <c r="R15" s="667" t="s">
        <v>14</v>
      </c>
      <c r="S15" s="668">
        <f t="shared" si="0"/>
        <v>100</v>
      </c>
      <c r="T15" s="667" t="s">
        <v>14</v>
      </c>
      <c r="U15" s="668">
        <f t="shared" si="1"/>
        <v>100</v>
      </c>
      <c r="V15" s="667" t="s">
        <v>14</v>
      </c>
      <c r="W15" s="668">
        <f t="shared" si="2"/>
        <v>100</v>
      </c>
      <c r="X15" s="1265"/>
      <c r="Y15" s="3408"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0"/>
      <c r="M16" s="2485"/>
      <c r="N16" s="2485"/>
      <c r="O16" s="2485"/>
      <c r="P16" s="3407"/>
      <c r="Q16" s="1263"/>
      <c r="R16" s="667"/>
      <c r="S16" s="668"/>
      <c r="T16" s="667"/>
      <c r="U16" s="668"/>
      <c r="V16" s="667"/>
      <c r="W16" s="668"/>
      <c r="X16" s="1265"/>
      <c r="Y16" s="3409"/>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0"/>
      <c r="M18" s="2485"/>
      <c r="N18" s="2485"/>
      <c r="O18" s="2485"/>
      <c r="P18" s="3407"/>
      <c r="Q18" s="1263"/>
      <c r="R18" s="667"/>
      <c r="S18" s="668"/>
      <c r="T18" s="667"/>
      <c r="U18" s="668"/>
      <c r="V18" s="667"/>
      <c r="W18" s="668"/>
      <c r="X18" s="1265"/>
      <c r="Y18" s="3409"/>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0"/>
      <c r="M20" s="2485"/>
      <c r="N20" s="2485"/>
      <c r="O20" s="2485"/>
      <c r="P20" s="3407"/>
      <c r="Q20" s="1263"/>
      <c r="R20" s="667"/>
      <c r="S20" s="668"/>
      <c r="T20" s="667"/>
      <c r="U20" s="668"/>
      <c r="V20" s="667"/>
      <c r="W20" s="668"/>
      <c r="X20" s="1265"/>
      <c r="Y20" s="3409"/>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0"/>
      <c r="M22" s="2485"/>
      <c r="N22" s="2485"/>
      <c r="O22" s="2485"/>
      <c r="P22" s="3407"/>
      <c r="Q22" s="1263"/>
      <c r="R22" s="667"/>
      <c r="S22" s="668"/>
      <c r="T22" s="667"/>
      <c r="U22" s="668"/>
      <c r="V22" s="667"/>
      <c r="W22" s="668"/>
      <c r="X22" s="1265"/>
      <c r="Y22" s="3409"/>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07"/>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0"/>
      <c r="M24" s="2485"/>
      <c r="N24" s="2485"/>
      <c r="O24" s="2485"/>
      <c r="P24" s="3407"/>
      <c r="Q24" s="1263"/>
      <c r="R24" s="667"/>
      <c r="S24" s="668"/>
      <c r="T24" s="667"/>
      <c r="U24" s="668"/>
      <c r="V24" s="667"/>
      <c r="W24" s="668"/>
      <c r="X24" s="1265"/>
      <c r="Y24" s="3409"/>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07"/>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0"/>
      <c r="M26" s="2485"/>
      <c r="N26" s="2485"/>
      <c r="O26" s="2485"/>
      <c r="P26" s="3407"/>
      <c r="Q26" s="1263"/>
      <c r="R26" s="667"/>
      <c r="S26" s="668"/>
      <c r="T26" s="667"/>
      <c r="U26" s="668"/>
      <c r="V26" s="667"/>
      <c r="W26" s="668"/>
      <c r="X26" s="1265"/>
      <c r="Y26" s="3409"/>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07"/>
      <c r="Q27" s="1263" t="str">
        <f t="shared" ref="Q27:Q47" si="11">B27</f>
        <v>楼层</v>
      </c>
      <c r="R27" s="667" t="s">
        <v>14</v>
      </c>
      <c r="S27" s="668">
        <f>F27</f>
        <v>100</v>
      </c>
      <c r="T27" s="667" t="s">
        <v>14</v>
      </c>
      <c r="U27" s="668">
        <f>H27</f>
        <v>100</v>
      </c>
      <c r="V27" s="667" t="s">
        <v>14</v>
      </c>
      <c r="W27" s="668">
        <f>J27</f>
        <v>100</v>
      </c>
      <c r="X27" s="1265"/>
      <c r="Y27" s="3409"/>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07"/>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07"/>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07"/>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10" t="s">
        <v>1696</v>
      </c>
      <c r="Q33" s="1263" t="str">
        <f t="shared" si="11"/>
        <v>建筑类型</v>
      </c>
      <c r="R33" s="667" t="s">
        <v>14</v>
      </c>
      <c r="S33" s="668">
        <f t="shared" si="12"/>
        <v>100</v>
      </c>
      <c r="T33" s="667" t="s">
        <v>14</v>
      </c>
      <c r="U33" s="668">
        <f t="shared" si="13"/>
        <v>100</v>
      </c>
      <c r="V33" s="667" t="s">
        <v>14</v>
      </c>
      <c r="W33" s="668">
        <f t="shared" si="14"/>
        <v>100</v>
      </c>
      <c r="X33" s="1265"/>
      <c r="Y33" s="3413"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11"/>
      <c r="Q34" s="531" t="str">
        <f t="shared" si="11"/>
        <v>项目建筑规模</v>
      </c>
      <c r="R34" s="669" t="s">
        <v>14</v>
      </c>
      <c r="S34" s="670" t="e">
        <f t="shared" si="12"/>
        <v>#N/A</v>
      </c>
      <c r="T34" s="669" t="s">
        <v>14</v>
      </c>
      <c r="U34" s="670" t="e">
        <f t="shared" si="13"/>
        <v>#N/A</v>
      </c>
      <c r="V34" s="669" t="s">
        <v>14</v>
      </c>
      <c r="W34" s="670" t="e">
        <f t="shared" si="14"/>
        <v>#N/A</v>
      </c>
      <c r="X34" s="671"/>
      <c r="Y34" s="3413"/>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11"/>
      <c r="Q37" s="1263" t="str">
        <f t="shared" si="11"/>
        <v>成新度</v>
      </c>
      <c r="R37" s="667" t="s">
        <v>14</v>
      </c>
      <c r="S37" s="668" t="e">
        <f t="shared" si="12"/>
        <v>#N/A</v>
      </c>
      <c r="T37" s="667" t="s">
        <v>14</v>
      </c>
      <c r="U37" s="668" t="e">
        <f t="shared" si="13"/>
        <v>#N/A</v>
      </c>
      <c r="V37" s="667" t="s">
        <v>14</v>
      </c>
      <c r="W37" s="668" t="e">
        <f t="shared" si="14"/>
        <v>#N/A</v>
      </c>
      <c r="X37" s="1265"/>
      <c r="Y37" s="3413"/>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11" t="s">
        <v>1696</v>
      </c>
      <c r="Q39" s="1263" t="str">
        <f t="shared" si="11"/>
        <v>物业管理</v>
      </c>
      <c r="R39" s="667" t="s">
        <v>14</v>
      </c>
      <c r="S39" s="668">
        <f t="shared" si="12"/>
        <v>100</v>
      </c>
      <c r="T39" s="667" t="s">
        <v>14</v>
      </c>
      <c r="U39" s="668">
        <f t="shared" si="13"/>
        <v>100</v>
      </c>
      <c r="V39" s="667" t="s">
        <v>14</v>
      </c>
      <c r="W39" s="668">
        <f t="shared" si="14"/>
        <v>100</v>
      </c>
      <c r="X39" s="1265"/>
      <c r="Y39" s="3413"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11"/>
      <c r="Q43" s="1263" t="str">
        <f t="shared" si="11"/>
        <v>内部装修</v>
      </c>
      <c r="R43" s="667" t="s">
        <v>14</v>
      </c>
      <c r="S43" s="668">
        <f t="shared" si="12"/>
        <v>100</v>
      </c>
      <c r="T43" s="667" t="s">
        <v>14</v>
      </c>
      <c r="U43" s="668">
        <f t="shared" si="13"/>
        <v>100</v>
      </c>
      <c r="V43" s="667" t="s">
        <v>14</v>
      </c>
      <c r="W43" s="668">
        <f t="shared" si="14"/>
        <v>100</v>
      </c>
      <c r="X43" s="1265"/>
      <c r="Y43" s="3413"/>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11"/>
      <c r="Q45" s="530">
        <f t="shared" si="11"/>
        <v>111</v>
      </c>
      <c r="R45" s="664" t="s">
        <v>14</v>
      </c>
      <c r="S45" s="665">
        <f t="shared" si="12"/>
        <v>100</v>
      </c>
      <c r="T45" s="664" t="s">
        <v>14</v>
      </c>
      <c r="U45" s="665">
        <f t="shared" si="13"/>
        <v>100</v>
      </c>
      <c r="V45" s="664" t="s">
        <v>14</v>
      </c>
      <c r="W45" s="665">
        <f t="shared" si="14"/>
        <v>100</v>
      </c>
      <c r="X45" s="666"/>
      <c r="Y45" s="3413"/>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2"/>
      <c r="M48" s="2485"/>
      <c r="N48" s="2485"/>
      <c r="O48" s="2485"/>
      <c r="P48" s="3392" t="str">
        <f>A48</f>
        <v>成交单价（元/平方米）</v>
      </c>
      <c r="Q48" s="3415"/>
      <c r="R48" s="3376">
        <f>E48</f>
        <v>0</v>
      </c>
      <c r="S48" s="3376"/>
      <c r="T48" s="3376">
        <f>G48</f>
        <v>0</v>
      </c>
      <c r="U48" s="3376"/>
      <c r="V48" s="3376">
        <f>I48</f>
        <v>0</v>
      </c>
      <c r="W48" s="3376"/>
      <c r="X48" s="385"/>
      <c r="Y48" s="673"/>
      <c r="Z48" s="385"/>
      <c r="AA48" s="385"/>
      <c r="AB48" s="385"/>
      <c r="AC48" s="555"/>
    </row>
    <row r="49" spans="1:29" ht="14.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92" t="str">
        <f>A49</f>
        <v>比较价值（元/平方米）</v>
      </c>
      <c r="Q49" s="3415"/>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2"/>
      <c r="M50" s="2485"/>
      <c r="N50" s="2485"/>
      <c r="O50" s="2485"/>
      <c r="P50" s="3455" t="str">
        <f>A50</f>
        <v>估价对象XX用房的比较价值（楼面单价，元/平方米）</v>
      </c>
      <c r="Q50" s="3456"/>
      <c r="R50" s="3457" t="e">
        <f>IF(F1="售价",ROUND(IF(D49="简单平均",AVERAGE(R49:V49),R49*F49+T49*H49+V49*J49),0),ROUND(IF(D49="简单平均",AVERAGE(R49:V49),R49*F49+T49*H49+V49*J49),1))</f>
        <v>#DIV/0!</v>
      </c>
      <c r="S50" s="3457"/>
      <c r="T50" s="3457"/>
      <c r="U50" s="3457"/>
      <c r="V50" s="3457"/>
      <c r="W50" s="3457"/>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4.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56.87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379" t="s">
        <v>1771</v>
      </c>
      <c r="S4" s="3380"/>
      <c r="T4" s="3379" t="s">
        <v>1772</v>
      </c>
      <c r="U4" s="3380"/>
      <c r="V4" s="3376" t="s">
        <v>1773</v>
      </c>
      <c r="W4" s="3376"/>
      <c r="X4" s="1265"/>
      <c r="Y4" s="3379" t="s">
        <v>1775</v>
      </c>
      <c r="Z4" s="3380"/>
      <c r="AA4" s="3373" t="s">
        <v>1771</v>
      </c>
      <c r="AB4" s="3374" t="s">
        <v>1772</v>
      </c>
      <c r="AC4" s="3373" t="s">
        <v>1773</v>
      </c>
    </row>
    <row r="5" spans="1:29">
      <c r="A5" s="348"/>
      <c r="B5" s="349"/>
      <c r="C5" s="3385" t="s">
        <v>1673</v>
      </c>
      <c r="D5" s="3386"/>
      <c r="E5" s="3442" t="s">
        <v>1674</v>
      </c>
      <c r="F5" s="3384"/>
      <c r="G5" s="3385" t="s">
        <v>1675</v>
      </c>
      <c r="H5" s="3386"/>
      <c r="I5" s="3385" t="s">
        <v>1676</v>
      </c>
      <c r="J5" s="3386"/>
      <c r="K5" s="537"/>
      <c r="L5" s="860"/>
      <c r="M5" s="861"/>
      <c r="N5" s="861"/>
      <c r="O5" s="861"/>
      <c r="P5" s="3399"/>
      <c r="Q5" s="3400"/>
      <c r="R5" s="3381"/>
      <c r="S5" s="3382"/>
      <c r="T5" s="3381"/>
      <c r="U5" s="3382"/>
      <c r="V5" s="3376"/>
      <c r="W5" s="3376"/>
      <c r="X5" s="1265"/>
      <c r="Y5" s="3381"/>
      <c r="Z5" s="3382"/>
      <c r="AA5" s="3374"/>
      <c r="AB5" s="3374"/>
      <c r="AC5" s="3374"/>
    </row>
    <row r="6" spans="1:29" ht="15" thickBot="1">
      <c r="A6" s="350"/>
      <c r="B6" s="351"/>
      <c r="C6" s="3387" t="s">
        <v>1677</v>
      </c>
      <c r="D6" s="3388"/>
      <c r="E6" s="3390" t="s">
        <v>1677</v>
      </c>
      <c r="F6" s="3391"/>
      <c r="G6" s="3387" t="s">
        <v>1677</v>
      </c>
      <c r="H6" s="3388"/>
      <c r="I6" s="3387" t="s">
        <v>1677</v>
      </c>
      <c r="J6" s="3388"/>
      <c r="K6" s="537" t="s">
        <v>1678</v>
      </c>
      <c r="L6" s="860"/>
      <c r="M6" s="861"/>
      <c r="N6" s="861"/>
      <c r="O6" s="861"/>
      <c r="P6" s="3401"/>
      <c r="Q6" s="3402"/>
      <c r="R6" s="3381"/>
      <c r="S6" s="3382"/>
      <c r="T6" s="3403"/>
      <c r="U6" s="3404"/>
      <c r="V6" s="3376"/>
      <c r="W6" s="3376"/>
      <c r="X6" s="1265"/>
      <c r="Y6" s="3403"/>
      <c r="Z6" s="3404"/>
      <c r="AA6" s="3375"/>
      <c r="AB6" s="3375"/>
      <c r="AC6" s="3375"/>
    </row>
    <row r="7" spans="1:29" s="102" customFormat="1" ht="14.5" thickBot="1">
      <c r="A7" s="352" t="s">
        <v>1679</v>
      </c>
      <c r="B7" s="353"/>
      <c r="C7" s="354">
        <f>'数据-取费表'!B2</f>
        <v>46003</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8" t="s">
        <v>1696</v>
      </c>
      <c r="Q29" s="1263" t="str">
        <f t="shared" si="11"/>
        <v>建筑类型</v>
      </c>
      <c r="R29" s="667" t="s">
        <v>14</v>
      </c>
      <c r="S29" s="668">
        <f t="shared" si="12"/>
        <v>100</v>
      </c>
      <c r="T29" s="667" t="s">
        <v>14</v>
      </c>
      <c r="U29" s="668">
        <f t="shared" si="13"/>
        <v>100</v>
      </c>
      <c r="V29" s="667" t="s">
        <v>14</v>
      </c>
      <c r="W29" s="668">
        <f t="shared" si="14"/>
        <v>100</v>
      </c>
      <c r="X29" s="1265"/>
      <c r="Y29" s="3413"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1696</v>
      </c>
      <c r="Q35" s="1263" t="str">
        <f t="shared" si="11"/>
        <v>市政基础设施</v>
      </c>
      <c r="R35" s="667" t="s">
        <v>14</v>
      </c>
      <c r="S35" s="668">
        <f t="shared" si="12"/>
        <v>100</v>
      </c>
      <c r="T35" s="667" t="s">
        <v>14</v>
      </c>
      <c r="U35" s="668">
        <f t="shared" si="13"/>
        <v>100</v>
      </c>
      <c r="V35" s="667" t="s">
        <v>14</v>
      </c>
      <c r="W35" s="668">
        <f t="shared" si="14"/>
        <v>100</v>
      </c>
      <c r="X35" s="1265"/>
      <c r="Y35" s="3413"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5" t="str">
        <f>A41</f>
        <v>成交单价（元/平方米）</v>
      </c>
      <c r="Q41" s="3415"/>
      <c r="R41" s="3376">
        <f>E41</f>
        <v>0</v>
      </c>
      <c r="S41" s="3376"/>
      <c r="T41" s="3376">
        <f>G41</f>
        <v>0</v>
      </c>
      <c r="U41" s="3376"/>
      <c r="V41" s="3376">
        <f>I41</f>
        <v>0</v>
      </c>
      <c r="W41" s="3376"/>
      <c r="X41" s="385"/>
      <c r="Y41" s="673"/>
      <c r="Z41" s="385"/>
      <c r="AA41" s="385"/>
      <c r="AB41" s="385"/>
      <c r="AC41" s="385"/>
    </row>
    <row r="42" spans="1:29" ht="14.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15" t="str">
        <f>A42</f>
        <v>比较价值（元/平方米）</v>
      </c>
      <c r="Q42" s="341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6"/>
      <c r="O54" s="2537"/>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受贵公司委托，我公司对北京市朝阳区望京街9号商业楼1层1025房地产抵押价值进行了预评估。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估价对象为北京市朝阳区望京街9号商业楼1层1025房地产，为王淑红所有。根据《国有土地使用证》[]，估价对象（分摊）出让国有建设用地使用权面积为0平方米，建筑面积为56.87平方米。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街9号商业楼1层1025房地产,属王淑红开发建设的商业项目，该项目尚在开发建设中。根据《国有土地使用证》[]，估价对象（分摊）出让国有建设用地使用权面积为0平方米，规划建筑面积为56.87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2025年12月12日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12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379" t="s">
        <v>1771</v>
      </c>
      <c r="S4" s="3380"/>
      <c r="T4" s="3379" t="s">
        <v>1772</v>
      </c>
      <c r="U4" s="3380"/>
      <c r="V4" s="3376" t="s">
        <v>1773</v>
      </c>
      <c r="W4" s="3376"/>
      <c r="X4" s="1265"/>
      <c r="Y4" s="3379" t="s">
        <v>1775</v>
      </c>
      <c r="Z4" s="3380"/>
      <c r="AA4" s="3373" t="s">
        <v>1771</v>
      </c>
      <c r="AB4" s="3374" t="s">
        <v>1772</v>
      </c>
      <c r="AC4" s="3373" t="s">
        <v>1773</v>
      </c>
    </row>
    <row r="5" spans="1:29">
      <c r="A5" s="348"/>
      <c r="B5" s="349"/>
      <c r="C5" s="3385" t="s">
        <v>1673</v>
      </c>
      <c r="D5" s="3386"/>
      <c r="E5" s="3442" t="s">
        <v>1674</v>
      </c>
      <c r="F5" s="3384"/>
      <c r="G5" s="3385" t="s">
        <v>1675</v>
      </c>
      <c r="H5" s="3386"/>
      <c r="I5" s="3385" t="s">
        <v>1676</v>
      </c>
      <c r="J5" s="3386"/>
      <c r="K5" s="537"/>
      <c r="L5" s="2484"/>
      <c r="M5" s="2485"/>
      <c r="N5" s="2485"/>
      <c r="O5" s="2485"/>
      <c r="P5" s="3399"/>
      <c r="Q5" s="3400"/>
      <c r="R5" s="3381"/>
      <c r="S5" s="3382"/>
      <c r="T5" s="3381"/>
      <c r="U5" s="3382"/>
      <c r="V5" s="3376"/>
      <c r="W5" s="3376"/>
      <c r="X5" s="1265"/>
      <c r="Y5" s="3381"/>
      <c r="Z5" s="3382"/>
      <c r="AA5" s="3374"/>
      <c r="AB5" s="3374"/>
      <c r="AC5" s="3374"/>
    </row>
    <row r="6" spans="1:29" ht="15" thickBot="1">
      <c r="A6" s="350"/>
      <c r="B6" s="351"/>
      <c r="C6" s="3387" t="s">
        <v>1677</v>
      </c>
      <c r="D6" s="3388"/>
      <c r="E6" s="3390" t="s">
        <v>1677</v>
      </c>
      <c r="F6" s="3391"/>
      <c r="G6" s="3387" t="s">
        <v>1677</v>
      </c>
      <c r="H6" s="3388"/>
      <c r="I6" s="3387" t="s">
        <v>1677</v>
      </c>
      <c r="J6" s="3388"/>
      <c r="K6" s="537" t="s">
        <v>1678</v>
      </c>
      <c r="L6" s="2484"/>
      <c r="M6" s="2485"/>
      <c r="N6" s="2485"/>
      <c r="O6" s="2485"/>
      <c r="P6" s="3401"/>
      <c r="Q6" s="3402"/>
      <c r="R6" s="3381"/>
      <c r="S6" s="3382"/>
      <c r="T6" s="3403"/>
      <c r="U6" s="3404"/>
      <c r="V6" s="3376"/>
      <c r="W6" s="3376"/>
      <c r="X6" s="1265"/>
      <c r="Y6" s="3403"/>
      <c r="Z6" s="3404"/>
      <c r="AA6" s="3375"/>
      <c r="AB6" s="3375"/>
      <c r="AC6" s="3375"/>
    </row>
    <row r="7" spans="1:29" s="102" customFormat="1" ht="14.5" thickBot="1">
      <c r="A7" s="352" t="s">
        <v>1679</v>
      </c>
      <c r="B7" s="353"/>
      <c r="C7" s="354">
        <f>'数据-取费表'!B2</f>
        <v>46003</v>
      </c>
      <c r="D7" s="355">
        <v>100</v>
      </c>
      <c r="E7" s="356"/>
      <c r="F7" s="357">
        <f>SUMIF(48:48,YEAR(E7)&amp;"-"&amp;MONTH(E7),49:49)</f>
        <v>0</v>
      </c>
      <c r="G7" s="356"/>
      <c r="H7" s="355">
        <f>SUMIF(48:48,YEAR(G7)&amp;"-"&amp;MONTH(G7),49:49)</f>
        <v>0</v>
      </c>
      <c r="I7" s="356"/>
      <c r="J7" s="355">
        <f>SUMIF(48:48,YEAR(I7)&amp;"-"&amp;MONTH(I7),49:49)</f>
        <v>0</v>
      </c>
      <c r="K7" s="38"/>
      <c r="L7" s="2486"/>
      <c r="M7" s="2438"/>
      <c r="N7" s="2438"/>
      <c r="O7" s="2438"/>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5"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5"/>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5"/>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5"/>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5"/>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0"/>
      <c r="M15" s="2485"/>
      <c r="N15" s="2485"/>
      <c r="O15" s="2485"/>
      <c r="P15" s="3409"/>
      <c r="Q15" s="1263"/>
      <c r="R15" s="667"/>
      <c r="S15" s="668"/>
      <c r="T15" s="667"/>
      <c r="U15" s="668"/>
      <c r="V15" s="667"/>
      <c r="W15" s="668"/>
      <c r="X15" s="1265"/>
      <c r="Y15" s="3409"/>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0"/>
      <c r="M17" s="2485"/>
      <c r="N17" s="2485"/>
      <c r="O17" s="2485"/>
      <c r="P17" s="3409"/>
      <c r="Q17" s="1263"/>
      <c r="R17" s="667"/>
      <c r="S17" s="668"/>
      <c r="T17" s="667"/>
      <c r="U17" s="668"/>
      <c r="V17" s="667"/>
      <c r="W17" s="668"/>
      <c r="X17" s="1265"/>
      <c r="Y17" s="3409"/>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0"/>
      <c r="M19" s="2485"/>
      <c r="N19" s="2485"/>
      <c r="O19" s="2485"/>
      <c r="P19" s="3409"/>
      <c r="Q19" s="1263"/>
      <c r="R19" s="667"/>
      <c r="S19" s="668"/>
      <c r="T19" s="667"/>
      <c r="U19" s="668"/>
      <c r="V19" s="667"/>
      <c r="W19" s="668"/>
      <c r="X19" s="1265"/>
      <c r="Y19" s="3409"/>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0"/>
      <c r="M21" s="2485"/>
      <c r="N21" s="2485"/>
      <c r="O21" s="2485"/>
      <c r="P21" s="3409"/>
      <c r="Q21" s="1263"/>
      <c r="R21" s="667"/>
      <c r="S21" s="668"/>
      <c r="T21" s="667"/>
      <c r="U21" s="668"/>
      <c r="V21" s="667"/>
      <c r="W21" s="668"/>
      <c r="X21" s="1265"/>
      <c r="Y21" s="3409"/>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3"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3"/>
      <c r="Q29" s="1263" t="str">
        <f t="shared" si="11"/>
        <v>成新率</v>
      </c>
      <c r="R29" s="667" t="s">
        <v>14</v>
      </c>
      <c r="S29" s="668" t="e">
        <f t="shared" si="12"/>
        <v>#N/A</v>
      </c>
      <c r="T29" s="667" t="s">
        <v>14</v>
      </c>
      <c r="U29" s="668" t="e">
        <f t="shared" si="13"/>
        <v>#N/A</v>
      </c>
      <c r="V29" s="667" t="s">
        <v>14</v>
      </c>
      <c r="W29" s="668" t="e">
        <f t="shared" si="14"/>
        <v>#N/A</v>
      </c>
      <c r="X29" s="1265"/>
      <c r="Y29" s="3413"/>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3"/>
      <c r="Q31" s="530" t="str">
        <f t="shared" si="11"/>
        <v>停车位面积</v>
      </c>
      <c r="R31" s="664" t="s">
        <v>14</v>
      </c>
      <c r="S31" s="665" t="e">
        <f t="shared" si="12"/>
        <v>#N/A</v>
      </c>
      <c r="T31" s="664" t="s">
        <v>14</v>
      </c>
      <c r="U31" s="665" t="e">
        <f t="shared" si="13"/>
        <v>#N/A</v>
      </c>
      <c r="V31" s="664" t="s">
        <v>14</v>
      </c>
      <c r="W31" s="665" t="e">
        <f t="shared" si="14"/>
        <v>#N/A</v>
      </c>
      <c r="X31" s="666"/>
      <c r="Y31" s="3413"/>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3" t="s">
        <v>1696</v>
      </c>
      <c r="Q32" s="1263" t="str">
        <f t="shared" si="11"/>
        <v>车位类型</v>
      </c>
      <c r="R32" s="667" t="s">
        <v>14</v>
      </c>
      <c r="S32" s="668">
        <f t="shared" si="12"/>
        <v>100</v>
      </c>
      <c r="T32" s="667" t="s">
        <v>14</v>
      </c>
      <c r="U32" s="668">
        <f t="shared" si="13"/>
        <v>100</v>
      </c>
      <c r="V32" s="667" t="s">
        <v>14</v>
      </c>
      <c r="W32" s="668">
        <f t="shared" si="14"/>
        <v>100</v>
      </c>
      <c r="X32" s="1265"/>
      <c r="Y32" s="3413"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c r="A37" s="416" t="s">
        <v>1844</v>
      </c>
      <c r="B37" s="1821" t="s">
        <v>3351</v>
      </c>
      <c r="C37" s="1081" t="s">
        <v>0</v>
      </c>
      <c r="D37" s="418"/>
      <c r="E37" s="419"/>
      <c r="F37" s="420"/>
      <c r="G37" s="421"/>
      <c r="H37" s="422"/>
      <c r="I37" s="419"/>
      <c r="J37" s="422"/>
      <c r="K37" s="545"/>
      <c r="L37" s="2492"/>
      <c r="M37" s="2485"/>
      <c r="N37" s="2485"/>
      <c r="O37" s="2485"/>
      <c r="P37" s="3415" t="str">
        <f>A37</f>
        <v>成交单价</v>
      </c>
      <c r="Q37" s="3415"/>
      <c r="R37" s="3376">
        <f>E37</f>
        <v>0</v>
      </c>
      <c r="S37" s="3376"/>
      <c r="T37" s="3376">
        <f>G37</f>
        <v>0</v>
      </c>
      <c r="U37" s="3376"/>
      <c r="V37" s="3376">
        <f>I37</f>
        <v>0</v>
      </c>
      <c r="W37" s="3376"/>
      <c r="X37" s="385"/>
      <c r="Y37" s="673"/>
      <c r="Z37" s="385"/>
      <c r="AA37" s="385"/>
      <c r="AB37" s="385"/>
      <c r="AC37" s="385"/>
    </row>
    <row r="38" spans="1:29" ht="14.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15" t="str">
        <f>A38</f>
        <v>比较价值（元/平方米）</v>
      </c>
      <c r="Q38" s="341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2"/>
      <c r="M39" s="2485"/>
      <c r="N39" s="2485"/>
      <c r="O39" s="2485"/>
      <c r="P39" s="3416" t="str">
        <f>A39</f>
        <v>估价对象XX用房的比较价值（楼面单价，元/平方米）</v>
      </c>
      <c r="Q39" s="3417"/>
      <c r="R39" s="3459" t="e">
        <f>IF(F1="售价",ROUND(IF(D38="简单平均",AVERAGE(R38:W38),R38*F38+T38*H38+V38*J38),0),ROUND(IF(D38="简单平均",AVERAGE(R38:V38),R38*F38+T38*H38+V38*J38),1))</f>
        <v>#DIV/0!</v>
      </c>
      <c r="S39" s="3459"/>
      <c r="T39" s="3459"/>
      <c r="U39" s="3459"/>
      <c r="V39" s="3459"/>
      <c r="W39" s="345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4.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8.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4.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4.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4.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4.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8.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4.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4.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4.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4.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4.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379" t="s">
        <v>1771</v>
      </c>
      <c r="S4" s="3380"/>
      <c r="T4" s="3379" t="s">
        <v>1772</v>
      </c>
      <c r="U4" s="3380"/>
      <c r="V4" s="3376" t="s">
        <v>1773</v>
      </c>
      <c r="W4" s="3376"/>
      <c r="X4" s="1265"/>
      <c r="Y4" s="3379" t="s">
        <v>1775</v>
      </c>
      <c r="Z4" s="3380"/>
      <c r="AA4" s="3373" t="s">
        <v>1771</v>
      </c>
      <c r="AB4" s="3374" t="s">
        <v>1772</v>
      </c>
      <c r="AC4" s="3373" t="s">
        <v>1773</v>
      </c>
    </row>
    <row r="5" spans="1:29">
      <c r="A5" s="348"/>
      <c r="B5" s="349"/>
      <c r="C5" s="3385" t="s">
        <v>1673</v>
      </c>
      <c r="D5" s="3386"/>
      <c r="E5" s="3442" t="s">
        <v>1674</v>
      </c>
      <c r="F5" s="3384"/>
      <c r="G5" s="3385" t="s">
        <v>1675</v>
      </c>
      <c r="H5" s="3386"/>
      <c r="I5" s="3385" t="s">
        <v>1676</v>
      </c>
      <c r="J5" s="3386"/>
      <c r="K5" s="537"/>
      <c r="L5" s="2484"/>
      <c r="M5" s="2485"/>
      <c r="N5" s="2485"/>
      <c r="O5" s="2485"/>
      <c r="P5" s="3399"/>
      <c r="Q5" s="3400"/>
      <c r="R5" s="3381"/>
      <c r="S5" s="3382"/>
      <c r="T5" s="3381"/>
      <c r="U5" s="3382"/>
      <c r="V5" s="3376"/>
      <c r="W5" s="3376"/>
      <c r="X5" s="1265"/>
      <c r="Y5" s="3381"/>
      <c r="Z5" s="3382"/>
      <c r="AA5" s="3374"/>
      <c r="AB5" s="3374"/>
      <c r="AC5" s="3374"/>
    </row>
    <row r="6" spans="1:29" ht="15" thickBot="1">
      <c r="A6" s="350"/>
      <c r="B6" s="351"/>
      <c r="C6" s="3387" t="s">
        <v>1677</v>
      </c>
      <c r="D6" s="3388"/>
      <c r="E6" s="3390" t="s">
        <v>1677</v>
      </c>
      <c r="F6" s="3391"/>
      <c r="G6" s="3387" t="s">
        <v>1677</v>
      </c>
      <c r="H6" s="3388"/>
      <c r="I6" s="3387" t="s">
        <v>1677</v>
      </c>
      <c r="J6" s="3388"/>
      <c r="K6" s="537" t="s">
        <v>1678</v>
      </c>
      <c r="L6" s="2484"/>
      <c r="M6" s="2485"/>
      <c r="N6" s="2485"/>
      <c r="O6" s="2485"/>
      <c r="P6" s="3401"/>
      <c r="Q6" s="3402"/>
      <c r="R6" s="3381"/>
      <c r="S6" s="3382"/>
      <c r="T6" s="3403"/>
      <c r="U6" s="3404"/>
      <c r="V6" s="3376"/>
      <c r="W6" s="3376"/>
      <c r="X6" s="1265"/>
      <c r="Y6" s="3403"/>
      <c r="Z6" s="3404"/>
      <c r="AA6" s="3375"/>
      <c r="AB6" s="3375"/>
      <c r="AC6" s="3375"/>
    </row>
    <row r="7" spans="1:29" s="102" customFormat="1" ht="14.5" thickBot="1">
      <c r="A7" s="352" t="s">
        <v>1679</v>
      </c>
      <c r="B7" s="353"/>
      <c r="C7" s="354">
        <f>'数据-取费表'!B2</f>
        <v>46003</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15"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5"/>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5"/>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5"/>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0"/>
      <c r="M15" s="2485"/>
      <c r="N15" s="2485"/>
      <c r="O15" s="2540"/>
      <c r="P15" s="3409"/>
      <c r="Q15" s="1263"/>
      <c r="R15" s="667"/>
      <c r="S15" s="668"/>
      <c r="T15" s="667"/>
      <c r="U15" s="668"/>
      <c r="V15" s="667"/>
      <c r="W15" s="668"/>
      <c r="X15" s="1265"/>
      <c r="Y15" s="3409"/>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0"/>
      <c r="M17" s="2485"/>
      <c r="N17" s="2485"/>
      <c r="O17" s="2540"/>
      <c r="P17" s="3409"/>
      <c r="Q17" s="1263"/>
      <c r="R17" s="667"/>
      <c r="S17" s="668"/>
      <c r="T17" s="667"/>
      <c r="U17" s="668"/>
      <c r="V17" s="667"/>
      <c r="W17" s="668"/>
      <c r="X17" s="1265"/>
      <c r="Y17" s="3409"/>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0"/>
      <c r="M19" s="2485"/>
      <c r="N19" s="2485"/>
      <c r="O19" s="2540"/>
      <c r="P19" s="3409"/>
      <c r="Q19" s="1263"/>
      <c r="R19" s="667"/>
      <c r="S19" s="668"/>
      <c r="T19" s="667"/>
      <c r="U19" s="668"/>
      <c r="V19" s="667"/>
      <c r="W19" s="668"/>
      <c r="X19" s="1265"/>
      <c r="Y19" s="3409"/>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0"/>
      <c r="M21" s="2485"/>
      <c r="N21" s="2485"/>
      <c r="O21" s="2540"/>
      <c r="P21" s="3409"/>
      <c r="Q21" s="1263"/>
      <c r="R21" s="667"/>
      <c r="S21" s="668"/>
      <c r="T21" s="667"/>
      <c r="U21" s="668"/>
      <c r="V21" s="667"/>
      <c r="W21" s="668"/>
      <c r="X21" s="1265"/>
      <c r="Y21" s="3409"/>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3" t="s">
        <v>1696</v>
      </c>
      <c r="Q32" s="1263">
        <f t="shared" si="11"/>
        <v>111</v>
      </c>
      <c r="R32" s="667" t="s">
        <v>14</v>
      </c>
      <c r="S32" s="668">
        <f t="shared" si="12"/>
        <v>100</v>
      </c>
      <c r="T32" s="667" t="s">
        <v>14</v>
      </c>
      <c r="U32" s="668">
        <f t="shared" si="13"/>
        <v>100</v>
      </c>
      <c r="V32" s="667" t="s">
        <v>14</v>
      </c>
      <c r="W32" s="668">
        <f t="shared" si="14"/>
        <v>100</v>
      </c>
      <c r="X32" s="1265"/>
      <c r="Y32" s="3413"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2"/>
      <c r="M35" s="2485"/>
      <c r="N35" s="2485"/>
      <c r="O35" s="2485"/>
      <c r="P35" s="3415" t="str">
        <f>A35</f>
        <v>成交单价（元/平方米）</v>
      </c>
      <c r="Q35" s="3415"/>
      <c r="R35" s="3376">
        <f>E35</f>
        <v>0</v>
      </c>
      <c r="S35" s="3376"/>
      <c r="T35" s="3376">
        <f>G35</f>
        <v>0</v>
      </c>
      <c r="U35" s="3376"/>
      <c r="V35" s="3376">
        <f>I35</f>
        <v>0</v>
      </c>
      <c r="W35" s="3376"/>
      <c r="X35" s="385"/>
      <c r="Y35" s="673"/>
      <c r="Z35" s="385"/>
      <c r="AA35" s="385"/>
      <c r="AB35" s="385"/>
      <c r="AC35" s="385"/>
    </row>
    <row r="36" spans="1:30" ht="14.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15" t="str">
        <f>A36</f>
        <v>比较价值（元/平方米）</v>
      </c>
      <c r="Q36" s="341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2"/>
      <c r="M37" s="2485"/>
      <c r="N37" s="2485"/>
      <c r="O37" s="2485"/>
      <c r="P37" s="3416" t="str">
        <f>A37</f>
        <v>估价对象XX用房的比较价值（楼面单价，元/平方米）</v>
      </c>
      <c r="Q37" s="3417"/>
      <c r="R37" s="3459" t="e">
        <f>IF(F1="售价",ROUND(IF(D36="简单平均",AVERAGE(R36:W36),R36*F36+T36*H36+V36*J36),0),ROUND(IF(D36="简单平均",AVERAGE(R36:V36),R36*F36+T36*H36+V36*J36),1))</f>
        <v>#DIV/0!</v>
      </c>
      <c r="S37" s="3459"/>
      <c r="T37" s="3459"/>
      <c r="U37" s="3459"/>
      <c r="V37" s="3459"/>
      <c r="W37" s="345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4.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8.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8.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4.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4.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4.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4.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4.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4.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4.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379" t="s">
        <v>1771</v>
      </c>
      <c r="S4" s="3380"/>
      <c r="T4" s="3379" t="s">
        <v>1772</v>
      </c>
      <c r="U4" s="3380"/>
      <c r="V4" s="3376" t="s">
        <v>1773</v>
      </c>
      <c r="W4" s="3376"/>
      <c r="X4" s="1265"/>
      <c r="Y4" s="3379" t="s">
        <v>1775</v>
      </c>
      <c r="Z4" s="3380"/>
      <c r="AA4" s="3373" t="s">
        <v>1771</v>
      </c>
      <c r="AB4" s="3374" t="s">
        <v>1772</v>
      </c>
      <c r="AC4" s="3373" t="s">
        <v>1773</v>
      </c>
    </row>
    <row r="5" spans="1:29">
      <c r="A5" s="348"/>
      <c r="B5" s="349"/>
      <c r="C5" s="3385" t="s">
        <v>1673</v>
      </c>
      <c r="D5" s="3386"/>
      <c r="E5" s="3442" t="s">
        <v>1674</v>
      </c>
      <c r="F5" s="3384"/>
      <c r="G5" s="3385" t="s">
        <v>1675</v>
      </c>
      <c r="H5" s="3386"/>
      <c r="I5" s="3385" t="s">
        <v>1676</v>
      </c>
      <c r="J5" s="3386"/>
      <c r="K5" s="537"/>
      <c r="L5" s="2484"/>
      <c r="M5" s="2485"/>
      <c r="N5" s="2485"/>
      <c r="O5" s="2485"/>
      <c r="P5" s="3399"/>
      <c r="Q5" s="3400"/>
      <c r="R5" s="3381"/>
      <c r="S5" s="3382"/>
      <c r="T5" s="3381"/>
      <c r="U5" s="3382"/>
      <c r="V5" s="3376"/>
      <c r="W5" s="3376"/>
      <c r="X5" s="1265"/>
      <c r="Y5" s="3381"/>
      <c r="Z5" s="3382"/>
      <c r="AA5" s="3374"/>
      <c r="AB5" s="3374"/>
      <c r="AC5" s="3374"/>
    </row>
    <row r="6" spans="1:29" ht="15" thickBot="1">
      <c r="A6" s="350"/>
      <c r="B6" s="351"/>
      <c r="C6" s="3387" t="s">
        <v>1677</v>
      </c>
      <c r="D6" s="3388"/>
      <c r="E6" s="3390" t="s">
        <v>1677</v>
      </c>
      <c r="F6" s="3391"/>
      <c r="G6" s="3387" t="s">
        <v>1677</v>
      </c>
      <c r="H6" s="3388"/>
      <c r="I6" s="3387" t="s">
        <v>1677</v>
      </c>
      <c r="J6" s="3388"/>
      <c r="K6" s="537" t="s">
        <v>1678</v>
      </c>
      <c r="L6" s="2484"/>
      <c r="M6" s="2485"/>
      <c r="N6" s="2485"/>
      <c r="O6" s="2485"/>
      <c r="P6" s="3401"/>
      <c r="Q6" s="3402"/>
      <c r="R6" s="3381"/>
      <c r="S6" s="3382"/>
      <c r="T6" s="3403"/>
      <c r="U6" s="3404"/>
      <c r="V6" s="3376"/>
      <c r="W6" s="3376"/>
      <c r="X6" s="1265"/>
      <c r="Y6" s="3403"/>
      <c r="Z6" s="3404"/>
      <c r="AA6" s="3375"/>
      <c r="AB6" s="3375"/>
      <c r="AC6" s="3375"/>
    </row>
    <row r="7" spans="1:29" s="102" customFormat="1" ht="14.5" thickBot="1">
      <c r="A7" s="352" t="s">
        <v>1679</v>
      </c>
      <c r="B7" s="353"/>
      <c r="C7" s="354">
        <f>'数据-取费表'!B2</f>
        <v>46003</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15"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147</v>
      </c>
      <c r="G10" s="402"/>
      <c r="H10" s="119">
        <f>ROUND(100/'数据-取费表'!G16,0)</f>
        <v>147</v>
      </c>
      <c r="I10" s="402"/>
      <c r="J10" s="119">
        <f>ROUND(100/'数据-取费表'!G16,0)</f>
        <v>147</v>
      </c>
      <c r="K10" s="592"/>
      <c r="L10" s="2487"/>
      <c r="M10" s="2488"/>
      <c r="N10" s="2488"/>
      <c r="O10" s="2539"/>
      <c r="P10" s="3415"/>
      <c r="Q10" s="530" t="str">
        <f t="shared" si="6"/>
        <v>土地使用年限（年）</v>
      </c>
      <c r="R10" s="664" t="s">
        <v>14</v>
      </c>
      <c r="S10" s="665">
        <f t="shared" si="0"/>
        <v>147</v>
      </c>
      <c r="T10" s="664" t="s">
        <v>14</v>
      </c>
      <c r="U10" s="665">
        <f t="shared" si="1"/>
        <v>147</v>
      </c>
      <c r="V10" s="664" t="s">
        <v>14</v>
      </c>
      <c r="W10" s="665">
        <f t="shared" si="2"/>
        <v>147</v>
      </c>
      <c r="X10" s="666"/>
      <c r="Y10" s="3341"/>
      <c r="Z10" s="50" t="str">
        <f t="shared" si="7"/>
        <v>土地使用年限（年）</v>
      </c>
      <c r="AA10" s="50">
        <f t="shared" si="3"/>
        <v>0.68027210884353739</v>
      </c>
      <c r="AB10" s="50">
        <f t="shared" si="4"/>
        <v>0.68027210884353739</v>
      </c>
      <c r="AC10" s="50">
        <f t="shared" si="5"/>
        <v>0.68027210884353739</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5"/>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5"/>
      <c r="Q12" s="530" t="str">
        <f t="shared" si="6"/>
        <v>配建</v>
      </c>
      <c r="R12" s="664" t="s">
        <v>14</v>
      </c>
      <c r="S12" s="665">
        <f t="shared" si="0"/>
        <v>100</v>
      </c>
      <c r="T12" s="664" t="s">
        <v>14</v>
      </c>
      <c r="U12" s="665">
        <f t="shared" si="1"/>
        <v>100</v>
      </c>
      <c r="V12" s="664" t="s">
        <v>14</v>
      </c>
      <c r="W12" s="665">
        <f t="shared" si="2"/>
        <v>100</v>
      </c>
      <c r="X12" s="666"/>
      <c r="Y12" s="3341"/>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341"/>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5"/>
      <c r="Q14" s="530">
        <f t="shared" si="6"/>
        <v>111</v>
      </c>
      <c r="R14" s="664" t="s">
        <v>14</v>
      </c>
      <c r="S14" s="665">
        <f t="shared" si="0"/>
        <v>100</v>
      </c>
      <c r="T14" s="664" t="s">
        <v>14</v>
      </c>
      <c r="U14" s="665">
        <f t="shared" si="1"/>
        <v>100</v>
      </c>
      <c r="V14" s="664" t="s">
        <v>14</v>
      </c>
      <c r="W14" s="665">
        <f t="shared" si="2"/>
        <v>100</v>
      </c>
      <c r="X14" s="666"/>
      <c r="Y14" s="3341"/>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8" t="s">
        <v>1691</v>
      </c>
      <c r="Q15" s="1263" t="str">
        <f t="shared" si="6"/>
        <v>居住社区成熟度</v>
      </c>
      <c r="R15" s="667" t="s">
        <v>14</v>
      </c>
      <c r="S15" s="668">
        <f t="shared" si="0"/>
        <v>100</v>
      </c>
      <c r="T15" s="667" t="s">
        <v>14</v>
      </c>
      <c r="U15" s="668">
        <f t="shared" si="1"/>
        <v>100</v>
      </c>
      <c r="V15" s="667" t="s">
        <v>14</v>
      </c>
      <c r="W15" s="668">
        <f t="shared" si="2"/>
        <v>100</v>
      </c>
      <c r="X15" s="1265"/>
      <c r="Y15" s="3408"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0"/>
      <c r="M16" s="2485"/>
      <c r="N16" s="2485"/>
      <c r="O16" s="2540"/>
      <c r="P16" s="3409"/>
      <c r="Q16" s="1263"/>
      <c r="R16" s="667"/>
      <c r="S16" s="668"/>
      <c r="T16" s="667"/>
      <c r="U16" s="668"/>
      <c r="V16" s="667"/>
      <c r="W16" s="668"/>
      <c r="X16" s="1265"/>
      <c r="Y16" s="3409"/>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0"/>
      <c r="M18" s="2485"/>
      <c r="N18" s="2485"/>
      <c r="O18" s="2540"/>
      <c r="P18" s="3409"/>
      <c r="Q18" s="1263"/>
      <c r="R18" s="667"/>
      <c r="S18" s="668"/>
      <c r="T18" s="667"/>
      <c r="U18" s="668"/>
      <c r="V18" s="667"/>
      <c r="W18" s="668"/>
      <c r="X18" s="1265"/>
      <c r="Y18" s="3409"/>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9"/>
      <c r="Q19" s="1263" t="str">
        <f>B19</f>
        <v>办公集聚程度</v>
      </c>
      <c r="R19" s="667" t="s">
        <v>14</v>
      </c>
      <c r="S19" s="668">
        <f>F19</f>
        <v>100</v>
      </c>
      <c r="T19" s="667" t="s">
        <v>14</v>
      </c>
      <c r="U19" s="668">
        <f>H19</f>
        <v>100</v>
      </c>
      <c r="V19" s="667" t="s">
        <v>14</v>
      </c>
      <c r="W19" s="668">
        <f>J19</f>
        <v>100</v>
      </c>
      <c r="X19" s="1265"/>
      <c r="Y19" s="3409"/>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0"/>
      <c r="M20" s="2485"/>
      <c r="N20" s="2485"/>
      <c r="O20" s="2540"/>
      <c r="P20" s="3409"/>
      <c r="Q20" s="1263"/>
      <c r="R20" s="667"/>
      <c r="S20" s="668"/>
      <c r="T20" s="667"/>
      <c r="U20" s="668"/>
      <c r="V20" s="667"/>
      <c r="W20" s="668"/>
      <c r="X20" s="1265"/>
      <c r="Y20" s="3409"/>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9"/>
      <c r="Q21" s="1263" t="str">
        <f>B21</f>
        <v>交通便捷度</v>
      </c>
      <c r="R21" s="667" t="s">
        <v>14</v>
      </c>
      <c r="S21" s="668">
        <f>F21</f>
        <v>100</v>
      </c>
      <c r="T21" s="667" t="s">
        <v>14</v>
      </c>
      <c r="U21" s="668">
        <f>H21</f>
        <v>100</v>
      </c>
      <c r="V21" s="667" t="s">
        <v>14</v>
      </c>
      <c r="W21" s="668">
        <f>J21</f>
        <v>100</v>
      </c>
      <c r="X21" s="1265"/>
      <c r="Y21" s="3409"/>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0"/>
      <c r="M22" s="2485"/>
      <c r="N22" s="2485"/>
      <c r="O22" s="2540"/>
      <c r="P22" s="3409"/>
      <c r="Q22" s="1263"/>
      <c r="R22" s="667"/>
      <c r="S22" s="668"/>
      <c r="T22" s="667"/>
      <c r="U22" s="668"/>
      <c r="V22" s="667"/>
      <c r="W22" s="668"/>
      <c r="X22" s="1265"/>
      <c r="Y22" s="3409"/>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0"/>
      <c r="M24" s="2485"/>
      <c r="N24" s="2485"/>
      <c r="O24" s="2540"/>
      <c r="P24" s="3409"/>
      <c r="Q24" s="1263"/>
      <c r="R24" s="667"/>
      <c r="S24" s="668"/>
      <c r="T24" s="667"/>
      <c r="U24" s="668"/>
      <c r="V24" s="667"/>
      <c r="W24" s="668"/>
      <c r="X24" s="1265"/>
      <c r="Y24" s="3409"/>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0"/>
      <c r="M26" s="2485"/>
      <c r="N26" s="2485"/>
      <c r="O26" s="2540"/>
      <c r="P26" s="3409"/>
      <c r="Q26" s="1263"/>
      <c r="R26" s="667"/>
      <c r="S26" s="668"/>
      <c r="T26" s="667"/>
      <c r="U26" s="668"/>
      <c r="V26" s="667"/>
      <c r="W26" s="668"/>
      <c r="X26" s="1265"/>
      <c r="Y26" s="3409"/>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9"/>
      <c r="Q27" s="530" t="str">
        <f t="shared" si="8"/>
        <v>公共配套设施</v>
      </c>
      <c r="R27" s="664" t="s">
        <v>14</v>
      </c>
      <c r="S27" s="665">
        <f>F27</f>
        <v>100</v>
      </c>
      <c r="T27" s="664" t="s">
        <v>14</v>
      </c>
      <c r="U27" s="665">
        <f>H27</f>
        <v>100</v>
      </c>
      <c r="V27" s="664" t="s">
        <v>14</v>
      </c>
      <c r="W27" s="665">
        <f>J27</f>
        <v>100</v>
      </c>
      <c r="X27" s="666"/>
      <c r="Y27" s="3409"/>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6"/>
      <c r="M28" s="2438"/>
      <c r="N28" s="2438"/>
      <c r="O28" s="2538"/>
      <c r="P28" s="3409"/>
      <c r="Q28" s="530"/>
      <c r="R28" s="664"/>
      <c r="S28" s="665"/>
      <c r="T28" s="664"/>
      <c r="U28" s="665"/>
      <c r="V28" s="664"/>
      <c r="W28" s="665"/>
      <c r="X28" s="666"/>
      <c r="Y28" s="3409"/>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6"/>
      <c r="M30" s="2438"/>
      <c r="N30" s="2438"/>
      <c r="O30" s="2538"/>
      <c r="P30" s="3409"/>
      <c r="Q30" s="530"/>
      <c r="R30" s="664"/>
      <c r="S30" s="665"/>
      <c r="T30" s="664"/>
      <c r="U30" s="665"/>
      <c r="V30" s="664"/>
      <c r="W30" s="665"/>
      <c r="X30" s="666"/>
      <c r="Y30" s="3409"/>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9"/>
      <c r="Q32" s="1263" t="str">
        <f t="shared" si="8"/>
        <v>毗邻道路的类型与等级</v>
      </c>
      <c r="R32" s="667" t="s">
        <v>14</v>
      </c>
      <c r="S32" s="668">
        <f t="shared" si="10"/>
        <v>100</v>
      </c>
      <c r="T32" s="667" t="s">
        <v>14</v>
      </c>
      <c r="U32" s="668">
        <f t="shared" si="11"/>
        <v>100</v>
      </c>
      <c r="V32" s="667" t="s">
        <v>14</v>
      </c>
      <c r="W32" s="668">
        <f t="shared" si="12"/>
        <v>100</v>
      </c>
      <c r="X32" s="1265"/>
      <c r="Y32" s="3409"/>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0"/>
      <c r="M33" s="2485"/>
      <c r="N33" s="2485"/>
      <c r="O33" s="2540"/>
      <c r="P33" s="3409"/>
      <c r="Q33" s="1263"/>
      <c r="R33" s="667"/>
      <c r="S33" s="668"/>
      <c r="T33" s="667"/>
      <c r="U33" s="668"/>
      <c r="V33" s="667"/>
      <c r="W33" s="668"/>
      <c r="X33" s="1265"/>
      <c r="Y33" s="3409"/>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8" t="s">
        <v>1696</v>
      </c>
      <c r="Q36" s="1263">
        <f t="shared" si="8"/>
        <v>111</v>
      </c>
      <c r="R36" s="667" t="s">
        <v>14</v>
      </c>
      <c r="S36" s="668">
        <f t="shared" si="10"/>
        <v>100</v>
      </c>
      <c r="T36" s="667" t="s">
        <v>14</v>
      </c>
      <c r="U36" s="668">
        <f t="shared" si="11"/>
        <v>100</v>
      </c>
      <c r="V36" s="667" t="s">
        <v>14</v>
      </c>
      <c r="W36" s="668">
        <f t="shared" si="12"/>
        <v>100</v>
      </c>
      <c r="X36" s="1265"/>
      <c r="Y36" s="3413"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3"/>
      <c r="Q38" s="1263" t="str">
        <f>B38</f>
        <v>宗地面积</v>
      </c>
      <c r="R38" s="667" t="s">
        <v>14</v>
      </c>
      <c r="S38" s="668" t="e">
        <f t="shared" si="10"/>
        <v>#N/A</v>
      </c>
      <c r="T38" s="667" t="s">
        <v>14</v>
      </c>
      <c r="U38" s="668" t="e">
        <f t="shared" si="11"/>
        <v>#N/A</v>
      </c>
      <c r="V38" s="667" t="s">
        <v>14</v>
      </c>
      <c r="W38" s="668" t="e">
        <f t="shared" si="12"/>
        <v>#N/A</v>
      </c>
      <c r="X38" s="1265"/>
      <c r="Y38" s="3413"/>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13"/>
      <c r="Q41" s="1263" t="str">
        <f t="shared" si="14"/>
        <v>宗地开发程度</v>
      </c>
      <c r="R41" s="664" t="s">
        <v>14</v>
      </c>
      <c r="S41" s="665">
        <f t="shared" si="10"/>
        <v>100</v>
      </c>
      <c r="T41" s="664" t="s">
        <v>14</v>
      </c>
      <c r="U41" s="665">
        <f t="shared" si="11"/>
        <v>100</v>
      </c>
      <c r="V41" s="664" t="s">
        <v>14</v>
      </c>
      <c r="W41" s="665">
        <f t="shared" si="12"/>
        <v>100</v>
      </c>
      <c r="X41" s="666"/>
      <c r="Y41" s="3413"/>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13" t="s">
        <v>1696</v>
      </c>
      <c r="Q42" s="1263" t="str">
        <f t="shared" si="14"/>
        <v>工程地质条件</v>
      </c>
      <c r="R42" s="667" t="s">
        <v>14</v>
      </c>
      <c r="S42" s="668">
        <f t="shared" si="10"/>
        <v>100</v>
      </c>
      <c r="T42" s="667" t="s">
        <v>14</v>
      </c>
      <c r="U42" s="668">
        <f t="shared" si="11"/>
        <v>100</v>
      </c>
      <c r="V42" s="667" t="s">
        <v>14</v>
      </c>
      <c r="W42" s="668">
        <f t="shared" si="12"/>
        <v>100</v>
      </c>
      <c r="X42" s="1265"/>
      <c r="Y42" s="3413"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2"/>
      <c r="M46" s="2485"/>
      <c r="N46" s="2485"/>
      <c r="O46" s="2485"/>
      <c r="P46" s="3415" t="str">
        <f>A46</f>
        <v>成交单价</v>
      </c>
      <c r="Q46" s="3415"/>
      <c r="R46" s="3376">
        <f>E46</f>
        <v>0</v>
      </c>
      <c r="S46" s="3376"/>
      <c r="T46" s="3376">
        <f>G46</f>
        <v>0</v>
      </c>
      <c r="U46" s="3376"/>
      <c r="V46" s="3376">
        <f>I46</f>
        <v>0</v>
      </c>
      <c r="W46" s="3376"/>
      <c r="X46" s="385"/>
      <c r="Y46" s="673"/>
      <c r="Z46" s="385"/>
      <c r="AA46" s="385"/>
      <c r="AB46" s="385"/>
      <c r="AC46" s="385"/>
    </row>
    <row r="47" spans="1:29" ht="14.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15" t="str">
        <f>A47</f>
        <v>比较价值（元/平方米）</v>
      </c>
      <c r="Q47" s="3415"/>
      <c r="R47" s="3460" t="e">
        <f>ROUND(PRODUCT(R46,AA7:AA45),0)</f>
        <v>#DIV/0!</v>
      </c>
      <c r="S47" s="3460"/>
      <c r="T47" s="3460" t="e">
        <f>ROUND(PRODUCT(T46,AB7:AB45),0)</f>
        <v>#DIV/0!</v>
      </c>
      <c r="U47" s="3460"/>
      <c r="V47" s="3460" t="e">
        <f>ROUND(PRODUCT(V46,AC7:AC45),0)</f>
        <v>#DIV/0!</v>
      </c>
      <c r="W47" s="3460"/>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2"/>
      <c r="M48" s="2485"/>
      <c r="N48" s="2485"/>
      <c r="O48" s="2485"/>
      <c r="P48" s="3416" t="str">
        <f>A48</f>
        <v>估价对象XX用房的比较价值（楼面单价，元/平方米）</v>
      </c>
      <c r="Q48" s="3417"/>
      <c r="R48" s="3461" t="e">
        <f>ROUND(IF(D47="简单平均",AVERAGE(R47:W47),R47*F47+T47*H47+V47*J47),0)</f>
        <v>#DIV/0!</v>
      </c>
      <c r="S48" s="3461"/>
      <c r="T48" s="3461"/>
      <c r="U48" s="3461"/>
      <c r="V48" s="3461"/>
      <c r="W48" s="346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3" t="s">
        <v>1887</v>
      </c>
      <c r="H55" s="3462"/>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56.87</v>
      </c>
      <c r="F56" s="833" t="e">
        <f t="shared" ref="F56:F64" si="15">ROUND(B56*E56/10000,0)</f>
        <v>#DIV/0!</v>
      </c>
      <c r="G56" s="3392"/>
      <c r="H56" s="341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四级</v>
      </c>
      <c r="I57" s="838">
        <f>SUMIF(修正!A59:A70,H57,修正!B59:B70)</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四级</v>
      </c>
      <c r="I58" s="838">
        <f>SUMIF(修正!A59:A70,H58,修正!C59:C70)</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四级</v>
      </c>
      <c r="I59" s="838">
        <f>SUMIF(修正!A59:A70,H59,修正!D59:D70)</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SUMIF(修正!A59:A70,H63,修正!G59:G70)</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56.87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5"/>
      <c r="Q67" s="2485"/>
      <c r="R67" s="2485"/>
      <c r="S67" s="2485"/>
      <c r="T67" s="2485"/>
      <c r="U67" s="2485"/>
      <c r="V67" s="2485"/>
      <c r="W67" s="2485"/>
      <c r="X67" s="2485"/>
      <c r="Y67" s="2485"/>
      <c r="Z67" s="2485"/>
      <c r="AA67" s="2485"/>
      <c r="AB67" s="2485"/>
      <c r="AC67" s="2485"/>
    </row>
    <row r="68" spans="1:29" ht="21.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4.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8.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4.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4.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4.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8.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4.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4.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4.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4.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4.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379" t="s">
        <v>1771</v>
      </c>
      <c r="S4" s="3380"/>
      <c r="T4" s="3379" t="s">
        <v>1772</v>
      </c>
      <c r="U4" s="3380"/>
      <c r="V4" s="3376" t="s">
        <v>1773</v>
      </c>
      <c r="W4" s="3376"/>
      <c r="X4" s="1265"/>
      <c r="Y4" s="3379" t="s">
        <v>1775</v>
      </c>
      <c r="Z4" s="3380"/>
      <c r="AA4" s="3373" t="s">
        <v>1771</v>
      </c>
      <c r="AB4" s="3374" t="s">
        <v>1772</v>
      </c>
      <c r="AC4" s="3373" t="s">
        <v>1773</v>
      </c>
    </row>
    <row r="5" spans="1:29">
      <c r="A5" s="348"/>
      <c r="B5" s="349"/>
      <c r="C5" s="3385" t="s">
        <v>1673</v>
      </c>
      <c r="D5" s="3386"/>
      <c r="E5" s="3442" t="s">
        <v>1674</v>
      </c>
      <c r="F5" s="3384"/>
      <c r="G5" s="3385" t="s">
        <v>1675</v>
      </c>
      <c r="H5" s="3386"/>
      <c r="I5" s="3385" t="s">
        <v>1676</v>
      </c>
      <c r="J5" s="3386"/>
      <c r="K5" s="537"/>
      <c r="L5" s="2484"/>
      <c r="M5" s="2485"/>
      <c r="N5" s="2485"/>
      <c r="O5" s="2485"/>
      <c r="P5" s="3399"/>
      <c r="Q5" s="3400"/>
      <c r="R5" s="3381"/>
      <c r="S5" s="3382"/>
      <c r="T5" s="3381"/>
      <c r="U5" s="3382"/>
      <c r="V5" s="3376"/>
      <c r="W5" s="3376"/>
      <c r="X5" s="1265"/>
      <c r="Y5" s="3381"/>
      <c r="Z5" s="3382"/>
      <c r="AA5" s="3374"/>
      <c r="AB5" s="3374"/>
      <c r="AC5" s="3374"/>
    </row>
    <row r="6" spans="1:29" ht="15" thickBot="1">
      <c r="A6" s="350"/>
      <c r="B6" s="351"/>
      <c r="C6" s="3463" t="s">
        <v>1919</v>
      </c>
      <c r="D6" s="3464"/>
      <c r="E6" s="3465" t="s">
        <v>1919</v>
      </c>
      <c r="F6" s="3466"/>
      <c r="G6" s="3463" t="s">
        <v>1919</v>
      </c>
      <c r="H6" s="3464"/>
      <c r="I6" s="3463" t="s">
        <v>1919</v>
      </c>
      <c r="J6" s="3464"/>
      <c r="K6" s="537" t="s">
        <v>1678</v>
      </c>
      <c r="L6" s="2484"/>
      <c r="M6" s="2485"/>
      <c r="N6" s="2485"/>
      <c r="O6" s="2485"/>
      <c r="P6" s="3401"/>
      <c r="Q6" s="3402"/>
      <c r="R6" s="3381"/>
      <c r="S6" s="3382"/>
      <c r="T6" s="3403"/>
      <c r="U6" s="3404"/>
      <c r="V6" s="3376"/>
      <c r="W6" s="3376"/>
      <c r="X6" s="1265"/>
      <c r="Y6" s="3403"/>
      <c r="Z6" s="3404"/>
      <c r="AA6" s="3375"/>
      <c r="AB6" s="3375"/>
      <c r="AC6" s="3375"/>
    </row>
    <row r="7" spans="1:29" s="102" customFormat="1" ht="14.5" thickBot="1">
      <c r="A7" s="352" t="s">
        <v>1679</v>
      </c>
      <c r="B7" s="353"/>
      <c r="C7" s="354">
        <f>'数据-取费表'!B2</f>
        <v>46003</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15"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147</v>
      </c>
      <c r="G10" s="371"/>
      <c r="H10" s="119">
        <f>ROUND(100/'数据-取费表'!G16,0)</f>
        <v>147</v>
      </c>
      <c r="I10" s="371"/>
      <c r="J10" s="119">
        <f>ROUND(100/'数据-取费表'!G16,0)</f>
        <v>147</v>
      </c>
      <c r="K10" s="592"/>
      <c r="L10" s="2487"/>
      <c r="M10" s="2488"/>
      <c r="N10" s="2488"/>
      <c r="O10" s="2539"/>
      <c r="P10" s="3415"/>
      <c r="Q10" s="530" t="str">
        <f t="shared" si="6"/>
        <v>土地使用年限（年）</v>
      </c>
      <c r="R10" s="664" t="s">
        <v>14</v>
      </c>
      <c r="S10" s="665">
        <f t="shared" si="0"/>
        <v>147</v>
      </c>
      <c r="T10" s="664" t="s">
        <v>14</v>
      </c>
      <c r="U10" s="665">
        <f t="shared" si="1"/>
        <v>147</v>
      </c>
      <c r="V10" s="664" t="s">
        <v>14</v>
      </c>
      <c r="W10" s="665">
        <f t="shared" si="2"/>
        <v>147</v>
      </c>
      <c r="X10" s="666"/>
      <c r="Y10" s="3341"/>
      <c r="Z10" s="50" t="str">
        <f t="shared" si="7"/>
        <v>土地使用年限（年）</v>
      </c>
      <c r="AA10" s="50">
        <f t="shared" si="3"/>
        <v>0.68027210884353739</v>
      </c>
      <c r="AB10" s="50">
        <f t="shared" si="4"/>
        <v>0.68027210884353739</v>
      </c>
      <c r="AC10" s="50">
        <f t="shared" si="5"/>
        <v>0.68027210884353739</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5"/>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5"/>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5"/>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0"/>
      <c r="M16" s="2485"/>
      <c r="N16" s="2485"/>
      <c r="O16" s="2540"/>
      <c r="P16" s="3409"/>
      <c r="Q16" s="1263"/>
      <c r="R16" s="667"/>
      <c r="S16" s="668"/>
      <c r="T16" s="667"/>
      <c r="U16" s="668"/>
      <c r="V16" s="667"/>
      <c r="W16" s="668"/>
      <c r="X16" s="1265"/>
      <c r="Y16" s="3409"/>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0"/>
      <c r="M18" s="2485"/>
      <c r="N18" s="2485"/>
      <c r="O18" s="2540"/>
      <c r="P18" s="3409"/>
      <c r="Q18" s="1263"/>
      <c r="R18" s="667"/>
      <c r="S18" s="668"/>
      <c r="T18" s="667"/>
      <c r="U18" s="668"/>
      <c r="V18" s="667"/>
      <c r="W18" s="668"/>
      <c r="X18" s="1265"/>
      <c r="Y18" s="3409"/>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0"/>
      <c r="M20" s="2485"/>
      <c r="N20" s="2485"/>
      <c r="O20" s="2540"/>
      <c r="P20" s="3409"/>
      <c r="Q20" s="1263"/>
      <c r="R20" s="667"/>
      <c r="S20" s="668"/>
      <c r="T20" s="667"/>
      <c r="U20" s="668"/>
      <c r="V20" s="667"/>
      <c r="W20" s="668"/>
      <c r="X20" s="1265"/>
      <c r="Y20" s="3409"/>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0"/>
      <c r="M22" s="2485"/>
      <c r="N22" s="2485"/>
      <c r="O22" s="2540"/>
      <c r="P22" s="3409"/>
      <c r="Q22" s="1263"/>
      <c r="R22" s="667"/>
      <c r="S22" s="668"/>
      <c r="T22" s="667"/>
      <c r="U22" s="668"/>
      <c r="V22" s="667"/>
      <c r="W22" s="668"/>
      <c r="X22" s="1265"/>
      <c r="Y22" s="3409"/>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6"/>
      <c r="M24" s="2438"/>
      <c r="N24" s="2438"/>
      <c r="O24" s="2538"/>
      <c r="P24" s="3409"/>
      <c r="Q24" s="530"/>
      <c r="R24" s="664"/>
      <c r="S24" s="665"/>
      <c r="T24" s="664"/>
      <c r="U24" s="665"/>
      <c r="V24" s="664"/>
      <c r="W24" s="665"/>
      <c r="X24" s="666"/>
      <c r="Y24" s="3409"/>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6"/>
      <c r="M26" s="2438"/>
      <c r="N26" s="2438"/>
      <c r="O26" s="2538"/>
      <c r="P26" s="3409"/>
      <c r="Q26" s="530"/>
      <c r="R26" s="664"/>
      <c r="S26" s="665"/>
      <c r="T26" s="664"/>
      <c r="U26" s="665"/>
      <c r="V26" s="664"/>
      <c r="W26" s="665"/>
      <c r="X26" s="666"/>
      <c r="Y26" s="3409"/>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0"/>
      <c r="M29" s="2485"/>
      <c r="N29" s="2485"/>
      <c r="O29" s="2540"/>
      <c r="P29" s="3409"/>
      <c r="Q29" s="1263"/>
      <c r="R29" s="667"/>
      <c r="S29" s="668"/>
      <c r="T29" s="667"/>
      <c r="U29" s="668"/>
      <c r="V29" s="667"/>
      <c r="W29" s="668"/>
      <c r="X29" s="1265"/>
      <c r="Y29" s="3409"/>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8" t="s">
        <v>1696</v>
      </c>
      <c r="Q32" s="1263">
        <f t="shared" si="8"/>
        <v>111</v>
      </c>
      <c r="R32" s="667" t="s">
        <v>14</v>
      </c>
      <c r="S32" s="668">
        <f t="shared" si="10"/>
        <v>100</v>
      </c>
      <c r="T32" s="667" t="s">
        <v>14</v>
      </c>
      <c r="U32" s="668">
        <f t="shared" si="11"/>
        <v>100</v>
      </c>
      <c r="V32" s="667" t="s">
        <v>14</v>
      </c>
      <c r="W32" s="668">
        <f t="shared" si="12"/>
        <v>100</v>
      </c>
      <c r="X32" s="1265"/>
      <c r="Y32" s="3413"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3"/>
      <c r="Q34" s="1263" t="str">
        <f>B34</f>
        <v>宗地面积</v>
      </c>
      <c r="R34" s="667" t="s">
        <v>14</v>
      </c>
      <c r="S34" s="668" t="e">
        <f t="shared" si="10"/>
        <v>#N/A</v>
      </c>
      <c r="T34" s="667" t="s">
        <v>14</v>
      </c>
      <c r="U34" s="668" t="e">
        <f t="shared" si="11"/>
        <v>#N/A</v>
      </c>
      <c r="V34" s="667" t="s">
        <v>14</v>
      </c>
      <c r="W34" s="668" t="e">
        <f t="shared" si="12"/>
        <v>#N/A</v>
      </c>
      <c r="X34" s="1265"/>
      <c r="Y34" s="3413"/>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13"/>
      <c r="Q36" s="1263" t="str">
        <f t="shared" si="14"/>
        <v>宗地开发程度</v>
      </c>
      <c r="R36" s="664" t="s">
        <v>14</v>
      </c>
      <c r="S36" s="665">
        <f t="shared" si="10"/>
        <v>100</v>
      </c>
      <c r="T36" s="664" t="s">
        <v>14</v>
      </c>
      <c r="U36" s="665">
        <f t="shared" si="11"/>
        <v>100</v>
      </c>
      <c r="V36" s="664" t="s">
        <v>14</v>
      </c>
      <c r="W36" s="665">
        <f t="shared" si="12"/>
        <v>100</v>
      </c>
      <c r="X36" s="666"/>
      <c r="Y36" s="3413"/>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13" t="s">
        <v>1696</v>
      </c>
      <c r="Q37" s="1263" t="str">
        <f t="shared" si="14"/>
        <v>工程地质条件</v>
      </c>
      <c r="R37" s="667" t="s">
        <v>14</v>
      </c>
      <c r="S37" s="668">
        <f t="shared" si="10"/>
        <v>100</v>
      </c>
      <c r="T37" s="667" t="s">
        <v>14</v>
      </c>
      <c r="U37" s="668">
        <f t="shared" si="11"/>
        <v>100</v>
      </c>
      <c r="V37" s="667" t="s">
        <v>14</v>
      </c>
      <c r="W37" s="668">
        <f t="shared" si="12"/>
        <v>100</v>
      </c>
      <c r="X37" s="1265"/>
      <c r="Y37" s="3413"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2"/>
      <c r="M41" s="2485"/>
      <c r="N41" s="2485"/>
      <c r="O41" s="2485"/>
      <c r="P41" s="3415" t="str">
        <f>A41</f>
        <v>成交单价</v>
      </c>
      <c r="Q41" s="3415"/>
      <c r="R41" s="3376">
        <f>E41</f>
        <v>0</v>
      </c>
      <c r="S41" s="3376"/>
      <c r="T41" s="3376">
        <f>G41</f>
        <v>0</v>
      </c>
      <c r="U41" s="3376"/>
      <c r="V41" s="3376">
        <f>I41</f>
        <v>0</v>
      </c>
      <c r="W41" s="3376"/>
      <c r="X41" s="385"/>
      <c r="Y41" s="673"/>
      <c r="Z41" s="385"/>
      <c r="AA41" s="385"/>
      <c r="AB41" s="385"/>
      <c r="AC41" s="385"/>
    </row>
    <row r="42" spans="1:31" ht="14.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15" t="str">
        <f>A42</f>
        <v>比较价值（元/平方米）</v>
      </c>
      <c r="Q42" s="3415"/>
      <c r="R42" s="3460" t="e">
        <f>ROUND(PRODUCT(R41,AA7:AA40),0)</f>
        <v>#DIV/0!</v>
      </c>
      <c r="S42" s="3460"/>
      <c r="T42" s="3460" t="e">
        <f>ROUND(PRODUCT(T41,AB7:AB40),0)</f>
        <v>#DIV/0!</v>
      </c>
      <c r="U42" s="3460"/>
      <c r="V42" s="3460" t="e">
        <f>ROUND(PRODUCT(V41,AC7:AC40),0)</f>
        <v>#DIV/0!</v>
      </c>
      <c r="W42" s="3460"/>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2"/>
      <c r="M43" s="2485"/>
      <c r="N43" s="2485"/>
      <c r="O43" s="2485"/>
      <c r="P43" s="3416" t="str">
        <f>A43</f>
        <v>估价对象XX用房的比较价值（楼面单价，元/平方米）</v>
      </c>
      <c r="Q43" s="3417"/>
      <c r="R43" s="3461" t="e">
        <f>ROUND(IF(D42="简单平均",AVERAGE(R42:W42),R42*F42+T42*H42+V42*J42),0)</f>
        <v>#DIV/0!</v>
      </c>
      <c r="S43" s="3461"/>
      <c r="T43" s="3461"/>
      <c r="U43" s="3461"/>
      <c r="V43" s="3461"/>
      <c r="W43" s="346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
      <c r="A50" s="604" t="s">
        <v>1881</v>
      </c>
      <c r="B50" s="605" t="s">
        <v>1882</v>
      </c>
      <c r="C50" s="1831" t="s">
        <v>1883</v>
      </c>
      <c r="D50" s="1832" t="s">
        <v>1884</v>
      </c>
      <c r="E50" s="606" t="s">
        <v>1885</v>
      </c>
      <c r="F50" s="607" t="s">
        <v>1886</v>
      </c>
      <c r="G50" s="3393" t="s">
        <v>1887</v>
      </c>
      <c r="H50" s="3462"/>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56.87</v>
      </c>
      <c r="F51" s="611" t="e">
        <f t="shared" ref="F51:F60" si="15">ROUND(B51*E51/10000,0)</f>
        <v>#DIV/0!</v>
      </c>
      <c r="G51" s="3392"/>
      <c r="H51" s="341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四级</v>
      </c>
      <c r="I52" s="727">
        <f>SUMIF(修正!A59:A70,H52,修正!B59:B70)</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四级</v>
      </c>
      <c r="I53" s="727">
        <f>SUMIF(修正!A59:A70,H53,修正!C59:C70)</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四级</v>
      </c>
      <c r="I54" s="727">
        <f>SUMIF(修正!A59:A70,H54,修正!D59:D70)</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SUMIF(修正!A59:A70,H59,修正!G59:G70)</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5"/>
      <c r="Q63" s="2485"/>
      <c r="R63" s="2485"/>
      <c r="S63" s="2485"/>
      <c r="T63" s="2485"/>
      <c r="U63" s="2485"/>
      <c r="V63" s="2485"/>
      <c r="W63" s="2485"/>
      <c r="X63" s="2485"/>
      <c r="Y63" s="2485"/>
      <c r="Z63" s="2485"/>
      <c r="AA63" s="2485"/>
      <c r="AB63" s="2485"/>
      <c r="AC63" s="2485"/>
      <c r="AD63" s="2485"/>
      <c r="AE63" s="2485"/>
    </row>
    <row r="64" spans="1:31" ht="21.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4.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8.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4.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8.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4.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4.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4.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4.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0" t="s">
        <v>2084</v>
      </c>
      <c r="D1" s="3471"/>
      <c r="E1" s="3471"/>
      <c r="F1" s="3471"/>
      <c r="G1" s="3471"/>
      <c r="H1" s="3471"/>
      <c r="I1" s="3471"/>
      <c r="J1" s="3471"/>
      <c r="K1" s="3471"/>
      <c r="L1" s="3471"/>
      <c r="M1" s="3471"/>
      <c r="N1" s="3471"/>
      <c r="O1" s="3471"/>
      <c r="P1" s="3471"/>
      <c r="Q1" s="3471"/>
      <c r="R1" s="3471"/>
      <c r="S1" s="3472"/>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7" t="s">
        <v>27</v>
      </c>
      <c r="D22" s="3468"/>
      <c r="E22" s="3468"/>
      <c r="F22" s="3468"/>
      <c r="G22" s="3468"/>
      <c r="H22" s="3468"/>
      <c r="I22" s="3468"/>
      <c r="J22" s="3468"/>
      <c r="K22" s="3468"/>
      <c r="L22" s="3468"/>
      <c r="M22" s="3468"/>
      <c r="N22" s="3468"/>
      <c r="O22" s="3468"/>
      <c r="P22" s="3468"/>
      <c r="Q22" s="3469"/>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5">
      <c r="A2" s="1984" t="s">
        <v>2073</v>
      </c>
      <c r="B2" s="2386">
        <f ca="1">SUMIF(B6:B13,"&lt;&gt;#ref!",B6:B13)</f>
        <v>0</v>
      </c>
      <c r="C2" s="1984" t="s">
        <v>2074</v>
      </c>
      <c r="D2" s="1984" t="s">
        <v>2075</v>
      </c>
      <c r="E2" s="2396">
        <f ca="1">SUMIF(E6:E13,"&lt;&gt;#ref!",E6:E13)</f>
        <v>56.87</v>
      </c>
      <c r="F2" s="2542"/>
      <c r="G2" s="2542"/>
      <c r="H2" s="2542"/>
      <c r="I2" s="2542"/>
      <c r="J2" s="2542"/>
      <c r="K2" s="2542"/>
      <c r="L2" s="2542"/>
      <c r="M2" s="2542"/>
      <c r="N2" s="2542"/>
      <c r="O2" s="2542"/>
      <c r="P2" s="2542"/>
    </row>
    <row r="3" spans="1:16" ht="15.5">
      <c r="A3" s="1984" t="s">
        <v>2076</v>
      </c>
      <c r="B3" s="2386">
        <f ca="1">ROUND(B2*10000/E2,0)</f>
        <v>0</v>
      </c>
      <c r="C3" s="1984" t="s">
        <v>2082</v>
      </c>
      <c r="D3" s="2542"/>
      <c r="E3" s="2542"/>
      <c r="F3" s="2542"/>
      <c r="G3" s="2542"/>
      <c r="H3" s="2542"/>
      <c r="I3" s="2542"/>
      <c r="J3" s="2542"/>
      <c r="K3" s="2542"/>
      <c r="L3" s="2542"/>
      <c r="M3" s="2542"/>
      <c r="N3" s="2542"/>
      <c r="O3" s="2542"/>
      <c r="P3" s="2542"/>
    </row>
    <row r="4" spans="1:16" ht="15.5">
      <c r="A4" s="2554"/>
      <c r="B4" s="2542"/>
      <c r="C4" s="2542"/>
      <c r="D4" s="2542"/>
      <c r="E4" s="2542"/>
      <c r="F4" s="2542"/>
      <c r="G4" s="2542"/>
      <c r="H4" s="2542"/>
      <c r="I4" s="2542"/>
      <c r="J4" s="2542"/>
      <c r="K4" s="2542"/>
      <c r="L4" s="2542"/>
      <c r="M4" s="2542"/>
      <c r="N4" s="2542"/>
      <c r="O4" s="2542"/>
      <c r="P4" s="2542"/>
    </row>
    <row r="5" spans="1:16" ht="30">
      <c r="A5" s="2392" t="s">
        <v>2077</v>
      </c>
      <c r="B5" s="2394" t="s">
        <v>2078</v>
      </c>
      <c r="C5" s="1985"/>
      <c r="D5" s="2542"/>
      <c r="E5" s="2395" t="s">
        <v>2079</v>
      </c>
      <c r="F5" s="2542"/>
      <c r="G5" s="2542"/>
      <c r="H5" s="2542"/>
      <c r="I5" s="2542"/>
      <c r="J5" s="2542"/>
      <c r="K5" s="2542"/>
      <c r="L5" s="2542"/>
      <c r="M5" s="2542"/>
      <c r="N5" s="2542"/>
      <c r="O5" s="2542"/>
      <c r="P5" s="2542"/>
    </row>
    <row r="6" spans="1:16" ht="15.5">
      <c r="A6" s="2393" t="s">
        <v>2080</v>
      </c>
      <c r="B6" s="2386">
        <f ca="1">SUMIF(INDIRECT("'"&amp;A6&amp;"'"&amp;"!A:A"),"总价",INDIRECT("'"&amp;A6&amp;"'"&amp;"!B:B"))</f>
        <v>0</v>
      </c>
      <c r="C6" s="1984" t="s">
        <v>2074</v>
      </c>
      <c r="D6" s="2542"/>
      <c r="E6" s="2396">
        <f ca="1">SUMIF(INDIRECT("'"&amp;A6&amp;"'"&amp;"!C:C"),"建筑面积",INDIRECT("'"&amp;A6&amp;"'"&amp;"!D:D"))</f>
        <v>56.87</v>
      </c>
      <c r="F6" s="2542"/>
      <c r="G6" s="2542"/>
      <c r="H6" s="2542"/>
      <c r="I6" s="2542"/>
      <c r="J6" s="2542"/>
      <c r="K6" s="2542"/>
      <c r="L6" s="2542"/>
      <c r="M6" s="2542"/>
      <c r="N6" s="2542"/>
      <c r="O6" s="2542"/>
      <c r="P6" s="2542"/>
    </row>
    <row r="7" spans="1:16" ht="15.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DA88F-3A8D-498C-8C9F-832B34C14548}">
  <sheetPr>
    <tabColor rgb="FF7030A0"/>
  </sheetPr>
  <dimension ref="Y9:Z117"/>
  <sheetViews>
    <sheetView topLeftCell="A37" workbookViewId="0">
      <selection activeCell="Y90" sqref="Y90"/>
    </sheetView>
  </sheetViews>
  <sheetFormatPr defaultRowHeight="14"/>
  <sheetData>
    <row r="9" spans="25:25">
      <c r="Y9" s="1405" t="s">
        <v>3439</v>
      </c>
    </row>
    <row r="45" spans="26:26">
      <c r="Z45" s="1405" t="s">
        <v>3439</v>
      </c>
    </row>
    <row r="89" spans="25:25">
      <c r="Y89" s="1405" t="s">
        <v>3521</v>
      </c>
    </row>
    <row r="90" spans="25:25">
      <c r="Y90" s="1405" t="s">
        <v>3520</v>
      </c>
    </row>
    <row r="117" spans="25:25">
      <c r="Y117" s="1405" t="s">
        <v>3519</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0C580-5E76-4B59-B5B8-FF2681AD1A65}">
  <sheetPr>
    <tabColor rgb="FF7030A0"/>
  </sheetPr>
  <dimension ref="Q3:U13"/>
  <sheetViews>
    <sheetView topLeftCell="N1" workbookViewId="0">
      <selection activeCell="T10" sqref="T10"/>
    </sheetView>
  </sheetViews>
  <sheetFormatPr defaultRowHeight="14"/>
  <cols>
    <col min="17" max="17" width="10" customWidth="1"/>
  </cols>
  <sheetData>
    <row r="3" spans="17:21">
      <c r="Q3" s="1405"/>
      <c r="R3" s="1405" t="s">
        <v>3490</v>
      </c>
    </row>
    <row r="4" spans="17:21">
      <c r="R4">
        <f>ROUND(10000/56.8/30,2)</f>
        <v>5.87</v>
      </c>
    </row>
    <row r="9" spans="17:21">
      <c r="Q9" s="1405" t="s">
        <v>3491</v>
      </c>
      <c r="R9">
        <v>231.27</v>
      </c>
      <c r="S9">
        <v>6.5</v>
      </c>
      <c r="T9" s="1405" t="s">
        <v>3492</v>
      </c>
      <c r="U9" s="1405" t="s">
        <v>3493</v>
      </c>
    </row>
    <row r="10" spans="17:21">
      <c r="R10">
        <v>325.95</v>
      </c>
      <c r="S10">
        <v>6.05</v>
      </c>
      <c r="T10" s="1405" t="s">
        <v>3494</v>
      </c>
    </row>
    <row r="11" spans="17:21">
      <c r="Q11" s="1405" t="s">
        <v>3495</v>
      </c>
      <c r="R11">
        <v>348.91</v>
      </c>
      <c r="S11">
        <v>5.65</v>
      </c>
      <c r="T11" s="1405" t="s">
        <v>3496</v>
      </c>
    </row>
    <row r="13" spans="17:21">
      <c r="S13">
        <f>ROUND((S9+S10+S11)/3,2)</f>
        <v>6.07</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15E58-0787-4CB1-BE88-642A13609DFE}">
  <sheetPr>
    <tabColor rgb="FF7030A0"/>
  </sheetPr>
  <dimension ref="O4"/>
  <sheetViews>
    <sheetView workbookViewId="0">
      <selection activeCell="W25" sqref="W25"/>
    </sheetView>
  </sheetViews>
  <sheetFormatPr defaultRowHeight="14"/>
  <sheetData>
    <row r="4" spans="15:15">
      <c r="O4" t="s">
        <v>3487</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1" sqref="K2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217.7484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38289</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1384771</v>
      </c>
      <c r="D5" s="203" t="s">
        <v>1469</v>
      </c>
      <c r="E5" s="204" t="s">
        <v>1470</v>
      </c>
      <c r="F5" s="204" t="s">
        <v>1471</v>
      </c>
      <c r="G5" s="205"/>
    </row>
    <row r="6" spans="1:8" s="206" customFormat="1" ht="13.5" customHeight="1">
      <c r="A6" s="732" t="s">
        <v>1472</v>
      </c>
      <c r="B6" s="207" t="s">
        <v>1473</v>
      </c>
      <c r="C6" s="208">
        <f>ROUND(基准地价修正!D33*基准地价修正!C33,0)</f>
        <v>1332748</v>
      </c>
      <c r="D6" s="209"/>
      <c r="E6" s="210"/>
      <c r="F6" s="210"/>
      <c r="G6" s="211"/>
    </row>
    <row r="7" spans="1:8" s="206" customFormat="1" ht="13.5" customHeight="1">
      <c r="A7" s="732" t="s">
        <v>1474</v>
      </c>
      <c r="B7" s="207" t="s">
        <v>1475</v>
      </c>
      <c r="C7" s="212">
        <f>ROUND(C6*F7,0)</f>
        <v>40649</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11374</v>
      </c>
      <c r="D8" s="214"/>
      <c r="E8" s="212"/>
      <c r="F8" s="213"/>
      <c r="G8" s="1714" t="s">
        <v>3485</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11374</v>
      </c>
      <c r="D10" s="795">
        <f ca="1">IF(B1="",'数据-汇总表'!E6,IF(INDIRECT("'数据-取费表'!c"&amp;$G$1)="住宅",INDIRECT("'数据-取费表'!s"&amp;$G$1),INDIRECT("'数据-取费表'!k"&amp;$G$1)+INDIRECT("'数据-取费表'!s"&amp;$G$1)))</f>
        <v>56.87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56.87</v>
      </c>
      <c r="E19" s="203">
        <f>'数据-取费表'!B31</f>
        <v>200</v>
      </c>
      <c r="F19" s="223"/>
      <c r="G19" s="1714" t="s">
        <v>3486</v>
      </c>
    </row>
    <row r="20" spans="1:7" s="206" customFormat="1" ht="13.5" customHeight="1">
      <c r="A20" s="247" t="s">
        <v>1574</v>
      </c>
      <c r="B20" s="202" t="s">
        <v>1575</v>
      </c>
      <c r="C20" s="224">
        <f ca="1">ROUND((C5+C19)*F20,0)</f>
        <v>27695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88910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88043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867</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282493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282493</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1934572</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254778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227480</v>
      </c>
      <c r="D34" s="209"/>
      <c r="E34" s="212"/>
      <c r="F34" s="249"/>
      <c r="G34" s="211"/>
    </row>
    <row r="35" spans="1:7" ht="13.5" customHeight="1">
      <c r="A35" s="734" t="s">
        <v>351</v>
      </c>
      <c r="B35" s="207" t="s">
        <v>1527</v>
      </c>
      <c r="C35" s="212">
        <f ca="1">ROUND(C34*F35,0)</f>
        <v>11374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11374</v>
      </c>
      <c r="D37" s="209">
        <f ca="1">D19</f>
        <v>56.87</v>
      </c>
      <c r="E37" s="241">
        <f>'数据-取费表'!B35</f>
        <v>200</v>
      </c>
      <c r="F37" s="251"/>
      <c r="G37" s="253"/>
    </row>
    <row r="38" spans="1:7" ht="13.5" customHeight="1">
      <c r="A38" s="734" t="s">
        <v>354</v>
      </c>
      <c r="B38" s="207" t="s">
        <v>1533</v>
      </c>
      <c r="C38" s="212">
        <f ca="1">ROUND(C34*F38,0)</f>
        <v>4550</v>
      </c>
      <c r="D38" s="212"/>
      <c r="E38" s="212"/>
      <c r="F38" s="251">
        <f>'数据-取费表'!B36</f>
        <v>0.02</v>
      </c>
      <c r="G38" s="211" t="s">
        <v>1528</v>
      </c>
    </row>
    <row r="39" spans="1:7" s="206" customFormat="1" ht="13.5" customHeight="1">
      <c r="A39" s="247" t="s">
        <v>1534</v>
      </c>
      <c r="B39" s="202" t="s">
        <v>1535</v>
      </c>
      <c r="C39" s="224">
        <f ca="1">ROUND(C33*F20,0)</f>
        <v>5096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8135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7975</v>
      </c>
      <c r="D42" s="230"/>
      <c r="E42" s="230"/>
      <c r="F42" s="231"/>
      <c r="G42" s="3365" t="s">
        <v>1591</v>
      </c>
    </row>
    <row r="43" spans="1:7" ht="13.5" customHeight="1">
      <c r="A43" s="734" t="s">
        <v>347</v>
      </c>
      <c r="B43" s="207" t="s">
        <v>1545</v>
      </c>
      <c r="C43" s="230">
        <f ca="1">ROUND(IF('数据-取费表'!B22&lt;=1,C39*F22*'数据-取费表'!B20/2,C39*(POWER((1+F22),'数据-取费表'!B20/2)-1)),0)</f>
        <v>160</v>
      </c>
      <c r="D43" s="230"/>
      <c r="E43" s="230"/>
      <c r="F43" s="231"/>
      <c r="G43" s="3366"/>
    </row>
    <row r="44" spans="1:7" ht="13.5" customHeight="1">
      <c r="A44" s="734" t="s">
        <v>348</v>
      </c>
      <c r="B44" s="207" t="s">
        <v>1546</v>
      </c>
      <c r="C44" s="230">
        <f ca="1">ROUND(IF('数据-取费表'!B22&lt;=1,C40*F22*'数据-取费表'!B20/2,C40*(POWER((1+F22),'数据-取费表'!B20/2)-1)),4)</f>
        <v>5.9999999999999995E-4</v>
      </c>
      <c r="D44" s="230"/>
      <c r="E44" s="230"/>
      <c r="F44" s="231"/>
      <c r="G44" s="3367"/>
    </row>
    <row r="45" spans="1:7" s="206" customFormat="1" ht="13.5" customHeight="1">
      <c r="A45" s="247" t="s">
        <v>1547</v>
      </c>
      <c r="B45" s="236" t="s">
        <v>1513</v>
      </c>
      <c r="C45" s="237">
        <f ca="1">C46</f>
        <v>51975</v>
      </c>
      <c r="D45" s="227">
        <f ca="1">C47</f>
        <v>4.0000000000000001E-3</v>
      </c>
      <c r="E45" s="228" t="s">
        <v>1539</v>
      </c>
      <c r="F45" s="238">
        <f ca="1">F27</f>
        <v>0.2</v>
      </c>
      <c r="G45" s="239" t="s">
        <v>1548</v>
      </c>
    </row>
    <row r="46" spans="1:7" s="206" customFormat="1" ht="13.5" customHeight="1">
      <c r="A46" s="734" t="s">
        <v>346</v>
      </c>
      <c r="B46" s="240" t="s">
        <v>1549</v>
      </c>
      <c r="C46" s="241">
        <f ca="1">ROUND((C33+C39)*F27,0)</f>
        <v>51975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347017</v>
      </c>
      <c r="D49" s="224"/>
      <c r="E49" s="224"/>
      <c r="F49" s="256"/>
      <c r="G49" s="226" t="s">
        <v>1554</v>
      </c>
    </row>
    <row r="50" spans="1:7" s="250" customFormat="1" ht="13.5">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242912</v>
      </c>
      <c r="D51" s="224"/>
      <c r="E51" s="224"/>
      <c r="F51" s="256"/>
      <c r="G51" s="226" t="s">
        <v>1560</v>
      </c>
    </row>
    <row r="52" spans="1:7" s="200" customFormat="1" ht="16.5" thickBot="1">
      <c r="A52" s="257" t="s">
        <v>1561</v>
      </c>
      <c r="B52" s="258"/>
      <c r="C52" s="259">
        <f ca="1">C31+C51</f>
        <v>2177484</v>
      </c>
      <c r="D52" s="258"/>
      <c r="E52" s="258"/>
      <c r="F52" s="258"/>
      <c r="G52" s="260"/>
    </row>
    <row r="55" spans="1:7" ht="15.5">
      <c r="B55" s="262" t="s">
        <v>1562</v>
      </c>
      <c r="C55" s="263"/>
    </row>
    <row r="56" spans="1:7" ht="13">
      <c r="B56" s="265" t="s">
        <v>802</v>
      </c>
      <c r="C56" s="267">
        <f ca="1">1-C57</f>
        <v>0.88800000000000001</v>
      </c>
    </row>
    <row r="57" spans="1:7" ht="13">
      <c r="B57" s="265" t="s">
        <v>803</v>
      </c>
      <c r="C57" s="266">
        <f ca="1">ROUND(C51/C52,3)</f>
        <v>0.112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v>
      </c>
      <c r="B3" s="3189"/>
      <c r="C3" s="3189"/>
      <c r="D3" s="3189"/>
      <c r="E3" s="3189"/>
    </row>
    <row r="4" spans="1:5" ht="18.5" thickBot="1">
      <c r="A4" s="1391"/>
      <c r="B4" s="3187" t="s">
        <v>917</v>
      </c>
      <c r="C4" s="3187"/>
      <c r="D4" s="3187"/>
      <c r="E4" s="1391"/>
    </row>
    <row r="5" spans="1:5" ht="16" thickTop="1">
      <c r="B5" s="3185" t="s">
        <v>909</v>
      </c>
      <c r="C5" s="1392" t="s">
        <v>910</v>
      </c>
      <c r="D5" s="797">
        <f ca="1">结果表!H101</f>
        <v>218.15899999999999</v>
      </c>
    </row>
    <row r="6" spans="1:5" ht="31">
      <c r="B6" s="3185"/>
      <c r="C6" s="1392" t="s">
        <v>911</v>
      </c>
      <c r="D6" s="797" t="str">
        <f ca="1">NUMBERSTRING(INT(D5*10000),2)&amp;"元整"</f>
        <v>贰佰壹拾捌万壹仟伍佰玖拾元整</v>
      </c>
    </row>
    <row r="7" spans="1:5" ht="15.5">
      <c r="B7" s="3190"/>
      <c r="C7" s="1393" t="s">
        <v>912</v>
      </c>
      <c r="D7" s="798">
        <f ca="1">结果表!H102</f>
        <v>38361</v>
      </c>
    </row>
    <row r="8" spans="1:5" ht="15.5">
      <c r="B8" s="3191" t="str">
        <f>结果表!E103</f>
        <v>2.估价师知悉的法定优先受偿款</v>
      </c>
      <c r="C8" s="1394" t="s">
        <v>913</v>
      </c>
      <c r="D8" s="798">
        <f>结果表!H103</f>
        <v>0</v>
      </c>
    </row>
    <row r="9" spans="1:5" ht="15.5">
      <c r="B9" s="3193"/>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4" t="str">
        <f>结果表!E107</f>
        <v>3.房地产抵押价值</v>
      </c>
      <c r="C13" s="1397" t="s">
        <v>910</v>
      </c>
      <c r="D13" s="800">
        <f ca="1">结果表!H107</f>
        <v>218.15899999999999</v>
      </c>
    </row>
    <row r="14" spans="1:5" ht="31">
      <c r="B14" s="3185"/>
      <c r="C14" s="1392" t="s">
        <v>911</v>
      </c>
      <c r="D14" s="797" t="str">
        <f ca="1">NUMBERSTRING(INT(D13*10000),2)&amp;"元整"</f>
        <v>贰佰壹拾捌万壹仟伍佰玖拾元整</v>
      </c>
    </row>
    <row r="15" spans="1:5" ht="15.5">
      <c r="B15" s="3190"/>
      <c r="C15" s="1393" t="s">
        <v>921</v>
      </c>
      <c r="D15" s="806">
        <f ca="1">结果表!H108</f>
        <v>38361</v>
      </c>
    </row>
    <row r="16" spans="1:5" ht="15">
      <c r="B16" s="3191" t="str">
        <f>结果表!E109</f>
        <v>——</v>
      </c>
      <c r="C16" s="1397" t="s">
        <v>922</v>
      </c>
      <c r="D16" s="1398" t="str">
        <f>结果表!H109</f>
        <v>——</v>
      </c>
    </row>
    <row r="17" spans="1:5" ht="15.5">
      <c r="B17" s="3192"/>
      <c r="C17" s="1392" t="s">
        <v>923</v>
      </c>
      <c r="D17" s="797" t="e">
        <f>NUMBERSTRING(INT(D16*10000),2)&amp;"元整"</f>
        <v>#VALUE!</v>
      </c>
    </row>
    <row r="18" spans="1:5" ht="15.5">
      <c r="B18" s="3193"/>
      <c r="C18" s="1393" t="s">
        <v>912</v>
      </c>
      <c r="D18" s="806" t="str">
        <f>结果表!H110</f>
        <v>——</v>
      </c>
    </row>
    <row r="19" spans="1:5" ht="15.5">
      <c r="B19" s="3184" t="str">
        <f>结果表!E111</f>
        <v>——</v>
      </c>
      <c r="C19" s="1397" t="s">
        <v>910</v>
      </c>
      <c r="D19" s="798" t="str">
        <f>结果表!H111</f>
        <v>——</v>
      </c>
    </row>
    <row r="20" spans="1:5" ht="15.5">
      <c r="B20" s="3185"/>
      <c r="C20" s="1392" t="s">
        <v>923</v>
      </c>
      <c r="D20" s="797" t="e">
        <f>NUMBERSTRING(INT(D19*10000),2)&amp;"元整"</f>
        <v>#VALUE!</v>
      </c>
    </row>
    <row r="21" spans="1:5" ht="16" thickBot="1">
      <c r="B21" s="3186"/>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G50" sqref="G50:G5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56.87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23435</v>
      </c>
      <c r="U2" s="1130"/>
      <c r="V2" s="3061">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0</v>
      </c>
      <c r="C3" s="1846" t="s">
        <v>1941</v>
      </c>
      <c r="D3" s="162" t="s">
        <v>1942</v>
      </c>
      <c r="E3" s="3116"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18472</v>
      </c>
      <c r="U3" s="1130"/>
      <c r="V3" s="3061">
        <f t="shared" ref="V3:V16" si="1">ROUND(T3*U3/10000,0)</f>
        <v>0</v>
      </c>
      <c r="W3" s="1133"/>
      <c r="X3" s="1133"/>
      <c r="Y3" s="1133"/>
      <c r="Z3" s="1133"/>
      <c r="AA3" s="1133"/>
      <c r="AB3" s="1133"/>
      <c r="AC3" s="1134"/>
      <c r="AD3" s="1135"/>
      <c r="AE3" s="1135"/>
      <c r="AF3" s="1135"/>
      <c r="AG3" s="1135"/>
      <c r="AH3" s="1135"/>
      <c r="AI3" s="1135"/>
      <c r="AJ3" s="1136"/>
    </row>
    <row r="4" spans="1:36" ht="15.5">
      <c r="A4" s="3480"/>
      <c r="B4" s="3481"/>
      <c r="C4" s="3481"/>
      <c r="D4" s="3482"/>
      <c r="E4" s="3482"/>
      <c r="F4" s="3482"/>
      <c r="G4" s="3482"/>
      <c r="H4" s="3482"/>
      <c r="I4" s="3482"/>
      <c r="J4" s="3483"/>
      <c r="K4" s="1056"/>
      <c r="L4" s="1847" t="s">
        <v>1946</v>
      </c>
      <c r="M4" s="811">
        <f>SUMPRODUCT((区片价!B55:B86=I2)*(区片价!C3:G3=E2)*(区片价!C55:G86))</f>
        <v>20890</v>
      </c>
      <c r="N4" s="813">
        <f>SUMPRODUCT((因素修正幅度!B55:B86=I2)*(因素修正幅度!C3:G3=E2)*(因素修正幅度!C55:G86))</f>
        <v>0.1</v>
      </c>
      <c r="O4" s="1056"/>
      <c r="P4" s="1056"/>
      <c r="Q4" s="1056"/>
      <c r="R4" s="1129">
        <v>3</v>
      </c>
      <c r="S4" s="3061">
        <f>ROUND(SUMPRODUCT((B106:B110=R4)*(C105:N105=G2)*(C106:N110)),4)</f>
        <v>1.0004999999999999</v>
      </c>
      <c r="T4" s="3061">
        <f t="shared" si="0"/>
        <v>15612</v>
      </c>
      <c r="U4" s="1130"/>
      <c r="V4" s="3061">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20890</v>
      </c>
      <c r="D5" s="1252">
        <f>ROUND(C6*C17+C20,0)</f>
        <v>20890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13769</v>
      </c>
      <c r="U5" s="1130"/>
      <c r="V5" s="3061">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20890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13232</v>
      </c>
      <c r="U6" s="1130"/>
      <c r="V6" s="3061">
        <f t="shared" si="1"/>
        <v>0</v>
      </c>
      <c r="W6" s="1133"/>
      <c r="X6" s="1133"/>
      <c r="Y6" s="1133"/>
      <c r="Z6" s="1133"/>
      <c r="AA6" s="1133"/>
      <c r="AB6" s="1133"/>
      <c r="AC6" s="1855"/>
      <c r="AD6" s="1856"/>
      <c r="AE6" s="1856"/>
      <c r="AF6" s="1856"/>
      <c r="AG6" s="1856"/>
      <c r="AH6" s="1856"/>
      <c r="AI6" s="1856"/>
      <c r="AJ6" s="1857"/>
    </row>
    <row r="7" spans="1:36" ht="26.5"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四级</v>
      </c>
      <c r="Y7" s="1131" t="s">
        <v>1956</v>
      </c>
      <c r="Z7" s="1132">
        <f>G3</f>
        <v>0</v>
      </c>
      <c r="AA7" s="1133"/>
      <c r="AB7" s="1133"/>
      <c r="AC7" s="1134"/>
      <c r="AD7" s="1135"/>
      <c r="AE7" s="1135"/>
      <c r="AF7" s="1135"/>
      <c r="AG7" s="1135"/>
      <c r="AH7" s="1135"/>
      <c r="AI7" s="1135"/>
      <c r="AJ7" s="1136"/>
    </row>
    <row r="8" spans="1:36" ht="25">
      <c r="A8" s="3007"/>
      <c r="B8" s="162" t="s">
        <v>1957</v>
      </c>
      <c r="C8" s="1870" t="s">
        <v>3480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7" t="s">
        <v>1960</v>
      </c>
      <c r="X8" s="347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9"/>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7"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6.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6">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6">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
      <c r="A20" s="3484" t="s">
        <v>3254</v>
      </c>
      <c r="B20" s="159" t="s">
        <v>1994</v>
      </c>
      <c r="C20" s="3029">
        <f>ROUND(IF(F21="与级别开发程度一致",0,(G21-E21)/C21),0)</f>
        <v>0</v>
      </c>
      <c r="D20" s="3044" t="s">
        <v>1998</v>
      </c>
      <c r="E20" s="3045"/>
      <c r="F20" s="3490" t="s">
        <v>1995</v>
      </c>
      <c r="G20" s="3491"/>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5.5" thickBot="1">
      <c r="A21" s="3485"/>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78" t="s">
        <v>3481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4.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6" t="s">
        <v>2002</v>
      </c>
      <c r="E23" s="717">
        <v>44197</v>
      </c>
      <c r="F23" s="1896" t="s">
        <v>2003</v>
      </c>
      <c r="G23" s="718">
        <f>'数据-取费表'!B2</f>
        <v>46003</v>
      </c>
      <c r="H23" s="3046" t="s">
        <v>3482</v>
      </c>
      <c r="I23" s="3047" t="str">
        <f>IF(H23="季度增幅（自定义）",SUMIF(N25:N28,E2,O25:O28),"")</f>
        <v/>
      </c>
      <c r="J23" s="3139" t="s">
        <v>3483</v>
      </c>
      <c r="K23" s="1061"/>
      <c r="L23" s="1897" t="s">
        <v>2004</v>
      </c>
      <c r="M23" s="1241">
        <f>ROUND(SUMIF(地价!B2:G2,E2,地价!B16:G16),0)</f>
        <v>350</v>
      </c>
      <c r="N23" s="1898"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0.70089999999999997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18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
      <c r="A25" s="1907" t="s">
        <v>366</v>
      </c>
      <c r="B25" s="1908" t="s">
        <v>3484</v>
      </c>
      <c r="C25" s="461">
        <f>IF(B25="容积率修正",IF(G3&lt;10,D26,J26),C27)</f>
        <v>1.5019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1.0395000000000001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4">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23435</v>
      </c>
      <c r="D33" s="1940">
        <f>'数据-汇总表'!E19</f>
        <v>56.87</v>
      </c>
      <c r="E33" s="727">
        <f>ROUND(C33*D33/10000,0)</f>
        <v>133</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8"/>
      <c r="B37" s="1955" t="s">
        <v>2036</v>
      </c>
      <c r="C37" s="167">
        <f>ROUND(D5*C22*C23*C24*C28*F37,0)</f>
        <v>9362</v>
      </c>
      <c r="D37" s="1940"/>
      <c r="E37" s="163">
        <f>ROUND(C37*D37/10000,0)</f>
        <v>0</v>
      </c>
      <c r="F37" s="163">
        <f>SUMIF(修正!A59:A70,G2,修正!B59:B70)</f>
        <v>0.6</v>
      </c>
      <c r="G37" s="163">
        <f>ROUND(IF(E2="工业",C37*$M$42,C37*$M$41),0)</f>
        <v>2341</v>
      </c>
      <c r="H37" s="163">
        <f>D37</f>
        <v>0</v>
      </c>
      <c r="I37" s="163">
        <f>ROUND(G37*H37/10000,0)</f>
        <v>0</v>
      </c>
      <c r="J37" s="2752"/>
      <c r="K37" s="3059" t="s">
        <v>3264</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9"/>
      <c r="B38" s="1884" t="s">
        <v>2037</v>
      </c>
      <c r="C38" s="167">
        <f>ROUND(D5*C22*C23*C24*C28*F38,0)</f>
        <v>4681</v>
      </c>
      <c r="D38" s="1940"/>
      <c r="E38" s="163">
        <f t="shared" ref="E38:E42" si="4">ROUND(C38*D38/10000,0)</f>
        <v>0</v>
      </c>
      <c r="F38" s="163">
        <f>SUMIF(修正!A59:A70,G2,修正!C59:C70)</f>
        <v>0.3</v>
      </c>
      <c r="G38" s="163">
        <f>ROUND(IF(E2="工业",C38*$M$42,C38*$M$41),0)</f>
        <v>1170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9"/>
      <c r="B39" s="1884" t="s">
        <v>3257</v>
      </c>
      <c r="C39" s="167">
        <f>ROUND(D5*C22*C23*C24*C28*F39,0)</f>
        <v>3901</v>
      </c>
      <c r="D39" s="1940"/>
      <c r="E39" s="163">
        <f t="shared" si="4"/>
        <v>0</v>
      </c>
      <c r="F39" s="163">
        <f>SUMIF(修正!A59:A70,G2,修正!D59:D70)</f>
        <v>0.25</v>
      </c>
      <c r="G39" s="163">
        <f>ROUND(IF(E2="工业",C39*$M$42,C39*$M$41),0)</f>
        <v>975</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3901</v>
      </c>
      <c r="D40" s="1940"/>
      <c r="E40" s="163">
        <f t="shared" si="4"/>
        <v>0</v>
      </c>
      <c r="F40" s="167">
        <f>SUMIF(修正!A59:A70,G2,修正!E59:E70)</f>
        <v>0.25</v>
      </c>
      <c r="G40" s="163">
        <f>ROUND(IF(E2="工业",C40*$M$42,C40*$M$41),0)</f>
        <v>975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1.0395000000000001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t="s">
        <v>3445</v>
      </c>
      <c r="D50" s="1002">
        <f t="shared" ref="D50:D58" si="7">SUMIF($J$49:$N$49,C50,J50:N50)</f>
        <v>1.4999999999999999E-2</v>
      </c>
      <c r="E50" s="702">
        <f>ROUND(SUM(D50:D58),4)</f>
        <v>3.95E-2</v>
      </c>
      <c r="F50" s="1675">
        <f>IF(E2="商业",SUMIF(L1:L12,G2,N1:N12),"——")</f>
        <v>0.1</v>
      </c>
      <c r="G50" s="1000">
        <v>1.4999999999999999E-2</v>
      </c>
      <c r="H50" s="1003">
        <f t="shared" ref="H50:H58" si="8">IFERROR(ROUNDDOWN($F$50*I50/2,4),"——")</f>
        <v>1.4999999999999999E-2</v>
      </c>
      <c r="I50" s="3066">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t="s">
        <v>3445</v>
      </c>
      <c r="D51" s="1002">
        <f t="shared" si="7"/>
        <v>1.0999999999999999E-2</v>
      </c>
      <c r="E51" s="703"/>
      <c r="F51" s="1675"/>
      <c r="G51" s="1000">
        <v>1.0999999999999999E-2</v>
      </c>
      <c r="H51" s="1003">
        <f t="shared" si="8"/>
        <v>1.0999999999999999E-2</v>
      </c>
      <c r="I51" s="3066">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9">
      <c r="A52" s="3068" t="s">
        <v>3267</v>
      </c>
      <c r="B52" s="1262">
        <f>估价对象房地状况!C19</f>
        <v>0</v>
      </c>
      <c r="C52" s="1887" t="s">
        <v>3445</v>
      </c>
      <c r="D52" s="1002">
        <f t="shared" si="7"/>
        <v>6.0000000000000001E-3</v>
      </c>
      <c r="E52" s="703"/>
      <c r="F52" s="1675"/>
      <c r="G52" s="1000">
        <v>6.0000000000000001E-3</v>
      </c>
      <c r="H52" s="1003">
        <f t="shared" si="8"/>
        <v>6.0000000000000001E-3</v>
      </c>
      <c r="I52" s="3066">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9">
      <c r="A53" s="1970" t="s">
        <v>2054</v>
      </c>
      <c r="B53" s="1974" t="s">
        <v>2055</v>
      </c>
      <c r="C53" s="1887" t="s">
        <v>3466</v>
      </c>
      <c r="D53" s="1002">
        <f t="shared" si="7"/>
        <v>0</v>
      </c>
      <c r="E53" s="703"/>
      <c r="F53" s="1675"/>
      <c r="G53" s="1000">
        <v>2.5000000000000001E-3</v>
      </c>
      <c r="H53" s="1003">
        <f t="shared" si="8"/>
        <v>2.5000000000000001E-3</v>
      </c>
      <c r="I53" s="3066">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t="s">
        <v>3469</v>
      </c>
      <c r="D54" s="1002">
        <f t="shared" si="7"/>
        <v>-8.0000000000000002E-3</v>
      </c>
      <c r="E54" s="703"/>
      <c r="F54" s="1675"/>
      <c r="G54" s="1000">
        <v>4.0000000000000001E-3</v>
      </c>
      <c r="H54" s="1003">
        <f t="shared" si="8"/>
        <v>4.0000000000000001E-3</v>
      </c>
      <c r="I54" s="3066">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6">
      <c r="A55" s="1970" t="s">
        <v>2057</v>
      </c>
      <c r="B55" s="1975" t="s">
        <v>2058</v>
      </c>
      <c r="C55" s="1887" t="s">
        <v>3445</v>
      </c>
      <c r="D55" s="1002">
        <f t="shared" si="7"/>
        <v>2.5000000000000001E-3</v>
      </c>
      <c r="E55" s="703"/>
      <c r="F55" s="1675"/>
      <c r="G55" s="1000">
        <v>2.5000000000000001E-3</v>
      </c>
      <c r="H55" s="1003">
        <f t="shared" si="8"/>
        <v>2.5000000000000001E-3</v>
      </c>
      <c r="I55" s="3066">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t="s">
        <v>3445</v>
      </c>
      <c r="D56" s="1002">
        <f t="shared" si="7"/>
        <v>2.5000000000000001E-3</v>
      </c>
      <c r="E56" s="703"/>
      <c r="F56" s="1675"/>
      <c r="G56" s="1000">
        <v>2.5000000000000001E-3</v>
      </c>
      <c r="H56" s="1003">
        <f t="shared" si="8"/>
        <v>2.5000000000000001E-3</v>
      </c>
      <c r="I56" s="3066">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t="s">
        <v>3463</v>
      </c>
      <c r="D57" s="1002">
        <f t="shared" si="7"/>
        <v>8.0000000000000002E-3</v>
      </c>
      <c r="E57" s="703"/>
      <c r="F57" s="1675"/>
      <c r="G57" s="1000">
        <v>4.0000000000000001E-3</v>
      </c>
      <c r="H57" s="1003">
        <f t="shared" si="8"/>
        <v>4.0000000000000001E-3</v>
      </c>
      <c r="I57" s="3066">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t="s">
        <v>3445</v>
      </c>
      <c r="D58" s="1002">
        <f t="shared" si="7"/>
        <v>2.5000000000000001E-3</v>
      </c>
      <c r="E58" s="704"/>
      <c r="F58" s="1675"/>
      <c r="G58" s="1000">
        <v>2.5000000000000001E-3</v>
      </c>
      <c r="H58" s="1003">
        <f t="shared" si="8"/>
        <v>2.5000000000000001E-3</v>
      </c>
      <c r="I58" s="3067">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9">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4">
      <c r="A91" s="3076" t="s">
        <v>2612</v>
      </c>
      <c r="B91" s="3077">
        <f>1+E93</f>
        <v>1</v>
      </c>
      <c r="C91" s="3070"/>
      <c r="D91" s="3071"/>
      <c r="E91" s="1675"/>
      <c r="F91" s="1675"/>
      <c r="G91" s="3072"/>
      <c r="H91" s="3073"/>
      <c r="I91" s="3074"/>
      <c r="J91" s="3075"/>
      <c r="K91" s="3075"/>
      <c r="L91" s="3075"/>
      <c r="M91" s="3075"/>
      <c r="N91" s="3075"/>
    </row>
    <row r="92" spans="1:37" ht="26">
      <c r="A92" s="3078" t="s">
        <v>3269</v>
      </c>
      <c r="B92" s="2308"/>
      <c r="C92" s="2308" t="s">
        <v>3278</v>
      </c>
      <c r="D92" s="2308" t="s">
        <v>3279</v>
      </c>
      <c r="E92" s="3050" t="s">
        <v>3280</v>
      </c>
      <c r="F92" s="3080" t="s">
        <v>3281</v>
      </c>
      <c r="G92" s="2308" t="s">
        <v>3282</v>
      </c>
      <c r="H92" s="3087" t="s">
        <v>3285</v>
      </c>
      <c r="I92" s="2308" t="s">
        <v>3286</v>
      </c>
      <c r="J92" s="2149" t="s">
        <v>3287</v>
      </c>
      <c r="K92" s="2149" t="s">
        <v>3288</v>
      </c>
      <c r="L92" s="2149" t="s">
        <v>3289</v>
      </c>
      <c r="M92" s="2149" t="s">
        <v>3290</v>
      </c>
      <c r="N92" s="2149" t="s">
        <v>3291</v>
      </c>
    </row>
    <row r="93" spans="1:37" ht="26">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0">
      <c r="A94" s="3078" t="s">
        <v>3271</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9">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9">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
      <c r="A97" s="3078" t="s">
        <v>3273</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6">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
      <c r="A99" s="3078" t="s">
        <v>3275</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5" thickBot="1">
      <c r="A101" s="3079" t="s">
        <v>3277</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ht="13">
      <c r="A103" s="3486" t="s">
        <v>3292</v>
      </c>
      <c r="B103" s="3486"/>
      <c r="C103" s="3486"/>
      <c r="D103" s="3486"/>
      <c r="E103" s="3486"/>
      <c r="F103" s="3486"/>
      <c r="G103" s="3486"/>
      <c r="H103" s="3486"/>
      <c r="I103" s="3486"/>
      <c r="J103" s="3486"/>
      <c r="K103" s="1667"/>
      <c r="L103" s="1667"/>
      <c r="M103" s="1667"/>
      <c r="N103" s="1667"/>
    </row>
    <row r="104" spans="1:14" ht="13">
      <c r="A104" s="3487" t="s">
        <v>3293</v>
      </c>
      <c r="B104" s="3487" t="s">
        <v>3294</v>
      </c>
      <c r="C104" s="3088" t="s">
        <v>3295</v>
      </c>
      <c r="D104" s="3089"/>
      <c r="E104" s="3089"/>
      <c r="F104" s="3089"/>
      <c r="G104" s="3089"/>
      <c r="H104" s="3089"/>
      <c r="I104" s="3089"/>
      <c r="J104" s="3090"/>
      <c r="K104" s="3091"/>
      <c r="L104" s="3091"/>
      <c r="M104" s="3091"/>
      <c r="N104" s="3091"/>
    </row>
    <row r="105" spans="1:14" ht="13">
      <c r="A105" s="3487"/>
      <c r="B105" s="3487"/>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73"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ht="13">
      <c r="A111" s="3474"/>
      <c r="B111" s="3092" t="s">
        <v>3266</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75"/>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ht="13">
      <c r="A113" s="3476" t="s">
        <v>3309</v>
      </c>
      <c r="B113" s="3476"/>
      <c r="C113" s="3476"/>
      <c r="D113" s="3476"/>
      <c r="E113" s="3476"/>
      <c r="F113" s="3476"/>
      <c r="G113" s="3476"/>
      <c r="H113" s="3476"/>
      <c r="I113" s="3476"/>
      <c r="J113" s="347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 thickBot="1">
      <c r="A115" s="3095"/>
      <c r="B115" s="3095"/>
      <c r="C115" s="3095"/>
      <c r="D115" s="3095"/>
      <c r="E115" s="3095"/>
      <c r="F115" s="3095"/>
      <c r="G115" s="3095"/>
      <c r="H115" s="3095"/>
      <c r="I115" s="3095"/>
      <c r="J115" s="3095"/>
      <c r="K115" s="1964"/>
      <c r="L115" s="3095"/>
      <c r="M115" s="3095"/>
      <c r="N115" s="3095"/>
    </row>
    <row r="116" spans="1:14" ht="26" thickBot="1">
      <c r="A116" s="3096" t="s">
        <v>3310</v>
      </c>
      <c r="B116" s="3112">
        <f>G3</f>
        <v>0</v>
      </c>
      <c r="C116" s="3097" t="s">
        <v>3311</v>
      </c>
      <c r="D116" s="3098">
        <f>SUMPRODUCT((A118:A122=F116)*(B117:M117=H116)*B118:M122)</f>
        <v>0.94899999999999995</v>
      </c>
      <c r="E116" s="162" t="s">
        <v>3312</v>
      </c>
      <c r="F116" s="3099" t="str">
        <f>E2</f>
        <v>商业</v>
      </c>
      <c r="G116" s="162" t="s">
        <v>3313</v>
      </c>
      <c r="H116" s="3099" t="str">
        <f>G2</f>
        <v>四级</v>
      </c>
      <c r="I116" s="162"/>
      <c r="J116" s="3100"/>
      <c r="K116" s="3100"/>
      <c r="L116" s="3100"/>
      <c r="M116" s="3100"/>
      <c r="N116" s="3095"/>
    </row>
    <row r="117" spans="1:14" ht="13">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ht="13">
      <c r="A118" s="3055" t="s">
        <v>3326</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ht="13">
      <c r="A119" s="3055" t="s">
        <v>3327</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ht="13">
      <c r="A120" s="3055" t="s">
        <v>3328</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3329</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ht="13">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964B2-D0A0-4B62-8FEA-05A383DC3633}">
  <dimension ref="A1"/>
  <sheetViews>
    <sheetView workbookViewId="0"/>
  </sheetViews>
  <sheetFormatPr defaultRowHeight="14"/>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1" customWidth="1"/>
    <col min="14" max="14" width="10" style="2811" customWidth="1"/>
    <col min="15" max="16" width="8.26953125" style="2811"/>
    <col min="17" max="17" width="34.08984375" style="2811" customWidth="1"/>
    <col min="18" max="18" width="8.26953125" style="2811" customWidth="1"/>
    <col min="19" max="19" width="8.26953125" style="2811"/>
    <col min="20" max="20" width="11.6328125" style="2811" customWidth="1"/>
    <col min="21" max="16384" width="8.269531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02" t="s">
        <v>2607</v>
      </c>
      <c r="B20" s="3492" t="s">
        <v>2628</v>
      </c>
      <c r="C20" s="3166" t="s">
        <v>2439</v>
      </c>
      <c r="D20" s="3166"/>
      <c r="E20" s="2842">
        <v>1</v>
      </c>
      <c r="F20" s="2843" t="s">
        <v>2440</v>
      </c>
      <c r="G20" s="2843"/>
    </row>
    <row r="21" spans="1:13" ht="19.5" customHeight="1">
      <c r="A21" s="3503"/>
      <c r="B21" s="3493"/>
      <c r="C21" s="2855" t="s">
        <v>2441</v>
      </c>
      <c r="D21" s="2855"/>
      <c r="E21" s="2846">
        <v>1</v>
      </c>
      <c r="F21" s="2843" t="s">
        <v>2442</v>
      </c>
      <c r="G21" s="2843"/>
    </row>
    <row r="22" spans="1:13" ht="19.5" customHeight="1">
      <c r="A22" s="3503"/>
      <c r="B22" s="3493"/>
      <c r="C22" s="2855" t="s">
        <v>2443</v>
      </c>
      <c r="D22" s="2855"/>
      <c r="E22" s="2846">
        <v>0.9</v>
      </c>
      <c r="F22" s="2843" t="s">
        <v>2444</v>
      </c>
      <c r="G22" s="2843"/>
    </row>
    <row r="23" spans="1:13" ht="19.5" customHeight="1">
      <c r="A23" s="3503"/>
      <c r="B23" s="3493"/>
      <c r="C23" s="2855" t="s">
        <v>2445</v>
      </c>
      <c r="D23" s="2855"/>
      <c r="E23" s="2846">
        <v>0.9</v>
      </c>
      <c r="F23" s="2843" t="s">
        <v>2446</v>
      </c>
      <c r="G23" s="2843"/>
    </row>
    <row r="24" spans="1:13" ht="19.5" customHeight="1">
      <c r="A24" s="3503"/>
      <c r="B24" s="3493"/>
      <c r="C24" s="2855" t="s">
        <v>2447</v>
      </c>
      <c r="D24" s="2855"/>
      <c r="E24" s="2846">
        <v>0.8</v>
      </c>
      <c r="F24" s="2843" t="s">
        <v>2448</v>
      </c>
      <c r="G24" s="2843"/>
    </row>
    <row r="25" spans="1:13" ht="19.5" customHeight="1">
      <c r="A25" s="3503"/>
      <c r="B25" s="3493"/>
      <c r="C25" s="2855" t="s">
        <v>2449</v>
      </c>
      <c r="D25" s="2855"/>
      <c r="E25" s="2846">
        <v>0.8</v>
      </c>
      <c r="F25" s="2843"/>
      <c r="G25" s="2843"/>
    </row>
    <row r="26" spans="1:13" ht="19.5" customHeight="1">
      <c r="A26" s="3503"/>
      <c r="B26" s="3493"/>
      <c r="C26" s="2855" t="s">
        <v>3406</v>
      </c>
      <c r="D26" s="2855"/>
      <c r="E26" s="2846">
        <v>0.43</v>
      </c>
      <c r="F26" s="2843"/>
      <c r="G26" s="2843"/>
    </row>
    <row r="27" spans="1:13" ht="19.5" customHeight="1" thickBot="1">
      <c r="A27" s="3504"/>
      <c r="B27" s="3494"/>
      <c r="C27" s="3162" t="s">
        <v>3407</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95" t="s">
        <v>2631</v>
      </c>
      <c r="B29" s="3498" t="s">
        <v>2612</v>
      </c>
      <c r="C29" s="2840" t="s">
        <v>2452</v>
      </c>
      <c r="D29" s="2841"/>
      <c r="E29" s="2842">
        <v>1</v>
      </c>
      <c r="F29" s="2843" t="s">
        <v>2453</v>
      </c>
      <c r="G29" s="2843"/>
    </row>
    <row r="30" spans="1:13" ht="19.5" customHeight="1">
      <c r="A30" s="3496"/>
      <c r="B30" s="3499"/>
      <c r="C30" s="2844" t="s">
        <v>2454</v>
      </c>
      <c r="D30" s="2845"/>
      <c r="E30" s="2846">
        <v>1</v>
      </c>
      <c r="F30" s="2843" t="s">
        <v>2455</v>
      </c>
      <c r="G30" s="2843"/>
    </row>
    <row r="31" spans="1:13" ht="19.5" customHeight="1">
      <c r="A31" s="3496"/>
      <c r="B31" s="3499"/>
      <c r="C31" s="2844" t="s">
        <v>2456</v>
      </c>
      <c r="D31" s="2845"/>
      <c r="E31" s="2846">
        <v>0.8</v>
      </c>
      <c r="F31" s="2843" t="s">
        <v>2457</v>
      </c>
      <c r="G31" s="2843"/>
    </row>
    <row r="32" spans="1:13" ht="19.5" customHeight="1">
      <c r="A32" s="3496"/>
      <c r="B32" s="3499"/>
      <c r="C32" s="2844" t="s">
        <v>2458</v>
      </c>
      <c r="D32" s="2845"/>
      <c r="E32" s="2846">
        <v>0.8</v>
      </c>
      <c r="F32" s="2843" t="s">
        <v>2459</v>
      </c>
      <c r="G32" s="2843"/>
    </row>
    <row r="33" spans="1:7" ht="19.5" customHeight="1">
      <c r="A33" s="3496"/>
      <c r="B33" s="3499"/>
      <c r="C33" s="2844" t="s">
        <v>2460</v>
      </c>
      <c r="D33" s="2845"/>
      <c r="E33" s="2846">
        <v>0.8</v>
      </c>
      <c r="F33" s="2843" t="s">
        <v>2461</v>
      </c>
      <c r="G33" s="2843"/>
    </row>
    <row r="34" spans="1:7" ht="19.5" customHeight="1">
      <c r="A34" s="3496"/>
      <c r="B34" s="3499"/>
      <c r="C34" s="2844" t="s">
        <v>2462</v>
      </c>
      <c r="D34" s="2845"/>
      <c r="E34" s="2846">
        <v>0.7</v>
      </c>
      <c r="F34" s="2843" t="s">
        <v>2463</v>
      </c>
      <c r="G34" s="2843"/>
    </row>
    <row r="35" spans="1:7" ht="19.5" customHeight="1">
      <c r="A35" s="3496"/>
      <c r="B35" s="3499"/>
      <c r="C35" s="2844" t="s">
        <v>2464</v>
      </c>
      <c r="D35" s="2845"/>
      <c r="E35" s="2846">
        <v>0.8</v>
      </c>
      <c r="F35" s="2843" t="s">
        <v>2465</v>
      </c>
      <c r="G35" s="2843"/>
    </row>
    <row r="36" spans="1:7" ht="19.5" customHeight="1">
      <c r="A36" s="3496"/>
      <c r="B36" s="3499"/>
      <c r="C36" s="2844" t="s">
        <v>2466</v>
      </c>
      <c r="D36" s="2845"/>
      <c r="E36" s="2846">
        <v>0.6</v>
      </c>
      <c r="F36" s="2843" t="s">
        <v>2467</v>
      </c>
      <c r="G36" s="2843"/>
    </row>
    <row r="37" spans="1:7" ht="19.5" customHeight="1">
      <c r="A37" s="3496"/>
      <c r="B37" s="3499"/>
      <c r="C37" s="2844" t="s">
        <v>2468</v>
      </c>
      <c r="D37" s="2845"/>
      <c r="E37" s="2846">
        <v>0.2</v>
      </c>
      <c r="F37" s="2843" t="s">
        <v>2469</v>
      </c>
      <c r="G37" s="2843"/>
    </row>
    <row r="38" spans="1:7" ht="19.5" customHeight="1">
      <c r="A38" s="3496"/>
      <c r="B38" s="3499"/>
      <c r="C38" s="2844" t="s">
        <v>2470</v>
      </c>
      <c r="D38" s="2845"/>
      <c r="E38" s="2846">
        <v>0.2</v>
      </c>
      <c r="F38" s="2843" t="s">
        <v>2471</v>
      </c>
      <c r="G38" s="2843"/>
    </row>
    <row r="39" spans="1:7" ht="19.5" customHeight="1">
      <c r="A39" s="3496"/>
      <c r="B39" s="3500" t="s">
        <v>2632</v>
      </c>
      <c r="C39" s="2844" t="s">
        <v>2472</v>
      </c>
      <c r="D39" s="2845"/>
      <c r="E39" s="2846">
        <v>0.6</v>
      </c>
      <c r="F39" s="2843" t="s">
        <v>2473</v>
      </c>
      <c r="G39" s="2843"/>
    </row>
    <row r="40" spans="1:7" ht="19.5" customHeight="1">
      <c r="A40" s="3496"/>
      <c r="B40" s="3499"/>
      <c r="C40" s="2844" t="s">
        <v>2474</v>
      </c>
      <c r="D40" s="2845"/>
      <c r="E40" s="2846">
        <v>0.6</v>
      </c>
      <c r="F40" s="2843" t="s">
        <v>2475</v>
      </c>
      <c r="G40" s="2843"/>
    </row>
    <row r="41" spans="1:7" ht="19.5" customHeight="1" thickBot="1">
      <c r="A41" s="3497"/>
      <c r="B41" s="3501"/>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502" t="s">
        <v>2610</v>
      </c>
      <c r="B43" s="3498" t="s">
        <v>2634</v>
      </c>
      <c r="C43" s="2840" t="s">
        <v>2479</v>
      </c>
      <c r="D43" s="2841"/>
      <c r="E43" s="2842">
        <v>1</v>
      </c>
      <c r="F43" s="2843" t="s">
        <v>2480</v>
      </c>
      <c r="G43" s="2843"/>
    </row>
    <row r="44" spans="1:7" ht="19.5" customHeight="1">
      <c r="A44" s="3503"/>
      <c r="B44" s="3499"/>
      <c r="C44" s="2844" t="s">
        <v>2481</v>
      </c>
      <c r="D44" s="2845"/>
      <c r="E44" s="2846">
        <v>1</v>
      </c>
      <c r="F44" s="2843" t="s">
        <v>2482</v>
      </c>
      <c r="G44" s="2843"/>
    </row>
    <row r="45" spans="1:7" ht="19.5" customHeight="1">
      <c r="A45" s="3503"/>
      <c r="B45" s="3505"/>
      <c r="C45" s="2844" t="s">
        <v>2483</v>
      </c>
      <c r="D45" s="2845"/>
      <c r="E45" s="2846">
        <v>1.5</v>
      </c>
      <c r="F45" s="2843" t="s">
        <v>2484</v>
      </c>
      <c r="G45" s="2843"/>
    </row>
    <row r="46" spans="1:7" ht="19.5" customHeight="1">
      <c r="A46" s="3503"/>
      <c r="B46" s="2855" t="s">
        <v>2635</v>
      </c>
      <c r="C46" s="2844" t="s">
        <v>2636</v>
      </c>
      <c r="D46" s="2845"/>
      <c r="E46" s="2846">
        <v>2</v>
      </c>
      <c r="F46" s="2843" t="s">
        <v>2485</v>
      </c>
      <c r="G46" s="2843"/>
    </row>
    <row r="47" spans="1:7" ht="19.5" customHeight="1">
      <c r="A47" s="3503"/>
      <c r="B47" s="3500" t="s">
        <v>2637</v>
      </c>
      <c r="C47" s="2844" t="s">
        <v>2486</v>
      </c>
      <c r="D47" s="2845"/>
      <c r="E47" s="2846">
        <v>1</v>
      </c>
      <c r="F47" s="2843" t="s">
        <v>2487</v>
      </c>
      <c r="G47" s="2843"/>
    </row>
    <row r="48" spans="1:7" ht="19.5" customHeight="1">
      <c r="A48" s="3503"/>
      <c r="B48" s="3499"/>
      <c r="C48" s="2844" t="s">
        <v>2488</v>
      </c>
      <c r="D48" s="2845"/>
      <c r="E48" s="2846">
        <v>1</v>
      </c>
      <c r="F48" s="2843" t="s">
        <v>2489</v>
      </c>
      <c r="G48" s="2843"/>
    </row>
    <row r="49" spans="1:7" ht="19.5" customHeight="1">
      <c r="A49" s="3503"/>
      <c r="B49" s="3499"/>
      <c r="C49" s="2844" t="s">
        <v>2490</v>
      </c>
      <c r="D49" s="2845"/>
      <c r="E49" s="2846">
        <v>1</v>
      </c>
      <c r="F49" s="2843" t="s">
        <v>2491</v>
      </c>
      <c r="G49" s="2843"/>
    </row>
    <row r="50" spans="1:7" ht="19.5" customHeight="1">
      <c r="A50" s="3503"/>
      <c r="B50" s="3499"/>
      <c r="C50" s="2844" t="s">
        <v>2492</v>
      </c>
      <c r="D50" s="2845"/>
      <c r="E50" s="2846">
        <v>1</v>
      </c>
      <c r="F50" s="2843" t="s">
        <v>2493</v>
      </c>
      <c r="G50" s="2843"/>
    </row>
    <row r="51" spans="1:7" ht="19.5" customHeight="1">
      <c r="A51" s="3503"/>
      <c r="B51" s="3499"/>
      <c r="C51" s="2844" t="s">
        <v>2494</v>
      </c>
      <c r="D51" s="2845"/>
      <c r="E51" s="2846">
        <v>1</v>
      </c>
      <c r="F51" s="2843" t="s">
        <v>2495</v>
      </c>
      <c r="G51" s="2843"/>
    </row>
    <row r="52" spans="1:7" ht="19.5" customHeight="1">
      <c r="A52" s="3503"/>
      <c r="B52" s="3499"/>
      <c r="C52" s="2844" t="s">
        <v>2496</v>
      </c>
      <c r="D52" s="2845"/>
      <c r="E52" s="2846">
        <v>1</v>
      </c>
      <c r="F52" s="2843" t="s">
        <v>2497</v>
      </c>
      <c r="G52" s="2843"/>
    </row>
    <row r="53" spans="1:7" ht="19.5" customHeight="1" thickBot="1">
      <c r="A53" s="3504"/>
      <c r="B53" s="3501"/>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
      <c r="A74" s="2855"/>
      <c r="B74" s="2855"/>
      <c r="C74" s="2855" t="s">
        <v>2650</v>
      </c>
      <c r="D74" s="2855"/>
      <c r="E74" s="2855" t="s">
        <v>2621</v>
      </c>
      <c r="F74" s="2855" t="s">
        <v>2621</v>
      </c>
    </row>
    <row r="75" spans="1:7" ht="14">
      <c r="A75" s="2855">
        <v>1</v>
      </c>
      <c r="B75" s="3500" t="s">
        <v>2651</v>
      </c>
      <c r="C75" s="2829" t="s">
        <v>2652</v>
      </c>
      <c r="D75" s="2829" t="s">
        <v>2653</v>
      </c>
      <c r="E75" s="2855">
        <v>0.2</v>
      </c>
      <c r="F75" s="2855">
        <v>25</v>
      </c>
    </row>
    <row r="76" spans="1:7" ht="26">
      <c r="A76" s="2855">
        <v>2</v>
      </c>
      <c r="B76" s="3499"/>
      <c r="C76" s="2829" t="s">
        <v>2654</v>
      </c>
      <c r="D76" s="2829" t="s">
        <v>2655</v>
      </c>
      <c r="E76" s="2855">
        <v>0.2</v>
      </c>
      <c r="F76" s="2855">
        <v>25</v>
      </c>
    </row>
    <row r="77" spans="1:7" ht="26">
      <c r="A77" s="2855">
        <v>3</v>
      </c>
      <c r="B77" s="3499"/>
      <c r="C77" s="2829" t="s">
        <v>2656</v>
      </c>
      <c r="D77" s="2829" t="s">
        <v>2657</v>
      </c>
      <c r="E77" s="2855">
        <v>0.2</v>
      </c>
      <c r="F77" s="2855">
        <v>25</v>
      </c>
    </row>
    <row r="78" spans="1:7" ht="14">
      <c r="A78" s="2855">
        <v>4</v>
      </c>
      <c r="B78" s="3499"/>
      <c r="C78" s="2829" t="s">
        <v>2658</v>
      </c>
      <c r="D78" s="2829" t="s">
        <v>2659</v>
      </c>
      <c r="E78" s="2855">
        <v>0.15</v>
      </c>
      <c r="F78" s="2855">
        <v>20</v>
      </c>
    </row>
    <row r="79" spans="1:7" ht="26">
      <c r="A79" s="2855">
        <v>5</v>
      </c>
      <c r="B79" s="3499"/>
      <c r="C79" s="2829" t="s">
        <v>2660</v>
      </c>
      <c r="D79" s="2829" t="s">
        <v>2661</v>
      </c>
      <c r="E79" s="2855">
        <v>0.15</v>
      </c>
      <c r="F79" s="2855">
        <v>20</v>
      </c>
    </row>
    <row r="80" spans="1:7" ht="26">
      <c r="A80" s="2855">
        <v>6</v>
      </c>
      <c r="B80" s="3499"/>
      <c r="C80" s="2829" t="s">
        <v>2662</v>
      </c>
      <c r="D80" s="2829" t="s">
        <v>2663</v>
      </c>
      <c r="E80" s="2855">
        <v>0.15</v>
      </c>
      <c r="F80" s="2855">
        <v>20</v>
      </c>
    </row>
    <row r="81" spans="1:6" ht="26">
      <c r="A81" s="2855">
        <v>7</v>
      </c>
      <c r="B81" s="3499"/>
      <c r="C81" s="2829" t="s">
        <v>2664</v>
      </c>
      <c r="D81" s="2829" t="s">
        <v>2665</v>
      </c>
      <c r="E81" s="2855">
        <v>0.15</v>
      </c>
      <c r="F81" s="2855">
        <v>20</v>
      </c>
    </row>
    <row r="82" spans="1:6" ht="26">
      <c r="A82" s="2855">
        <v>8</v>
      </c>
      <c r="B82" s="3499"/>
      <c r="C82" s="2829" t="s">
        <v>2666</v>
      </c>
      <c r="D82" s="2829" t="s">
        <v>2667</v>
      </c>
      <c r="E82" s="2855">
        <v>0.1</v>
      </c>
      <c r="F82" s="2855">
        <v>15</v>
      </c>
    </row>
    <row r="83" spans="1:6" ht="26">
      <c r="A83" s="2855">
        <v>9</v>
      </c>
      <c r="B83" s="3499"/>
      <c r="C83" s="2829" t="s">
        <v>2668</v>
      </c>
      <c r="D83" s="2829" t="s">
        <v>2669</v>
      </c>
      <c r="E83" s="2855">
        <v>0.1</v>
      </c>
      <c r="F83" s="2855">
        <v>15</v>
      </c>
    </row>
    <row r="84" spans="1:6" ht="26">
      <c r="A84" s="2855">
        <v>10</v>
      </c>
      <c r="B84" s="3499"/>
      <c r="C84" s="2829" t="s">
        <v>2670</v>
      </c>
      <c r="D84" s="2829" t="s">
        <v>2671</v>
      </c>
      <c r="E84" s="2855">
        <v>0.1</v>
      </c>
      <c r="F84" s="2855">
        <v>15</v>
      </c>
    </row>
    <row r="85" spans="1:6" ht="26">
      <c r="A85" s="2855">
        <v>11</v>
      </c>
      <c r="B85" s="3499"/>
      <c r="C85" s="2829" t="s">
        <v>2672</v>
      </c>
      <c r="D85" s="2829" t="s">
        <v>2673</v>
      </c>
      <c r="E85" s="2855">
        <v>0.1</v>
      </c>
      <c r="F85" s="2855">
        <v>15</v>
      </c>
    </row>
    <row r="86" spans="1:6" ht="26">
      <c r="A86" s="2855">
        <v>12</v>
      </c>
      <c r="B86" s="3499"/>
      <c r="C86" s="2829" t="s">
        <v>2674</v>
      </c>
      <c r="D86" s="2829" t="s">
        <v>2675</v>
      </c>
      <c r="E86" s="2855">
        <v>0.1</v>
      </c>
      <c r="F86" s="2855">
        <v>15</v>
      </c>
    </row>
    <row r="87" spans="1:6" ht="14">
      <c r="A87" s="2855">
        <v>13</v>
      </c>
      <c r="B87" s="3499"/>
      <c r="C87" s="2829" t="s">
        <v>2676</v>
      </c>
      <c r="D87" s="2829" t="s">
        <v>2677</v>
      </c>
      <c r="E87" s="2855">
        <v>0.1</v>
      </c>
      <c r="F87" s="2855">
        <v>15</v>
      </c>
    </row>
    <row r="88" spans="1:6" ht="14">
      <c r="A88" s="2855">
        <v>14</v>
      </c>
      <c r="B88" s="3499"/>
      <c r="C88" s="2829" t="s">
        <v>2678</v>
      </c>
      <c r="D88" s="2829" t="s">
        <v>2679</v>
      </c>
      <c r="E88" s="2855">
        <v>0.1</v>
      </c>
      <c r="F88" s="2855">
        <v>15</v>
      </c>
    </row>
    <row r="89" spans="1:6" ht="14">
      <c r="A89" s="2855">
        <v>15</v>
      </c>
      <c r="B89" s="3499"/>
      <c r="C89" s="2829" t="s">
        <v>2680</v>
      </c>
      <c r="D89" s="2829" t="s">
        <v>2681</v>
      </c>
      <c r="E89" s="2855">
        <v>0.1</v>
      </c>
      <c r="F89" s="2855">
        <v>15</v>
      </c>
    </row>
    <row r="90" spans="1:6" ht="26">
      <c r="A90" s="2855">
        <v>16</v>
      </c>
      <c r="B90" s="3499"/>
      <c r="C90" s="2829" t="s">
        <v>2682</v>
      </c>
      <c r="D90" s="2829" t="s">
        <v>2683</v>
      </c>
      <c r="E90" s="2855">
        <v>0.1</v>
      </c>
      <c r="F90" s="2855">
        <v>15</v>
      </c>
    </row>
    <row r="91" spans="1:6" ht="26">
      <c r="A91" s="2855">
        <v>17</v>
      </c>
      <c r="B91" s="3505"/>
      <c r="C91" s="2829" t="s">
        <v>2684</v>
      </c>
      <c r="D91" s="2829" t="s">
        <v>2685</v>
      </c>
      <c r="E91" s="2855">
        <v>0.1</v>
      </c>
      <c r="F91" s="2855">
        <v>15</v>
      </c>
    </row>
    <row r="92" spans="1:6" ht="14">
      <c r="A92" s="2855">
        <v>18</v>
      </c>
      <c r="B92" s="3500" t="s">
        <v>2686</v>
      </c>
      <c r="C92" s="2829" t="s">
        <v>2687</v>
      </c>
      <c r="D92" s="2829" t="s">
        <v>2688</v>
      </c>
      <c r="E92" s="2855">
        <v>0.2</v>
      </c>
      <c r="F92" s="2855">
        <v>25</v>
      </c>
    </row>
    <row r="93" spans="1:6" ht="26">
      <c r="A93" s="2855">
        <v>19</v>
      </c>
      <c r="B93" s="3499"/>
      <c r="C93" s="2829" t="s">
        <v>2689</v>
      </c>
      <c r="D93" s="2829" t="s">
        <v>2690</v>
      </c>
      <c r="E93" s="2855">
        <v>0.2</v>
      </c>
      <c r="F93" s="2855">
        <v>25</v>
      </c>
    </row>
    <row r="94" spans="1:6" ht="14">
      <c r="A94" s="2855">
        <v>20</v>
      </c>
      <c r="B94" s="3499"/>
      <c r="C94" s="2829" t="s">
        <v>2691</v>
      </c>
      <c r="D94" s="2829" t="s">
        <v>2692</v>
      </c>
      <c r="E94" s="2855">
        <v>0.15</v>
      </c>
      <c r="F94" s="2855">
        <v>20</v>
      </c>
    </row>
    <row r="95" spans="1:6" ht="26">
      <c r="A95" s="2855">
        <v>21</v>
      </c>
      <c r="B95" s="3499"/>
      <c r="C95" s="2829" t="s">
        <v>2693</v>
      </c>
      <c r="D95" s="2829" t="s">
        <v>2694</v>
      </c>
      <c r="E95" s="2855">
        <v>0.15</v>
      </c>
      <c r="F95" s="2855">
        <v>20</v>
      </c>
    </row>
    <row r="96" spans="1:6" ht="26">
      <c r="A96" s="2855">
        <v>22</v>
      </c>
      <c r="B96" s="3499"/>
      <c r="C96" s="2829" t="s">
        <v>2695</v>
      </c>
      <c r="D96" s="2829" t="s">
        <v>2696</v>
      </c>
      <c r="E96" s="2855">
        <v>0.15</v>
      </c>
      <c r="F96" s="2855">
        <v>20</v>
      </c>
    </row>
    <row r="97" spans="1:6" ht="39">
      <c r="A97" s="2855">
        <v>23</v>
      </c>
      <c r="B97" s="3499"/>
      <c r="C97" s="2829" t="s">
        <v>2697</v>
      </c>
      <c r="D97" s="2829" t="s">
        <v>2698</v>
      </c>
      <c r="E97" s="2855">
        <v>0.15</v>
      </c>
      <c r="F97" s="2855">
        <v>20</v>
      </c>
    </row>
    <row r="98" spans="1:6" ht="14">
      <c r="A98" s="2855">
        <v>24</v>
      </c>
      <c r="B98" s="3499"/>
      <c r="C98" s="2829" t="s">
        <v>2699</v>
      </c>
      <c r="D98" s="2829" t="s">
        <v>2700</v>
      </c>
      <c r="E98" s="2855">
        <v>0.1</v>
      </c>
      <c r="F98" s="2855">
        <v>15</v>
      </c>
    </row>
    <row r="99" spans="1:6" ht="26">
      <c r="A99" s="2855">
        <v>25</v>
      </c>
      <c r="B99" s="3499"/>
      <c r="C99" s="2829" t="s">
        <v>2701</v>
      </c>
      <c r="D99" s="2829" t="s">
        <v>2702</v>
      </c>
      <c r="E99" s="2855">
        <v>0.1</v>
      </c>
      <c r="F99" s="2855">
        <v>15</v>
      </c>
    </row>
    <row r="100" spans="1:6" ht="26">
      <c r="A100" s="2855">
        <v>26</v>
      </c>
      <c r="B100" s="3499"/>
      <c r="C100" s="2829" t="s">
        <v>2703</v>
      </c>
      <c r="D100" s="2829" t="s">
        <v>2704</v>
      </c>
      <c r="E100" s="2855">
        <v>0.1</v>
      </c>
      <c r="F100" s="2855">
        <v>15</v>
      </c>
    </row>
    <row r="101" spans="1:6" ht="26">
      <c r="A101" s="2855">
        <v>27</v>
      </c>
      <c r="B101" s="3499"/>
      <c r="C101" s="2829" t="s">
        <v>2705</v>
      </c>
      <c r="D101" s="2829" t="s">
        <v>2706</v>
      </c>
      <c r="E101" s="2855">
        <v>0.1</v>
      </c>
      <c r="F101" s="2855">
        <v>15</v>
      </c>
    </row>
    <row r="102" spans="1:6" ht="26">
      <c r="A102" s="2855">
        <v>28</v>
      </c>
      <c r="B102" s="3499"/>
      <c r="C102" s="2829" t="s">
        <v>2707</v>
      </c>
      <c r="D102" s="2829" t="s">
        <v>2708</v>
      </c>
      <c r="E102" s="2855">
        <v>0.1</v>
      </c>
      <c r="F102" s="2855">
        <v>15</v>
      </c>
    </row>
    <row r="103" spans="1:6" ht="26">
      <c r="A103" s="2855">
        <v>29</v>
      </c>
      <c r="B103" s="3499"/>
      <c r="C103" s="2829" t="s">
        <v>2709</v>
      </c>
      <c r="D103" s="2829" t="s">
        <v>2710</v>
      </c>
      <c r="E103" s="2855">
        <v>0.1</v>
      </c>
      <c r="F103" s="2855">
        <v>15</v>
      </c>
    </row>
    <row r="104" spans="1:6" ht="26">
      <c r="A104" s="2855">
        <v>30</v>
      </c>
      <c r="B104" s="3499"/>
      <c r="C104" s="2829" t="s">
        <v>2711</v>
      </c>
      <c r="D104" s="2829" t="s">
        <v>2712</v>
      </c>
      <c r="E104" s="2855">
        <v>0.1</v>
      </c>
      <c r="F104" s="2855">
        <v>15</v>
      </c>
    </row>
    <row r="105" spans="1:6" ht="26">
      <c r="A105" s="2855">
        <v>31</v>
      </c>
      <c r="B105" s="3499"/>
      <c r="C105" s="2829" t="s">
        <v>2713</v>
      </c>
      <c r="D105" s="2829" t="s">
        <v>2714</v>
      </c>
      <c r="E105" s="2855">
        <v>0.1</v>
      </c>
      <c r="F105" s="2855">
        <v>15</v>
      </c>
    </row>
    <row r="106" spans="1:6" ht="26">
      <c r="A106" s="2855">
        <v>32</v>
      </c>
      <c r="B106" s="3499"/>
      <c r="C106" s="2829" t="s">
        <v>2715</v>
      </c>
      <c r="D106" s="2829" t="s">
        <v>2716</v>
      </c>
      <c r="E106" s="2855">
        <v>0.1</v>
      </c>
      <c r="F106" s="2855">
        <v>15</v>
      </c>
    </row>
    <row r="107" spans="1:6" ht="26">
      <c r="A107" s="2855">
        <v>33</v>
      </c>
      <c r="B107" s="3499"/>
      <c r="C107" s="2829" t="s">
        <v>2717</v>
      </c>
      <c r="D107" s="2829" t="s">
        <v>2718</v>
      </c>
      <c r="E107" s="2855">
        <v>0.1</v>
      </c>
      <c r="F107" s="2855">
        <v>15</v>
      </c>
    </row>
    <row r="108" spans="1:6" ht="26">
      <c r="A108" s="2855">
        <v>34</v>
      </c>
      <c r="B108" s="3505"/>
      <c r="C108" s="2829" t="s">
        <v>2719</v>
      </c>
      <c r="D108" s="2829" t="s">
        <v>2720</v>
      </c>
      <c r="E108" s="2855">
        <v>0.1</v>
      </c>
      <c r="F108" s="2855">
        <v>15</v>
      </c>
    </row>
    <row r="109" spans="1:6" ht="26">
      <c r="A109" s="2855">
        <v>35</v>
      </c>
      <c r="B109" s="3500" t="s">
        <v>2721</v>
      </c>
      <c r="C109" s="2855" t="s">
        <v>2722</v>
      </c>
      <c r="D109" s="2829" t="s">
        <v>2723</v>
      </c>
      <c r="E109" s="2855">
        <v>0.15</v>
      </c>
      <c r="F109" s="2855">
        <v>20</v>
      </c>
    </row>
    <row r="110" spans="1:6" ht="26">
      <c r="A110" s="2855">
        <v>36</v>
      </c>
      <c r="B110" s="3499"/>
      <c r="C110" s="2855" t="s">
        <v>2724</v>
      </c>
      <c r="D110" s="2829" t="s">
        <v>2725</v>
      </c>
      <c r="E110" s="2855">
        <v>0.15</v>
      </c>
      <c r="F110" s="2855">
        <v>20</v>
      </c>
    </row>
    <row r="111" spans="1:6" ht="26">
      <c r="A111" s="2855">
        <v>37</v>
      </c>
      <c r="B111" s="3499"/>
      <c r="C111" s="2855" t="s">
        <v>2726</v>
      </c>
      <c r="D111" s="2829" t="s">
        <v>2727</v>
      </c>
      <c r="E111" s="2855">
        <v>0.15</v>
      </c>
      <c r="F111" s="2855">
        <v>20</v>
      </c>
    </row>
    <row r="112" spans="1:6" ht="14">
      <c r="A112" s="2855">
        <v>38</v>
      </c>
      <c r="B112" s="3499"/>
      <c r="C112" s="2855" t="s">
        <v>2728</v>
      </c>
      <c r="D112" s="2829" t="s">
        <v>2729</v>
      </c>
      <c r="E112" s="2855">
        <v>0.1</v>
      </c>
      <c r="F112" s="2855">
        <v>15</v>
      </c>
    </row>
    <row r="113" spans="1:6" ht="26">
      <c r="A113" s="2855">
        <v>39</v>
      </c>
      <c r="B113" s="3499"/>
      <c r="C113" s="2855" t="s">
        <v>2730</v>
      </c>
      <c r="D113" s="2829" t="s">
        <v>2731</v>
      </c>
      <c r="E113" s="2855">
        <v>0.1</v>
      </c>
      <c r="F113" s="2855">
        <v>15</v>
      </c>
    </row>
    <row r="114" spans="1:6" ht="26">
      <c r="A114" s="2855">
        <v>40</v>
      </c>
      <c r="B114" s="3505"/>
      <c r="C114" s="2855" t="s">
        <v>2732</v>
      </c>
      <c r="D114" s="2829" t="s">
        <v>2733</v>
      </c>
      <c r="E114" s="2855">
        <v>0.1</v>
      </c>
      <c r="F114" s="2855">
        <v>15</v>
      </c>
    </row>
    <row r="115" spans="1:6" ht="26">
      <c r="A115" s="2855">
        <v>41</v>
      </c>
      <c r="B115" s="3493" t="s">
        <v>2734</v>
      </c>
      <c r="C115" s="2855" t="s">
        <v>2735</v>
      </c>
      <c r="D115" s="2829" t="s">
        <v>2736</v>
      </c>
      <c r="E115" s="2855">
        <v>0.1</v>
      </c>
      <c r="F115" s="2855">
        <v>15</v>
      </c>
    </row>
    <row r="116" spans="1:6" ht="14">
      <c r="A116" s="2855">
        <v>42</v>
      </c>
      <c r="B116" s="3493"/>
      <c r="C116" s="2855" t="s">
        <v>2737</v>
      </c>
      <c r="D116" s="2829" t="s">
        <v>2738</v>
      </c>
      <c r="E116" s="2855">
        <v>0.1</v>
      </c>
      <c r="F116" s="2855">
        <v>15</v>
      </c>
    </row>
    <row r="117" spans="1:6" ht="26">
      <c r="A117" s="2855">
        <v>43</v>
      </c>
      <c r="B117" s="3493"/>
      <c r="C117" s="2855" t="s">
        <v>2739</v>
      </c>
      <c r="D117" s="2829" t="s">
        <v>2740</v>
      </c>
      <c r="E117" s="2855">
        <v>0.1</v>
      </c>
      <c r="F117" s="2855">
        <v>15</v>
      </c>
    </row>
    <row r="118" spans="1:6" ht="26">
      <c r="A118" s="2855">
        <v>44</v>
      </c>
      <c r="B118" s="3500" t="s">
        <v>2741</v>
      </c>
      <c r="C118" s="2855" t="s">
        <v>2742</v>
      </c>
      <c r="D118" s="2829" t="s">
        <v>2743</v>
      </c>
      <c r="E118" s="2855">
        <v>0.1</v>
      </c>
      <c r="F118" s="2855">
        <v>15</v>
      </c>
    </row>
    <row r="119" spans="1:6" ht="26">
      <c r="A119" s="2855">
        <v>45</v>
      </c>
      <c r="B119" s="3505"/>
      <c r="C119" s="2829" t="s">
        <v>2744</v>
      </c>
      <c r="D119" s="2829" t="s">
        <v>2745</v>
      </c>
      <c r="E119" s="2855">
        <v>0.1</v>
      </c>
      <c r="F119" s="2855">
        <v>15</v>
      </c>
    </row>
    <row r="120" spans="1:6" ht="26">
      <c r="A120" s="2855">
        <v>46</v>
      </c>
      <c r="B120" s="3500" t="s">
        <v>2746</v>
      </c>
      <c r="C120" s="2855" t="s">
        <v>2747</v>
      </c>
      <c r="D120" s="2829" t="s">
        <v>2748</v>
      </c>
      <c r="E120" s="2855">
        <v>0.1</v>
      </c>
      <c r="F120" s="2855">
        <v>15</v>
      </c>
    </row>
    <row r="121" spans="1:6" ht="26">
      <c r="A121" s="2855">
        <v>47</v>
      </c>
      <c r="B121" s="3505"/>
      <c r="C121" s="2855" t="s">
        <v>2749</v>
      </c>
      <c r="D121" s="2829" t="s">
        <v>2750</v>
      </c>
      <c r="E121" s="2855">
        <v>0.1</v>
      </c>
      <c r="F121" s="2855">
        <v>15</v>
      </c>
    </row>
    <row r="122" spans="1:6" ht="26">
      <c r="A122" s="2855">
        <v>48</v>
      </c>
      <c r="B122" s="3500" t="s">
        <v>2751</v>
      </c>
      <c r="C122" s="2855" t="s">
        <v>2752</v>
      </c>
      <c r="D122" s="2829" t="s">
        <v>2753</v>
      </c>
      <c r="E122" s="2855">
        <v>0.1</v>
      </c>
      <c r="F122" s="2855">
        <v>15</v>
      </c>
    </row>
    <row r="123" spans="1:6" ht="14">
      <c r="A123" s="2855">
        <v>49</v>
      </c>
      <c r="B123" s="3505"/>
      <c r="C123" s="2855" t="s">
        <v>2754</v>
      </c>
      <c r="D123" s="2829" t="s">
        <v>2755</v>
      </c>
      <c r="E123" s="2855">
        <v>0.1</v>
      </c>
      <c r="F123" s="2855">
        <v>15</v>
      </c>
    </row>
    <row r="124" spans="1:6" ht="26">
      <c r="A124" s="2855">
        <v>50</v>
      </c>
      <c r="B124" s="3493" t="s">
        <v>2756</v>
      </c>
      <c r="C124" s="2855" t="s">
        <v>2757</v>
      </c>
      <c r="D124" s="2829" t="s">
        <v>2758</v>
      </c>
      <c r="E124" s="2855">
        <v>0.1</v>
      </c>
      <c r="F124" s="2855">
        <v>15</v>
      </c>
    </row>
    <row r="125" spans="1:6" ht="26">
      <c r="A125" s="2855">
        <v>51</v>
      </c>
      <c r="B125" s="3493"/>
      <c r="C125" s="2855" t="s">
        <v>2759</v>
      </c>
      <c r="D125" s="2829" t="s">
        <v>2760</v>
      </c>
      <c r="E125" s="2855">
        <v>0.1</v>
      </c>
      <c r="F125" s="2855">
        <v>15</v>
      </c>
    </row>
    <row r="126" spans="1:6" ht="26">
      <c r="A126" s="2855">
        <v>52</v>
      </c>
      <c r="B126" s="3493" t="s">
        <v>2761</v>
      </c>
      <c r="C126" s="2855" t="s">
        <v>2762</v>
      </c>
      <c r="D126" s="2829" t="s">
        <v>2763</v>
      </c>
      <c r="E126" s="2855">
        <v>0.1</v>
      </c>
      <c r="F126" s="2855">
        <v>15</v>
      </c>
    </row>
    <row r="127" spans="1:6" ht="26">
      <c r="A127" s="2855">
        <v>53</v>
      </c>
      <c r="B127" s="3493"/>
      <c r="C127" s="2855" t="s">
        <v>2764</v>
      </c>
      <c r="D127" s="2829" t="s">
        <v>2765</v>
      </c>
      <c r="E127" s="2855">
        <v>0.1</v>
      </c>
      <c r="F127" s="2855">
        <v>15</v>
      </c>
    </row>
    <row r="128" spans="1:6" ht="26">
      <c r="A128" s="2855">
        <v>54</v>
      </c>
      <c r="B128" s="2855" t="s">
        <v>2766</v>
      </c>
      <c r="C128" s="2855" t="s">
        <v>2767</v>
      </c>
      <c r="D128" s="2829" t="s">
        <v>2768</v>
      </c>
      <c r="E128" s="2855">
        <v>0.1</v>
      </c>
      <c r="F128" s="2855">
        <v>15</v>
      </c>
    </row>
    <row r="129" spans="1:6" ht="14">
      <c r="A129" s="2855">
        <v>55</v>
      </c>
      <c r="B129" s="3493" t="s">
        <v>2769</v>
      </c>
      <c r="C129" s="2855" t="s">
        <v>2770</v>
      </c>
      <c r="D129" s="2829" t="s">
        <v>2771</v>
      </c>
      <c r="E129" s="2855">
        <v>0.1</v>
      </c>
      <c r="F129" s="2855">
        <v>15</v>
      </c>
    </row>
    <row r="130" spans="1:6" ht="14">
      <c r="A130" s="2855">
        <v>56</v>
      </c>
      <c r="B130" s="3493"/>
      <c r="C130" s="2855" t="s">
        <v>2772</v>
      </c>
      <c r="D130" s="2829" t="s">
        <v>2773</v>
      </c>
      <c r="E130" s="2855">
        <v>0.1</v>
      </c>
      <c r="F130" s="2855">
        <v>15</v>
      </c>
    </row>
    <row r="131" spans="1:6" ht="26">
      <c r="A131" s="2855">
        <v>57</v>
      </c>
      <c r="B131" s="3493"/>
      <c r="C131" s="2855" t="s">
        <v>2774</v>
      </c>
      <c r="D131" s="2829" t="s">
        <v>2775</v>
      </c>
      <c r="E131" s="2855">
        <v>0.1</v>
      </c>
      <c r="F131" s="2855">
        <v>15</v>
      </c>
    </row>
    <row r="132" spans="1:6" ht="26">
      <c r="A132" s="2855">
        <v>58</v>
      </c>
      <c r="B132" s="3493" t="s">
        <v>2776</v>
      </c>
      <c r="C132" s="2855" t="s">
        <v>2777</v>
      </c>
      <c r="D132" s="2829" t="s">
        <v>2778</v>
      </c>
      <c r="E132" s="2855">
        <v>0.1</v>
      </c>
      <c r="F132" s="2855">
        <v>15</v>
      </c>
    </row>
    <row r="133" spans="1:6" ht="26">
      <c r="A133" s="2855">
        <v>59</v>
      </c>
      <c r="B133" s="3493"/>
      <c r="C133" s="2855" t="s">
        <v>2779</v>
      </c>
      <c r="D133" s="2829" t="s">
        <v>2780</v>
      </c>
      <c r="E133" s="2855">
        <v>0.1</v>
      </c>
      <c r="F133" s="2855">
        <v>15</v>
      </c>
    </row>
    <row r="134" spans="1:6" ht="26">
      <c r="A134" s="2855">
        <v>60</v>
      </c>
      <c r="B134" s="3500" t="s">
        <v>2781</v>
      </c>
      <c r="C134" s="2855" t="s">
        <v>2782</v>
      </c>
      <c r="D134" s="2829" t="s">
        <v>2783</v>
      </c>
      <c r="E134" s="2855">
        <v>0.1</v>
      </c>
      <c r="F134" s="2855">
        <v>15</v>
      </c>
    </row>
    <row r="135" spans="1:6" ht="26">
      <c r="A135" s="2855">
        <v>61</v>
      </c>
      <c r="B135" s="3505"/>
      <c r="C135" s="2855" t="s">
        <v>2784</v>
      </c>
      <c r="D135" s="2829" t="s">
        <v>2785</v>
      </c>
      <c r="E135" s="2855">
        <v>0.1</v>
      </c>
      <c r="F135" s="2855">
        <v>15</v>
      </c>
    </row>
    <row r="136" spans="1:6" ht="26">
      <c r="A136" s="2855">
        <v>62</v>
      </c>
      <c r="B136" s="2855" t="s">
        <v>2786</v>
      </c>
      <c r="C136" s="2855" t="s">
        <v>2787</v>
      </c>
      <c r="D136" s="2829" t="s">
        <v>2788</v>
      </c>
      <c r="E136" s="2855">
        <v>0.1</v>
      </c>
      <c r="F136" s="2855">
        <v>15</v>
      </c>
    </row>
    <row r="137" spans="1:6" ht="26">
      <c r="A137" s="2855">
        <v>63</v>
      </c>
      <c r="B137" s="3493" t="s">
        <v>2789</v>
      </c>
      <c r="C137" s="2855" t="s">
        <v>2790</v>
      </c>
      <c r="D137" s="2829" t="s">
        <v>2791</v>
      </c>
      <c r="E137" s="2855">
        <v>0.1</v>
      </c>
      <c r="F137" s="2855">
        <v>15</v>
      </c>
    </row>
    <row r="138" spans="1:6" ht="14">
      <c r="A138" s="2855">
        <v>64</v>
      </c>
      <c r="B138" s="3493"/>
      <c r="C138" s="2855" t="s">
        <v>2792</v>
      </c>
      <c r="D138" s="2829" t="s">
        <v>2793</v>
      </c>
      <c r="E138" s="2855">
        <v>0.1</v>
      </c>
      <c r="F138" s="2855">
        <v>15</v>
      </c>
    </row>
    <row r="139" spans="1:6" ht="26">
      <c r="A139" s="2855">
        <v>65</v>
      </c>
      <c r="B139" s="2855" t="s">
        <v>2794</v>
      </c>
      <c r="C139" s="2855" t="s">
        <v>2795</v>
      </c>
      <c r="D139" s="2829" t="s">
        <v>2796</v>
      </c>
      <c r="E139" s="2855">
        <v>0.1</v>
      </c>
      <c r="F139" s="2855">
        <v>15</v>
      </c>
    </row>
    <row r="140" spans="1:6" ht="14">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7"/>
  </cols>
  <sheetData>
    <row r="1" spans="1:20" ht="15.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28820</v>
      </c>
      <c r="C2" s="2" t="s">
        <v>106</v>
      </c>
      <c r="D2" s="191"/>
      <c r="E2" s="191"/>
      <c r="F2" s="191"/>
      <c r="G2" s="191"/>
    </row>
    <row r="3" spans="1:7" s="192" customFormat="1" ht="18" customHeight="1" thickBot="1">
      <c r="A3" s="195" t="s">
        <v>58</v>
      </c>
      <c r="B3" s="196">
        <f ca="1">ROUND(B2*10000/'数据-汇总表'!E3,0)</f>
        <v>5067698</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56.87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56.87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28795</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23</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56.87</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5" t="s">
        <v>94</v>
      </c>
    </row>
    <row r="43" spans="1:7" ht="13.5" customHeight="1">
      <c r="A43" s="734" t="s">
        <v>347</v>
      </c>
      <c r="B43" s="207" t="s">
        <v>426</v>
      </c>
      <c r="C43" s="230">
        <f ca="1">ROUND(IF('数据-取费表'!B22&lt;=1,C39*F22*'数据-取费表'!B21/2,C39*(POWER((1+F22),'数据-取费表'!B21/2)-1)),0)</f>
        <v>0</v>
      </c>
      <c r="D43" s="230"/>
      <c r="E43" s="230"/>
      <c r="F43" s="231"/>
      <c r="G43" s="3366"/>
    </row>
    <row r="44" spans="1:7" ht="13.5" customHeight="1">
      <c r="A44" s="734" t="s">
        <v>348</v>
      </c>
      <c r="B44" s="207" t="s">
        <v>428</v>
      </c>
      <c r="C44" s="230">
        <f ca="1">ROUND(IF('数据-取费表'!B22&lt;=1,C40*F22*'数据-取费表'!B21/2,C40*(POWER((1+F22),'数据-取费表'!B21/2)-1)),4)</f>
        <v>5.9999999999999995E-4</v>
      </c>
      <c r="D44" s="230"/>
      <c r="E44" s="230"/>
      <c r="F44" s="231"/>
      <c r="G44" s="3367"/>
    </row>
    <row r="45" spans="1:7" s="206" customFormat="1" ht="13.5" customHeight="1">
      <c r="A45" s="731" t="s">
        <v>341</v>
      </c>
      <c r="B45" s="236" t="s">
        <v>85</v>
      </c>
      <c r="C45" s="237">
        <f>C46</f>
        <v>5</v>
      </c>
      <c r="D45" s="227">
        <f>C47</f>
        <v>4.0000000000000001E-3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35</v>
      </c>
      <c r="D49" s="224"/>
      <c r="E49" s="224"/>
      <c r="F49" s="256"/>
      <c r="G49" s="226" t="s">
        <v>435</v>
      </c>
    </row>
    <row r="50" spans="1:7" s="250" customFormat="1" ht="26">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25</v>
      </c>
      <c r="D51" s="224"/>
      <c r="E51" s="224"/>
      <c r="F51" s="256"/>
      <c r="G51" s="226" t="s">
        <v>37</v>
      </c>
    </row>
    <row r="52" spans="1:7" s="200" customFormat="1" ht="16.5" thickBot="1">
      <c r="A52" s="257" t="s">
        <v>38</v>
      </c>
      <c r="B52" s="258"/>
      <c r="C52" s="259">
        <f ca="1">C31+C51</f>
        <v>28820</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5" customWidth="1"/>
    <col min="2" max="2" width="20" style="2965" customWidth="1"/>
    <col min="3" max="7" width="8.90625" style="2965"/>
    <col min="8" max="16384" width="8.90625" style="2811"/>
  </cols>
  <sheetData>
    <row r="1" spans="1:7">
      <c r="A1" s="3506" t="s">
        <v>3181</v>
      </c>
      <c r="B1" s="3506"/>
    </row>
    <row r="2" spans="1:7" ht="14.5" thickBot="1">
      <c r="A2" s="2966"/>
      <c r="B2" s="2966"/>
    </row>
    <row r="3" spans="1:7" ht="14.5" thickBot="1">
      <c r="A3" s="2966"/>
      <c r="B3" s="2966"/>
      <c r="C3" s="2967" t="s">
        <v>2811</v>
      </c>
      <c r="D3" s="2967" t="s">
        <v>2867</v>
      </c>
      <c r="E3" s="2967" t="s">
        <v>2813</v>
      </c>
      <c r="F3" s="2967" t="s">
        <v>2868</v>
      </c>
      <c r="G3" s="2967" t="s">
        <v>2631</v>
      </c>
    </row>
    <row r="4" spans="1:7" ht="14.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1"/>
  </cols>
  <sheetData>
    <row r="1" spans="1:6">
      <c r="A1" s="3507" t="s">
        <v>3232</v>
      </c>
      <c r="B1" s="3507"/>
      <c r="C1" s="3507"/>
      <c r="D1" s="3507"/>
      <c r="E1" s="3507"/>
      <c r="F1" s="3508"/>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5">
        <f>基准地价修正!G23</f>
        <v>46003</v>
      </c>
      <c r="B1" s="2927" t="s">
        <v>3375</v>
      </c>
      <c r="C1" s="2928"/>
      <c r="D1" s="2928"/>
      <c r="E1" s="2928"/>
      <c r="F1" s="2928"/>
      <c r="G1" s="2928"/>
      <c r="H1" s="2928"/>
      <c r="I1" s="2928"/>
      <c r="J1" s="2894"/>
      <c r="K1" s="2928" t="s">
        <v>454</v>
      </c>
      <c r="L1" s="2928"/>
      <c r="M1" s="2928"/>
      <c r="N1" s="2928"/>
      <c r="O1" s="2928"/>
      <c r="P1" s="2928"/>
      <c r="Q1" s="2894"/>
      <c r="R1" s="3509" t="s">
        <v>456</v>
      </c>
      <c r="S1" s="3510"/>
      <c r="T1" s="3510"/>
      <c r="U1" s="3510"/>
      <c r="V1" s="3510"/>
      <c r="W1" s="3510"/>
      <c r="X1" s="2894"/>
      <c r="Y1" s="3509" t="s">
        <v>457</v>
      </c>
      <c r="Z1" s="3510"/>
      <c r="AA1" s="3510"/>
      <c r="AB1" s="3510"/>
      <c r="AC1" s="3510"/>
      <c r="AD1" s="3510"/>
    </row>
    <row r="2" spans="1:44" s="2009" customFormat="1" ht="14.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3400</v>
      </c>
      <c r="AG2" t="s">
        <v>673</v>
      </c>
      <c r="AH2" t="s">
        <v>21</v>
      </c>
      <c r="AI2" t="s">
        <v>3401</v>
      </c>
      <c r="AJ2" t="s">
        <v>3</v>
      </c>
      <c r="AK2" t="s">
        <v>3402</v>
      </c>
      <c r="AM2" t="s">
        <v>3400</v>
      </c>
      <c r="AN2" t="s">
        <v>673</v>
      </c>
      <c r="AO2" t="s">
        <v>21</v>
      </c>
      <c r="AP2" t="s">
        <v>3401</v>
      </c>
      <c r="AQ2" t="s">
        <v>3</v>
      </c>
      <c r="AR2" t="s">
        <v>3402</v>
      </c>
    </row>
    <row r="3" spans="1:44" s="2884" customFormat="1" ht="13">
      <c r="A3" s="2882" t="s">
        <v>2819</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3399</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4" customFormat="1" ht="13">
      <c r="A6" s="2905" t="s">
        <v>3413</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4" customFormat="1" ht="13">
      <c r="A7" s="2039" t="s">
        <v>3414</v>
      </c>
      <c r="B7" s="2030">
        <v>2025</v>
      </c>
      <c r="C7" s="2041">
        <v>2</v>
      </c>
      <c r="D7" s="2006">
        <v>0.05</v>
      </c>
      <c r="E7" s="2006">
        <v>-0.62</v>
      </c>
      <c r="F7" s="2006">
        <v>-1.05</v>
      </c>
      <c r="G7" s="2006">
        <v>0.09</v>
      </c>
      <c r="H7" s="2006">
        <v>0.17</v>
      </c>
      <c r="I7" s="2007">
        <f t="shared" ref="I7" si="37">F7</f>
        <v>-1.05</v>
      </c>
      <c r="J7" s="2904"/>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4"/>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4"/>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4" customFormat="1" ht="13">
      <c r="A8" s="2039" t="s">
        <v>3405</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4" customFormat="1" ht="13">
      <c r="A9" s="2039" t="s">
        <v>3404</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4" customFormat="1" ht="13">
      <c r="A10" s="2039" t="s">
        <v>3379</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4" customFormat="1" ht="13">
      <c r="A11" s="2903" t="s">
        <v>3373</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4" customFormat="1" ht="13">
      <c r="A12" s="2903" t="s">
        <v>3372</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4" customFormat="1" ht="13">
      <c r="A13" s="2903" t="s">
        <v>3368</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4" customFormat="1" ht="13">
      <c r="A14" s="2903" t="s">
        <v>3367</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4" customFormat="1" ht="13">
      <c r="A15" s="2903" t="s">
        <v>3365</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4" customFormat="1" ht="13">
      <c r="A16" s="2903" t="s">
        <v>3364</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4" customFormat="1" ht="13">
      <c r="A17" s="2903" t="s">
        <v>3363</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4" customFormat="1" ht="13">
      <c r="A18" s="2903" t="s">
        <v>3361</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4" customFormat="1" ht="13">
      <c r="A19" s="2903" t="s">
        <v>3352</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4" customFormat="1" ht="13">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4" customFormat="1" ht="13">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4" customFormat="1" ht="13">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4" customFormat="1" ht="13">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6" customFormat="1" ht="14.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5" thickTop="1"/>
    <row r="26" spans="1:44">
      <c r="A26" s="3141" t="s">
        <v>3378</v>
      </c>
    </row>
    <row r="27" spans="1:44">
      <c r="I27" s="1405" t="s">
        <v>2825</v>
      </c>
    </row>
    <row r="29" spans="1:44" s="2008" customFormat="1" ht="13">
      <c r="B29" s="2927" t="s">
        <v>3376</v>
      </c>
      <c r="C29" s="2928"/>
      <c r="D29" s="2928"/>
      <c r="E29" s="2928"/>
      <c r="F29" s="2928"/>
      <c r="G29" s="2928"/>
      <c r="H29" s="2928"/>
      <c r="I29" s="2928"/>
      <c r="J29" s="2894"/>
      <c r="K29" s="2928" t="s">
        <v>2826</v>
      </c>
      <c r="L29" s="2928"/>
      <c r="M29" s="2928"/>
      <c r="N29" s="2928"/>
      <c r="O29" s="2928"/>
      <c r="P29" s="2928"/>
      <c r="Q29" s="2894"/>
      <c r="R29" s="3509" t="s">
        <v>2827</v>
      </c>
      <c r="S29" s="3510"/>
      <c r="T29" s="3510"/>
      <c r="U29" s="3510"/>
      <c r="V29" s="3510"/>
      <c r="W29" s="3510"/>
      <c r="X29" s="2894"/>
      <c r="Y29" s="3509" t="s">
        <v>2828</v>
      </c>
      <c r="Z29" s="3510"/>
      <c r="AA29" s="3510"/>
      <c r="AB29" s="3510"/>
      <c r="AC29" s="3510"/>
      <c r="AD29" s="3510"/>
    </row>
    <row r="30" spans="1:44" s="2009" customFormat="1" ht="14.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3401</v>
      </c>
      <c r="AJ30"/>
      <c r="AK30" t="s">
        <v>3402</v>
      </c>
      <c r="AN30" t="s">
        <v>673</v>
      </c>
      <c r="AO30" t="s">
        <v>21</v>
      </c>
      <c r="AP30" t="s">
        <v>3401</v>
      </c>
      <c r="AQ30"/>
      <c r="AR30" t="s">
        <v>3402</v>
      </c>
    </row>
    <row r="31" spans="1:44" s="2884" customFormat="1" ht="13">
      <c r="A31" s="2882" t="s">
        <v>2834</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8" customFormat="1" ht="13">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3399</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4" customFormat="1" ht="13">
      <c r="A34" s="2905" t="s">
        <v>3415</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4" customFormat="1" ht="13">
      <c r="A35" s="2039" t="s">
        <v>3414</v>
      </c>
      <c r="B35" s="2030">
        <v>2025</v>
      </c>
      <c r="C35" s="2041">
        <v>2</v>
      </c>
      <c r="D35" s="2006"/>
      <c r="E35" s="2006">
        <v>-0.31</v>
      </c>
      <c r="F35" s="2006">
        <v>-1.03</v>
      </c>
      <c r="G35" s="2006">
        <v>0.03</v>
      </c>
      <c r="H35" s="2006"/>
      <c r="I35" s="2007">
        <f t="shared" ref="I35" si="141">F35</f>
        <v>-1.03</v>
      </c>
      <c r="J35" s="2904"/>
      <c r="K35" s="2042"/>
      <c r="L35" s="2027">
        <f t="shared" ref="L35" si="142">E35/100</f>
        <v>-3.0999999999999999E-3</v>
      </c>
      <c r="M35" s="2027">
        <f t="shared" ref="M35" si="143">F35/100</f>
        <v>-1.03E-2</v>
      </c>
      <c r="N35" s="2027">
        <f t="shared" ref="N35" si="144">G35/100</f>
        <v>2.9999999999999997E-4</v>
      </c>
      <c r="O35" s="2027"/>
      <c r="P35" s="2027">
        <f t="shared" si="123"/>
        <v>-1.03E-2</v>
      </c>
      <c r="Q35" s="2904"/>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4"/>
      <c r="Y35" s="2027"/>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7">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4" customFormat="1" ht="13">
      <c r="A36" s="2039" t="s">
        <v>3403</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4" customFormat="1" ht="13">
      <c r="A37" s="2039" t="s">
        <v>3404</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4" customFormat="1" ht="13">
      <c r="A38" s="2039" t="s">
        <v>3370</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4" customFormat="1" ht="13">
      <c r="A39" s="2903" t="s">
        <v>3374</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4" customFormat="1" ht="13">
      <c r="A40" s="2903" t="s">
        <v>3371</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4" customFormat="1" ht="13">
      <c r="A41" s="2903" t="s">
        <v>3369</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4" customFormat="1" ht="13">
      <c r="A42" s="2903" t="s">
        <v>3367</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4" customFormat="1" ht="13">
      <c r="A43" s="2903" t="s">
        <v>3366</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4" customFormat="1" ht="13">
      <c r="A44" s="2903" t="s">
        <v>3364</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4" customFormat="1" ht="13">
      <c r="A45" s="2903" t="s">
        <v>3363</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4" customFormat="1" ht="13">
      <c r="A46" s="2903" t="s">
        <v>3362</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4" customFormat="1" ht="13">
      <c r="A47" s="2903" t="s">
        <v>3352</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4" customFormat="1" ht="13">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4" customFormat="1" ht="13">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4" customFormat="1" ht="13">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4" customFormat="1" ht="13">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6" customFormat="1" ht="14.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5" thickTop="1"/>
    <row r="54" spans="1:44">
      <c r="A54" s="3141"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2695312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2695312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2009" customFormat="1" ht="14.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3360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3358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3359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2111</v>
      </c>
      <c r="B25" s="2048">
        <v>439</v>
      </c>
      <c r="C25" s="2048">
        <v>327</v>
      </c>
      <c r="D25" s="2048">
        <f>C25</f>
        <v>327</v>
      </c>
      <c r="E25" s="2048">
        <v>627</v>
      </c>
      <c r="F25" s="2049">
        <v>283</v>
      </c>
      <c r="G25" s="351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51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51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2">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513">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2">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513">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0" customWidth="1"/>
    <col min="2" max="2" width="18.6328125" style="2780" customWidth="1"/>
    <col min="3" max="6" width="10.26953125" style="2780" customWidth="1"/>
    <col min="7" max="7" width="10.453125" style="2780" bestFit="1" customWidth="1"/>
    <col min="8" max="8" width="8.90625" style="2779"/>
    <col min="9" max="9" width="13.36328125" style="2779" customWidth="1"/>
    <col min="10" max="13" width="13.36328125" style="2780" customWidth="1"/>
    <col min="14" max="14" width="18.26953125" style="2780" customWidth="1"/>
    <col min="15" max="17" width="15.08984375" style="2780" customWidth="1"/>
    <col min="18" max="20" width="11.453125" style="2780" customWidth="1"/>
    <col min="21" max="16384" width="8.90625" style="2780"/>
  </cols>
  <sheetData>
    <row r="1" spans="1:20" ht="12.5" thickBot="1">
      <c r="A1" s="3522" t="s">
        <v>2839</v>
      </c>
      <c r="B1" s="3522"/>
      <c r="C1" s="3522"/>
      <c r="D1" s="3522"/>
      <c r="E1" s="3522"/>
      <c r="F1" s="3522"/>
      <c r="G1" s="3523"/>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5"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20"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5" thickBot="1">
      <c r="A4" s="3521"/>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5"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5"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5"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5"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5"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5"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6">
      <c r="A3" s="3196"/>
      <c r="B3" s="3196"/>
      <c r="C3" s="3196"/>
      <c r="D3" s="801" t="s">
        <v>925</v>
      </c>
      <c r="E3" s="801" t="s">
        <v>931</v>
      </c>
      <c r="F3" s="801" t="s">
        <v>925</v>
      </c>
      <c r="G3" s="801" t="s">
        <v>926</v>
      </c>
      <c r="H3" s="801" t="s">
        <v>925</v>
      </c>
      <c r="I3" s="801" t="s">
        <v>926</v>
      </c>
    </row>
    <row r="4" spans="1:9" ht="31">
      <c r="A4" s="1403" t="str">
        <f>项目基本情况!S2</f>
        <v>北京市朝阳区望京街9号商业楼1层1025房地产</v>
      </c>
      <c r="B4" s="801">
        <f>项目基本情况!C17</f>
        <v>56.87</v>
      </c>
      <c r="C4" s="801">
        <f>项目基本情况!C18</f>
        <v>0</v>
      </c>
      <c r="D4" s="801">
        <f>结果表!D118</f>
        <v>0</v>
      </c>
      <c r="E4" s="801">
        <f>结果表!E118</f>
        <v>0</v>
      </c>
      <c r="F4" s="801">
        <f>结果表!F118</f>
        <v>0</v>
      </c>
      <c r="G4" s="801">
        <f>结果表!G118</f>
        <v>0</v>
      </c>
      <c r="H4" s="801">
        <f ca="1">结果表!H118</f>
        <v>218.15899999999999</v>
      </c>
      <c r="I4" s="801">
        <f ca="1">结果表!I118</f>
        <v>38361</v>
      </c>
    </row>
    <row r="5" spans="1:9" ht="30" customHeight="1">
      <c r="A5" s="3196" t="s">
        <v>927</v>
      </c>
      <c r="B5" s="3196"/>
      <c r="C5" s="3196"/>
      <c r="D5" s="3196" t="str">
        <f>结果表!D119</f>
        <v>零元整</v>
      </c>
      <c r="E5" s="3196"/>
      <c r="F5" s="3196" t="str">
        <f>结果表!F119</f>
        <v>零元整</v>
      </c>
      <c r="G5" s="3196"/>
      <c r="H5" s="3196" t="str">
        <f ca="1">结果表!H119</f>
        <v>贰佰壹拾捌万壹仟伍佰玖拾元整</v>
      </c>
      <c r="I5" s="3196"/>
    </row>
    <row r="6" spans="1:9" ht="15.5">
      <c r="A6" s="3197" t="str">
        <f>结果表!A120</f>
        <v>估价师知悉的法定优先受偿款</v>
      </c>
      <c r="B6" s="3197"/>
      <c r="C6" s="3197"/>
      <c r="D6" s="3197">
        <f>结果表!D120</f>
        <v>0</v>
      </c>
      <c r="E6" s="3197"/>
      <c r="F6" s="3197"/>
      <c r="G6" s="3197"/>
      <c r="H6" s="3197"/>
      <c r="I6" s="3197"/>
    </row>
    <row r="7" spans="1:9" ht="15.5">
      <c r="A7" s="3196" t="s">
        <v>927</v>
      </c>
      <c r="B7" s="3196"/>
      <c r="C7" s="3196"/>
      <c r="D7" s="3198" t="str">
        <f>结果表!D121</f>
        <v>零元整</v>
      </c>
      <c r="E7" s="3199"/>
      <c r="F7" s="3199"/>
      <c r="G7" s="3199"/>
      <c r="H7" s="3199"/>
      <c r="I7" s="3200"/>
    </row>
    <row r="8" spans="1:9" ht="15.5">
      <c r="A8" s="3197" t="str">
        <f>结果表!A122</f>
        <v>房地产抵押价值</v>
      </c>
      <c r="B8" s="3197"/>
      <c r="C8" s="3197"/>
      <c r="D8" s="3197">
        <f ca="1">结果表!D122</f>
        <v>218.15899999999999</v>
      </c>
      <c r="E8" s="3197"/>
      <c r="F8" s="3197"/>
      <c r="G8" s="3197"/>
      <c r="H8" s="3197"/>
      <c r="I8" s="3197"/>
    </row>
    <row r="9" spans="1:9" ht="15.5">
      <c r="A9" s="3196" t="s">
        <v>927</v>
      </c>
      <c r="B9" s="3196"/>
      <c r="C9" s="3196"/>
      <c r="D9" s="3196" t="str">
        <f ca="1">结果表!D123</f>
        <v>贰佰壹拾捌万壹仟伍佰玖拾元整</v>
      </c>
      <c r="E9" s="3196"/>
      <c r="F9" s="3196"/>
      <c r="G9" s="3196"/>
      <c r="H9" s="3196"/>
      <c r="I9" s="3196"/>
    </row>
    <row r="10" spans="1:9" ht="15.5">
      <c r="A10" s="3197" t="str">
        <f>结果表!A124</f>
        <v/>
      </c>
      <c r="B10" s="3197"/>
      <c r="C10" s="3197"/>
      <c r="D10" s="3197" t="str">
        <f>结果表!D124</f>
        <v>——</v>
      </c>
      <c r="E10" s="3197"/>
      <c r="F10" s="3197"/>
      <c r="G10" s="3197"/>
      <c r="H10" s="3197"/>
      <c r="I10" s="3197"/>
    </row>
    <row r="11" spans="1:9" ht="15.5">
      <c r="A11" s="3196" t="s">
        <v>927</v>
      </c>
      <c r="B11" s="3196"/>
      <c r="C11" s="3196"/>
      <c r="D11" s="3196" t="e">
        <f>结果表!D125</f>
        <v>#VALUE!</v>
      </c>
      <c r="E11" s="3196"/>
      <c r="F11" s="3196"/>
      <c r="G11" s="3196"/>
      <c r="H11" s="3196"/>
      <c r="I11" s="3196"/>
    </row>
    <row r="12" spans="1:9" ht="15.5">
      <c r="A12" s="3197" t="str">
        <f>结果表!A126</f>
        <v/>
      </c>
      <c r="B12" s="3197"/>
      <c r="C12" s="3197"/>
      <c r="D12" s="3197" t="str">
        <f>结果表!D126</f>
        <v>——</v>
      </c>
      <c r="E12" s="3197"/>
      <c r="F12" s="3197"/>
      <c r="G12" s="3197"/>
      <c r="H12" s="3197"/>
      <c r="I12" s="3197"/>
    </row>
    <row r="13" spans="1:9" ht="16" thickBot="1">
      <c r="A13" s="3201" t="s">
        <v>927</v>
      </c>
      <c r="B13" s="3201"/>
      <c r="C13" s="3201"/>
      <c r="D13" s="3201" t="e">
        <f>结果表!D127</f>
        <v>#VALUE!</v>
      </c>
      <c r="E13" s="3201"/>
      <c r="F13" s="3201"/>
      <c r="G13" s="3201"/>
      <c r="H13" s="3201"/>
      <c r="I13" s="3201"/>
    </row>
    <row r="14" spans="1:9" ht="14.5" thickTop="1">
      <c r="A14" s="3202" t="s">
        <v>932</v>
      </c>
      <c r="B14" s="3202"/>
      <c r="C14" s="3202"/>
      <c r="D14" s="3202"/>
      <c r="E14" s="3202"/>
      <c r="F14" s="3202"/>
      <c r="G14" s="3202"/>
      <c r="H14" s="3202"/>
      <c r="I14" s="3202"/>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46003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3" t="s">
        <v>949</v>
      </c>
      <c r="B1" s="3203"/>
      <c r="C1" s="3203"/>
      <c r="D1" s="3203"/>
    </row>
    <row r="2" spans="1:4" ht="18">
      <c r="A2" s="3204" t="s">
        <v>933</v>
      </c>
      <c r="B2" s="3204"/>
      <c r="C2" s="3204"/>
      <c r="D2" s="3204"/>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4" t="s">
        <v>939</v>
      </c>
      <c r="B6" s="3204"/>
      <c r="C6" s="3204"/>
      <c r="D6" s="3204"/>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5" t="s">
        <v>942</v>
      </c>
      <c r="B11" s="3206"/>
      <c r="C11" s="3206"/>
      <c r="D11" s="3206"/>
    </row>
    <row r="12" spans="1:4" ht="15.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6" t="str">
        <f>IF(项目基本情况!B8="抵押","4.本次评估估价师所知悉的法定优先受偿款情况说明如下：","——")</f>
        <v>4.本次评估估价师所知悉的法定优先受偿款情况说明如下：</v>
      </c>
      <c r="B14" s="3207"/>
      <c r="C14" s="3207"/>
      <c r="D14" s="3207"/>
    </row>
    <row r="15" spans="1:4" ht="42" customHeight="1">
      <c r="A15" s="320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9" t="s">
        <v>943</v>
      </c>
      <c r="B16" s="3209"/>
      <c r="C16" s="3209"/>
      <c r="D16" s="3209"/>
    </row>
    <row r="17" spans="1:4" ht="144" customHeight="1">
      <c r="A17" s="3209" t="s">
        <v>944</v>
      </c>
      <c r="B17" s="3209"/>
      <c r="C17" s="3209"/>
      <c r="D17" s="3209"/>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945</v>
      </c>
      <c r="B22" s="3211"/>
      <c r="C22" s="3211"/>
      <c r="D22" s="3211"/>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8">
        <v>42551</v>
      </c>
      <c r="D31" s="32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7" t="s">
        <v>956</v>
      </c>
      <c r="B15" s="3212" t="s">
        <v>109</v>
      </c>
      <c r="C15" s="3213"/>
    </row>
    <row r="16" spans="1:7" ht="14">
      <c r="A16" s="3218"/>
      <c r="B16" s="3212" t="s">
        <v>42</v>
      </c>
      <c r="C16" s="3213"/>
    </row>
    <row r="17" spans="1:3" ht="14">
      <c r="A17" s="3218"/>
      <c r="B17" s="3215" t="s">
        <v>957</v>
      </c>
      <c r="C17" s="1429" t="s">
        <v>956</v>
      </c>
    </row>
    <row r="18" spans="1:3" ht="14">
      <c r="A18" s="3218"/>
      <c r="B18" s="3215"/>
      <c r="C18" s="1429" t="s">
        <v>958</v>
      </c>
    </row>
    <row r="19" spans="1:3" ht="14">
      <c r="A19" s="3218"/>
      <c r="B19" s="3215"/>
      <c r="C19" s="1429" t="s">
        <v>959</v>
      </c>
    </row>
    <row r="20" spans="1:3" ht="14">
      <c r="A20" s="3219"/>
      <c r="B20" s="3214" t="s">
        <v>960</v>
      </c>
      <c r="C20" s="3213"/>
    </row>
    <row r="21" spans="1:3" ht="14">
      <c r="A21" s="1430" t="s">
        <v>961</v>
      </c>
      <c r="B21" s="1431"/>
      <c r="C21" s="1432"/>
    </row>
    <row r="22" spans="1:3" ht="14">
      <c r="A22" s="3216" t="s">
        <v>962</v>
      </c>
      <c r="B22" s="3214" t="s">
        <v>963</v>
      </c>
      <c r="C22" s="3213"/>
    </row>
    <row r="23" spans="1:3" ht="14">
      <c r="A23" s="3216"/>
      <c r="B23" s="3214" t="s">
        <v>964</v>
      </c>
      <c r="C23" s="3213"/>
    </row>
    <row r="24" spans="1:3" ht="14">
      <c r="A24" s="3216"/>
      <c r="B24" s="3214" t="s">
        <v>965</v>
      </c>
      <c r="C24" s="3213"/>
    </row>
    <row r="25" spans="1:3" ht="14">
      <c r="A25" s="3216"/>
      <c r="B25" s="3215" t="s">
        <v>966</v>
      </c>
      <c r="C25" s="1429" t="s">
        <v>967</v>
      </c>
    </row>
    <row r="26" spans="1:3" ht="14">
      <c r="A26" s="3216"/>
      <c r="B26" s="3215"/>
      <c r="C26" s="1429" t="s">
        <v>968</v>
      </c>
    </row>
    <row r="27" spans="1:3" ht="14">
      <c r="A27" s="3216"/>
      <c r="B27" s="3215"/>
      <c r="C27" s="1429" t="s">
        <v>969</v>
      </c>
    </row>
    <row r="28" spans="1:3" ht="14">
      <c r="A28" s="3216"/>
      <c r="B28" s="3215"/>
      <c r="C28" s="1429" t="s">
        <v>970</v>
      </c>
    </row>
    <row r="29" spans="1:3" ht="14">
      <c r="A29" s="3216"/>
      <c r="B29" s="3215"/>
      <c r="C29" s="1429" t="s">
        <v>971</v>
      </c>
    </row>
    <row r="30" spans="1:3" ht="14">
      <c r="A30" s="3216"/>
      <c r="B30" s="3215"/>
      <c r="C30" s="1429" t="s">
        <v>972</v>
      </c>
    </row>
    <row r="31" spans="1:3" ht="14">
      <c r="A31" s="3216"/>
      <c r="B31" s="3215"/>
      <c r="C31" s="1429" t="s">
        <v>973</v>
      </c>
    </row>
    <row r="32" spans="1:3" ht="14">
      <c r="A32" s="3216"/>
      <c r="B32" s="3215"/>
      <c r="C32" s="1429" t="s">
        <v>974</v>
      </c>
    </row>
    <row r="33" spans="1:3" ht="14">
      <c r="A33" s="3216"/>
      <c r="B33" s="3215"/>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2139</v>
      </c>
      <c r="B2" s="2156">
        <f ca="1">TODAY()</f>
        <v>46007</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t="str">
        <f ca="1">IF(C4&lt;B2,"已过期",1119970066)</f>
        <v>已过期</v>
      </c>
      <c r="C4" s="2161">
        <v>45937</v>
      </c>
      <c r="D4" s="2162" t="str">
        <f ca="1">A4&amp;"（注册号："&amp;B4&amp;"）"</f>
        <v>梁津（注册号：已过期）</v>
      </c>
      <c r="E4" s="2163" t="s">
        <v>2148</v>
      </c>
      <c r="F4" s="1219">
        <f ca="1">IF(G4&lt;B2,"已过期",96010014)</f>
        <v>96010014</v>
      </c>
      <c r="G4" s="2164">
        <v>47118</v>
      </c>
      <c r="H4" s="2165" t="str">
        <f ca="1">E4&amp;"（注册号："&amp;F4&amp;"）"</f>
        <v>梁津（注册号：96010014）</v>
      </c>
    </row>
    <row r="5" spans="1:8" ht="24" customHeight="1">
      <c r="A5" s="1219" t="s">
        <v>2149</v>
      </c>
      <c r="B5" s="1219" t="str">
        <f ca="1">IF(C5&lt;B2,"已过期",1119970111)</f>
        <v>已过期</v>
      </c>
      <c r="C5" s="2161">
        <v>45937</v>
      </c>
      <c r="D5" s="2162" t="str">
        <f t="shared" ref="D5:D15" ca="1" si="0">A5&amp;"（注册号："&amp;B5&amp;"）"</f>
        <v>叶凌（注册号：已过期）</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t="str">
        <f ca="1">IF(C7&lt;B2,"已过期",1120000080)</f>
        <v>已过期</v>
      </c>
      <c r="C7" s="2161">
        <v>45937</v>
      </c>
      <c r="D7" s="2162" t="str">
        <f t="shared" ca="1" si="0"/>
        <v>欧红伟（注册号：已过期）</v>
      </c>
      <c r="E7" s="2163" t="s">
        <v>2151</v>
      </c>
      <c r="F7" s="1219">
        <f ca="1">IF(G7&lt;B2,"已过期",2000110082)</f>
        <v>2000110082</v>
      </c>
      <c r="G7" s="2164">
        <v>46387</v>
      </c>
      <c r="H7" s="2165" t="str">
        <f t="shared" ca="1" si="1"/>
        <v>欧红伟（注册号：2000110082）</v>
      </c>
    </row>
    <row r="8" spans="1:8" ht="24" customHeight="1">
      <c r="A8" s="1219" t="s">
        <v>2152</v>
      </c>
      <c r="B8" s="1219" t="str">
        <f ca="1">IF(C8&lt;B2,"已过期",1419970001)</f>
        <v>已过期</v>
      </c>
      <c r="C8" s="2161">
        <v>45937</v>
      </c>
      <c r="D8" s="2162" t="str">
        <f t="shared" ca="1" si="0"/>
        <v>吴薇（注册号：已过期）</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t="str">
        <f ca="1">IF(C11&lt;B2,"已过期",1120070131)</f>
        <v>已过期</v>
      </c>
      <c r="C11" s="2161">
        <v>45937</v>
      </c>
      <c r="D11" s="2162" t="str">
        <f t="shared" ca="1" si="0"/>
        <v>郑燚（注册号：已过期）</v>
      </c>
      <c r="E11" s="2163" t="s">
        <v>2155</v>
      </c>
      <c r="F11" s="1219">
        <f ca="1">IF(G11&lt;B2,"已过期",2014110011)</f>
        <v>2014110011</v>
      </c>
      <c r="G11" s="2164">
        <v>49302</v>
      </c>
      <c r="H11" s="2165" t="str">
        <f t="shared" ca="1" si="1"/>
        <v>郑燚（注册号：2014110011）</v>
      </c>
    </row>
    <row r="12" spans="1:8" ht="24" customHeight="1">
      <c r="A12" s="1219" t="s">
        <v>2156</v>
      </c>
      <c r="B12" s="1219" t="str">
        <f ca="1">IF(C12&lt;B2,"已过期",1120040230)</f>
        <v>已过期</v>
      </c>
      <c r="C12" s="2166">
        <v>45937</v>
      </c>
      <c r="D12" s="2162" t="str">
        <f t="shared" ca="1" si="0"/>
        <v>苏海（注册号：已过期）</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59"/>
      <c r="E18" s="3222" t="s">
        <v>2162</v>
      </c>
      <c r="F18" s="3221"/>
      <c r="G18" s="3221"/>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172</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比较法-商业租金</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建成年代</vt:lpstr>
      <vt:lpstr>成本法 (元)</vt:lpstr>
      <vt:lpstr>基准地价修正</vt:lpstr>
      <vt:lpstr>Sheet3</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2025-12-16T02:02:34Z</dcterms:modified>
</cp:coreProperties>
</file>