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16563DD4-69DB-4794-84C3-1C41D64177E1}" xr6:coauthVersionLast="47" xr6:coauthVersionMax="47" xr10:uidLastSave="{00000000-0000-0000-0000-000000000000}"/>
  <bookViews>
    <workbookView xWindow="-108" yWindow="-108" windowWidth="20376" windowHeight="12216"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91" r:id="rId19"/>
    <sheet name="成本法" sheetId="68" r:id="rId20"/>
    <sheet name="基准地价修正" sheetId="43" r:id="rId21"/>
    <sheet name="信息" sheetId="80" r:id="rId22"/>
    <sheet name="案例比较法" sheetId="90" r:id="rId23"/>
    <sheet name="租金案例" sheetId="81" r:id="rId24"/>
    <sheet name="租金台账" sheetId="82" r:id="rId25"/>
    <sheet name="比较法-办公-弃用56000" sheetId="34" state="hidden" r:id="rId26"/>
    <sheet name="比较法-办公弃用48740" sheetId="87" state="hidden" r:id="rId27"/>
    <sheet name="比较法大宗案例" sheetId="88" state="hidden" r:id="rId28"/>
    <sheet name="保利佲悦大都汇" sheetId="89" state="hidden" r:id="rId29"/>
    <sheet name="丰台金茂广场" sheetId="84" state="hidden" r:id="rId30"/>
    <sheet name="华樾北京" sheetId="85" state="hidden" r:id="rId31"/>
    <sheet name="新景家园" sheetId="86" state="hidden" r:id="rId32"/>
    <sheet name="成本法 (元)" sheetId="69" state="hidden" r:id="rId33"/>
    <sheet name="假设开发法" sheetId="12" state="hidden" r:id="rId34"/>
    <sheet name="大宗案例" sheetId="83" r:id="rId35"/>
    <sheet name="收益法" sheetId="15" r:id="rId36"/>
    <sheet name="收益法 (元)" sheetId="67" state="hidden" r:id="rId37"/>
    <sheet name="收益法-酒店模型" sheetId="77" state="hidden" r:id="rId38"/>
    <sheet name="收益法（汇总）" sheetId="70" state="hidden" r:id="rId39"/>
    <sheet name="比较法-住宅" sheetId="21" state="hidden" r:id="rId40"/>
    <sheet name="比较法-商业" sheetId="33"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修正" sheetId="45" state="hidden" r:id="rId49"/>
    <sheet name="容积率修正" sheetId="46" state="hidden" r:id="rId50"/>
    <sheet name="成本法（废）" sheetId="11" state="hidden"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18" hidden="1">'比较法-办公'!$A$1:$L$50</definedName>
    <definedName name="_xlnm._FilterDatabase" localSheetId="26" hidden="1">'比较法-办公弃用48740'!$A$1:$L$50</definedName>
    <definedName name="_xlnm._FilterDatabase" localSheetId="25" hidden="1">'比较法-办公-弃用56000'!$A$1:$L$50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40" hidden="1">'比较法-商业'!$A$1:$L$49</definedName>
    <definedName name="_xlnm._FilterDatabase" localSheetId="39"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6">'比较法-办公弃用48740'!$A$1:$K$55,'比较法-办公弃用48740'!$A$58:$M$132</definedName>
    <definedName name="_xlnm.Print_Area" localSheetId="25">'比较法-办公-弃用56000'!$A$1:$K$55,'比较法-办公-弃用56000'!$A$58:$M$132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40">'比较法-商业'!$A$1:$K$54,'比较法-商业'!$A$57:$M$131</definedName>
    <definedName name="_xlnm.Print_Area" localSheetId="39">'比较法-住宅'!$A$1:$K$54,'比较法-住宅'!$A$57:$M$131</definedName>
    <definedName name="_xlnm.Print_Area" localSheetId="19">成本法!$A$1:$G$57</definedName>
    <definedName name="_xlnm.Print_Area" localSheetId="32">'成本法 (元)'!$A$1:$G$57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20">基准地价修正!$A$1:$J$44,基准地价修正!$A$47:$H$101,基准地价修正!$R$1:$V$16</definedName>
    <definedName name="_xlnm.Print_Area" localSheetId="33">假设开发法!$A$1:$K$32</definedName>
    <definedName name="_xlnm.Print_Area" localSheetId="17">结果表!$A$1:$I$127</definedName>
    <definedName name="_xlnm.Print_Area" localSheetId="35">收益法!$A$1:$F$43,收益法!$H$3:$M$29,收益法!$A$46:$F$71,收益法!$I$46:$N$65</definedName>
    <definedName name="_xlnm.Print_Area" localSheetId="36">'收益法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8">'比较法-办公'!$B$119:$M$119</definedName>
    <definedName name="办公层高" localSheetId="26">'比较法-办公弃用48740'!$B$119:$M$119</definedName>
    <definedName name="办公层高">'比较法-办公-弃用56000'!$B$119:$M$119</definedName>
    <definedName name="办公朝向" localSheetId="18">'比较法-办公'!$B$91:$M$91</definedName>
    <definedName name="办公朝向" localSheetId="26">'比较法-办公弃用48740'!$B$91:$M$91</definedName>
    <definedName name="办公朝向">'比较法-办公-弃用56000'!$B$91:$M$91</definedName>
    <definedName name="办公道路级别" localSheetId="18">'比较法-办公'!$B$87:$M$87</definedName>
    <definedName name="办公道路级别" localSheetId="26">'比较法-办公弃用48740'!$B$87:$M$87</definedName>
    <definedName name="办公道路级别">'比较法-办公-弃用56000'!$B$87:$M$87</definedName>
    <definedName name="办公公共部分装修" localSheetId="18">'比较法-办公'!$B$108:$M$108</definedName>
    <definedName name="办公公共部分装修" localSheetId="26">'比较法-办公弃用48740'!$B$108:$M$108</definedName>
    <definedName name="办公公共部分装修">'比较法-办公-弃用56000'!$B$108:$M$108</definedName>
    <definedName name="办公基础设施水平" localSheetId="18">'比较法-办公'!$B$117:$M$117</definedName>
    <definedName name="办公基础设施水平" localSheetId="26">'比较法-办公弃用48740'!$B$117:$M$117</definedName>
    <definedName name="办公基础设施水平">'比较法-办公-弃用56000'!$B$117:$M$117</definedName>
    <definedName name="办公集聚程度">定义!$M$1:$M$6</definedName>
    <definedName name="办公建筑结构" localSheetId="18">'比较法-办公'!$B$106:$M$106</definedName>
    <definedName name="办公建筑结构" localSheetId="26">'比较法-办公弃用48740'!$B$106:$M$106</definedName>
    <definedName name="办公建筑结构">'比较法-办公-弃用56000'!$B$106:$M$106</definedName>
    <definedName name="办公建筑类型" localSheetId="18">'比较法-办公'!$B$101:$M$101</definedName>
    <definedName name="办公建筑类型" localSheetId="26">'比较法-办公弃用48740'!$B$101:$M$101</definedName>
    <definedName name="办公建筑类型">'比较法-办公-弃用56000'!$B$101:$M$101</definedName>
    <definedName name="办公交易情况" localSheetId="18">'比较法-办公'!$A$62:$M$62</definedName>
    <definedName name="办公交易情况" localSheetId="26">'比较法-办公弃用48740'!$A$62:$M$62</definedName>
    <definedName name="办公交易情况">'比较法-办公-弃用56000'!$A$62:$M$62</definedName>
    <definedName name="办公楼层" localSheetId="18">'比较法-办公'!$B$89:$M$89</definedName>
    <definedName name="办公楼层" localSheetId="26">'比较法-办公弃用48740'!$B$89:$M$89</definedName>
    <definedName name="办公楼层">'比较法-办公-弃用56000'!$B$89:$M$89</definedName>
    <definedName name="办公内部装修" localSheetId="18">'比较法-办公'!$B$123:$M$123</definedName>
    <definedName name="办公内部装修" localSheetId="26">'比较法-办公弃用48740'!$B$123:$M$123</definedName>
    <definedName name="办公内部装修">'比较法-办公-弃用56000'!$B$123:$M$123</definedName>
    <definedName name="办公物业管理" localSheetId="18">'比较法-办公'!$B$115:$M$115</definedName>
    <definedName name="办公物业管理" localSheetId="26">'比较法-办公弃用48740'!$B$115:$M$115</definedName>
    <definedName name="办公物业管理">'比较法-办公-弃用56000'!$B$115:$M$115</definedName>
    <definedName name="办公用途" localSheetId="18">'比较法-办公'!$B$64:$M$64</definedName>
    <definedName name="办公用途" localSheetId="26">'比较法-办公弃用48740'!$B$64:$M$64</definedName>
    <definedName name="办公用途">'比较法-办公-弃用56000'!$B$64:$M$64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 localSheetId="18">'比较法-办公'!$B$113:$M$113</definedName>
    <definedName name="写字楼等级" localSheetId="26">'比较法-办公弃用48740'!$B$113:$M$113</definedName>
    <definedName name="写字楼等级">'比较法-办公-弃用56000'!$B$113:$M$113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5" i="91" l="1"/>
  <c r="D130" i="91" l="1"/>
  <c r="E130" i="91" s="1"/>
  <c r="F130" i="91" s="1"/>
  <c r="G130" i="91" s="1"/>
  <c r="H130" i="91" s="1"/>
  <c r="I130" i="91" s="1"/>
  <c r="J130" i="91" s="1"/>
  <c r="E67" i="91"/>
  <c r="D67" i="91" s="1"/>
  <c r="C67" i="91" s="1"/>
  <c r="F67" i="91"/>
  <c r="I5" i="91"/>
  <c r="I34" i="91"/>
  <c r="C6" i="91" l="1"/>
  <c r="J5" i="90"/>
  <c r="I37" i="91" s="1"/>
  <c r="M3" i="90"/>
  <c r="M4" i="90"/>
  <c r="M5" i="90"/>
  <c r="I7" i="91"/>
  <c r="G7" i="91"/>
  <c r="E7" i="91"/>
  <c r="G5" i="91"/>
  <c r="E5" i="91"/>
  <c r="G34" i="91"/>
  <c r="E34" i="91"/>
  <c r="I48" i="91"/>
  <c r="G48" i="91"/>
  <c r="T48" i="91" s="1"/>
  <c r="E48" i="91"/>
  <c r="B131" i="91"/>
  <c r="B129" i="91"/>
  <c r="B127" i="91"/>
  <c r="D126" i="91"/>
  <c r="E126" i="91" s="1"/>
  <c r="F126" i="91" s="1"/>
  <c r="G126" i="91" s="1"/>
  <c r="D124" i="91"/>
  <c r="E124" i="91" s="1"/>
  <c r="F124" i="91" s="1"/>
  <c r="E120" i="91"/>
  <c r="F120" i="91" s="1"/>
  <c r="G120" i="91" s="1"/>
  <c r="H120" i="91" s="1"/>
  <c r="I120" i="91" s="1"/>
  <c r="J120" i="91" s="1"/>
  <c r="K120" i="91" s="1"/>
  <c r="L120" i="91" s="1"/>
  <c r="M120" i="91" s="1"/>
  <c r="D120" i="91"/>
  <c r="E118" i="91"/>
  <c r="F118" i="91" s="1"/>
  <c r="G118" i="91" s="1"/>
  <c r="D118" i="91"/>
  <c r="E116" i="91"/>
  <c r="F116" i="91" s="1"/>
  <c r="G116" i="91" s="1"/>
  <c r="H116" i="91" s="1"/>
  <c r="I116" i="91" s="1"/>
  <c r="J116" i="91" s="1"/>
  <c r="K116" i="91" s="1"/>
  <c r="L116" i="91" s="1"/>
  <c r="M116" i="91" s="1"/>
  <c r="D116" i="91"/>
  <c r="E114" i="91"/>
  <c r="F114" i="91" s="1"/>
  <c r="G114" i="91" s="1"/>
  <c r="H114" i="91" s="1"/>
  <c r="I114" i="91" s="1"/>
  <c r="J114" i="91" s="1"/>
  <c r="K114" i="91" s="1"/>
  <c r="L114" i="91" s="1"/>
  <c r="M114" i="91" s="1"/>
  <c r="D114" i="91"/>
  <c r="E112" i="91"/>
  <c r="F112" i="91" s="1"/>
  <c r="G112" i="91" s="1"/>
  <c r="H112" i="91" s="1"/>
  <c r="I112" i="91" s="1"/>
  <c r="J112" i="91" s="1"/>
  <c r="K112" i="91" s="1"/>
  <c r="L112" i="91" s="1"/>
  <c r="M112" i="91" s="1"/>
  <c r="D112" i="91"/>
  <c r="G110" i="91"/>
  <c r="F110" i="91"/>
  <c r="E110" i="91"/>
  <c r="D110" i="91"/>
  <c r="C110" i="91"/>
  <c r="D109" i="91"/>
  <c r="E109" i="91" s="1"/>
  <c r="F109" i="91" s="1"/>
  <c r="G109" i="91" s="1"/>
  <c r="H109" i="91" s="1"/>
  <c r="I109" i="91" s="1"/>
  <c r="J109" i="91" s="1"/>
  <c r="K109" i="91" s="1"/>
  <c r="L109" i="91" s="1"/>
  <c r="M109" i="91" s="1"/>
  <c r="D107" i="91"/>
  <c r="E107" i="91" s="1"/>
  <c r="F107" i="91" s="1"/>
  <c r="G107" i="91" s="1"/>
  <c r="H107" i="91" s="1"/>
  <c r="I107" i="91" s="1"/>
  <c r="J107" i="91" s="1"/>
  <c r="K107" i="91" s="1"/>
  <c r="L107" i="91" s="1"/>
  <c r="M107" i="91" s="1"/>
  <c r="D105" i="91"/>
  <c r="E105" i="91" s="1"/>
  <c r="F105" i="91" s="1"/>
  <c r="G105" i="91" s="1"/>
  <c r="M103" i="91"/>
  <c r="L103" i="91"/>
  <c r="K103" i="91"/>
  <c r="J103" i="91"/>
  <c r="I103" i="91"/>
  <c r="H103" i="91"/>
  <c r="G103" i="91"/>
  <c r="F103" i="91"/>
  <c r="E103" i="91"/>
  <c r="D103" i="91"/>
  <c r="C103" i="91"/>
  <c r="D102" i="91"/>
  <c r="E102" i="91" s="1"/>
  <c r="F102" i="91" s="1"/>
  <c r="G102" i="91" s="1"/>
  <c r="H102" i="91" s="1"/>
  <c r="I102" i="91" s="1"/>
  <c r="J102" i="91" s="1"/>
  <c r="K102" i="91" s="1"/>
  <c r="L102" i="91" s="1"/>
  <c r="M102" i="91" s="1"/>
  <c r="B99" i="91"/>
  <c r="F32" i="91" s="1"/>
  <c r="AA32" i="91" s="1"/>
  <c r="B97" i="91"/>
  <c r="B95" i="91"/>
  <c r="H30" i="91" s="1"/>
  <c r="AB30" i="91" s="1"/>
  <c r="B93" i="91"/>
  <c r="E92" i="91"/>
  <c r="F92" i="91" s="1"/>
  <c r="G92" i="91" s="1"/>
  <c r="H92" i="91" s="1"/>
  <c r="I92" i="91" s="1"/>
  <c r="J92" i="91" s="1"/>
  <c r="K92" i="91" s="1"/>
  <c r="L92" i="91" s="1"/>
  <c r="M92" i="91" s="1"/>
  <c r="D92" i="91"/>
  <c r="B91" i="91"/>
  <c r="J28" i="91" s="1"/>
  <c r="AC28" i="91" s="1"/>
  <c r="D90" i="91"/>
  <c r="E90" i="91" s="1"/>
  <c r="F90" i="91" s="1"/>
  <c r="G90" i="91" s="1"/>
  <c r="H90" i="91" s="1"/>
  <c r="I90" i="91" s="1"/>
  <c r="J90" i="91" s="1"/>
  <c r="K90" i="91" s="1"/>
  <c r="L90" i="91" s="1"/>
  <c r="M90" i="91" s="1"/>
  <c r="B89" i="91"/>
  <c r="D88" i="91"/>
  <c r="E88" i="91" s="1"/>
  <c r="F88" i="91" s="1"/>
  <c r="G88" i="91" s="1"/>
  <c r="H88" i="91" s="1"/>
  <c r="I88" i="91" s="1"/>
  <c r="J88" i="91" s="1"/>
  <c r="K88" i="91" s="1"/>
  <c r="L88" i="91" s="1"/>
  <c r="M88" i="91" s="1"/>
  <c r="D86" i="91"/>
  <c r="E86" i="91" s="1"/>
  <c r="D84" i="91"/>
  <c r="E84" i="91" s="1"/>
  <c r="F84" i="91" s="1"/>
  <c r="G84" i="91" s="1"/>
  <c r="D82" i="91"/>
  <c r="E82" i="91" s="1"/>
  <c r="D80" i="91"/>
  <c r="E80" i="91" s="1"/>
  <c r="D78" i="91"/>
  <c r="E78" i="91" s="1"/>
  <c r="B75" i="91"/>
  <c r="B73" i="91"/>
  <c r="B71" i="91"/>
  <c r="D70" i="91"/>
  <c r="E70" i="91" s="1"/>
  <c r="F70" i="91" s="1"/>
  <c r="G70" i="91" s="1"/>
  <c r="H70" i="91" s="1"/>
  <c r="I70" i="91" s="1"/>
  <c r="J70" i="91" s="1"/>
  <c r="K70" i="91" s="1"/>
  <c r="L70" i="91" s="1"/>
  <c r="M70" i="91" s="1"/>
  <c r="M68" i="91"/>
  <c r="L68" i="91"/>
  <c r="K68" i="91"/>
  <c r="J68" i="91"/>
  <c r="I68" i="91"/>
  <c r="H68" i="91"/>
  <c r="G68" i="91"/>
  <c r="F68" i="91"/>
  <c r="E68" i="91"/>
  <c r="D68" i="91"/>
  <c r="C68" i="91"/>
  <c r="C64" i="91"/>
  <c r="H9" i="91" s="1"/>
  <c r="AB9" i="91" s="1"/>
  <c r="P50" i="91"/>
  <c r="P49" i="91"/>
  <c r="K49" i="91"/>
  <c r="P48" i="91"/>
  <c r="I55" i="91"/>
  <c r="J55" i="91" s="1"/>
  <c r="R48" i="91"/>
  <c r="Q47" i="91"/>
  <c r="Z47" i="91" s="1"/>
  <c r="J47" i="91"/>
  <c r="AC47" i="91" s="1"/>
  <c r="H47" i="91"/>
  <c r="AB47" i="91" s="1"/>
  <c r="F47" i="91"/>
  <c r="AA47" i="91" s="1"/>
  <c r="Q46" i="91"/>
  <c r="Z46" i="91" s="1"/>
  <c r="H46" i="91"/>
  <c r="AB46" i="91" s="1"/>
  <c r="F46" i="91"/>
  <c r="AA46" i="91" s="1"/>
  <c r="Q45" i="91"/>
  <c r="Z45" i="91" s="1"/>
  <c r="G45" i="91"/>
  <c r="Q44" i="91"/>
  <c r="Z44" i="91" s="1"/>
  <c r="J44" i="91"/>
  <c r="AC44" i="91" s="1"/>
  <c r="H44" i="91"/>
  <c r="AB44" i="91" s="1"/>
  <c r="F44" i="91"/>
  <c r="AA44" i="91" s="1"/>
  <c r="Q43" i="91"/>
  <c r="Z43" i="91" s="1"/>
  <c r="Q42" i="91"/>
  <c r="Z42" i="91" s="1"/>
  <c r="J42" i="91"/>
  <c r="H42" i="91"/>
  <c r="AB42" i="91" s="1"/>
  <c r="F42" i="91"/>
  <c r="AA42" i="91" s="1"/>
  <c r="U41" i="9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W38" i="91" s="1"/>
  <c r="H38" i="91"/>
  <c r="AB38" i="91" s="1"/>
  <c r="F38" i="91"/>
  <c r="AA38" i="91" s="1"/>
  <c r="Q37" i="91"/>
  <c r="Z37" i="91" s="1"/>
  <c r="Q36" i="91"/>
  <c r="Z36" i="91" s="1"/>
  <c r="J36" i="91"/>
  <c r="AC36" i="91" s="1"/>
  <c r="H36" i="91"/>
  <c r="AB36" i="91" s="1"/>
  <c r="F36" i="91"/>
  <c r="AA36" i="91" s="1"/>
  <c r="Q35" i="91"/>
  <c r="Z35" i="91" s="1"/>
  <c r="J35" i="91"/>
  <c r="AC35" i="91" s="1"/>
  <c r="H35" i="91"/>
  <c r="AB35" i="91" s="1"/>
  <c r="F35" i="91"/>
  <c r="AA35" i="91" s="1"/>
  <c r="Q34" i="91"/>
  <c r="Z34" i="91" s="1"/>
  <c r="Q33" i="91"/>
  <c r="Z33" i="91" s="1"/>
  <c r="J33" i="91"/>
  <c r="AC33" i="91" s="1"/>
  <c r="H33" i="91"/>
  <c r="AB33" i="91" s="1"/>
  <c r="F33" i="91"/>
  <c r="AA33" i="91" s="1"/>
  <c r="S32" i="91"/>
  <c r="Q32" i="91"/>
  <c r="Z32" i="91" s="1"/>
  <c r="Q31" i="91"/>
  <c r="Z31" i="91" s="1"/>
  <c r="J31" i="91"/>
  <c r="AC31" i="91" s="1"/>
  <c r="H31" i="91"/>
  <c r="AB31" i="91" s="1"/>
  <c r="F31" i="91"/>
  <c r="AA31" i="91" s="1"/>
  <c r="Q30" i="91"/>
  <c r="Z30" i="91" s="1"/>
  <c r="J30" i="91"/>
  <c r="W30" i="91" s="1"/>
  <c r="U29" i="91"/>
  <c r="Q29" i="91"/>
  <c r="Z29" i="91" s="1"/>
  <c r="J29" i="91"/>
  <c r="AC29" i="91" s="1"/>
  <c r="H29" i="91"/>
  <c r="AB29" i="91" s="1"/>
  <c r="F29" i="91"/>
  <c r="Q28" i="91"/>
  <c r="Z28" i="91" s="1"/>
  <c r="F28" i="91"/>
  <c r="S28" i="91" s="1"/>
  <c r="Q27" i="91"/>
  <c r="Z27" i="91" s="1"/>
  <c r="J27" i="91"/>
  <c r="AC27" i="91" s="1"/>
  <c r="H27" i="91"/>
  <c r="U27" i="91" s="1"/>
  <c r="F27" i="91"/>
  <c r="AA27" i="91" s="1"/>
  <c r="Q25" i="91"/>
  <c r="Z25" i="91" s="1"/>
  <c r="J25" i="91"/>
  <c r="AC25" i="91" s="1"/>
  <c r="H25" i="91"/>
  <c r="AB25" i="91" s="1"/>
  <c r="F25" i="91"/>
  <c r="AA25" i="91" s="1"/>
  <c r="Q23" i="91"/>
  <c r="Z23" i="91" s="1"/>
  <c r="C23" i="91"/>
  <c r="Q21" i="91"/>
  <c r="Z21" i="91" s="1"/>
  <c r="J21" i="91"/>
  <c r="AC21" i="91" s="1"/>
  <c r="H21" i="91"/>
  <c r="AB21" i="91" s="1"/>
  <c r="F21" i="91"/>
  <c r="AA21" i="91" s="1"/>
  <c r="C21" i="91"/>
  <c r="Q19" i="91"/>
  <c r="Z19" i="91" s="1"/>
  <c r="C19" i="91"/>
  <c r="Q17" i="91"/>
  <c r="Z17" i="91" s="1"/>
  <c r="C17" i="91"/>
  <c r="Q15" i="91"/>
  <c r="Z15" i="91" s="1"/>
  <c r="J15" i="91"/>
  <c r="AC15" i="91" s="1"/>
  <c r="C15" i="91"/>
  <c r="Q14" i="91"/>
  <c r="Z14" i="91" s="1"/>
  <c r="AC13" i="91"/>
  <c r="W13" i="91"/>
  <c r="Q13" i="91"/>
  <c r="Z13" i="91" s="1"/>
  <c r="J13" i="91"/>
  <c r="H13" i="91"/>
  <c r="AB13" i="91" s="1"/>
  <c r="F13" i="91"/>
  <c r="AA13" i="91" s="1"/>
  <c r="Q12" i="91"/>
  <c r="Z12" i="91" s="1"/>
  <c r="J12" i="91"/>
  <c r="AC12" i="91" s="1"/>
  <c r="H12" i="91"/>
  <c r="AB12" i="91" s="1"/>
  <c r="F12" i="91"/>
  <c r="AA12" i="91" s="1"/>
  <c r="Q11" i="91"/>
  <c r="Z11" i="91" s="1"/>
  <c r="J11" i="91"/>
  <c r="AC11" i="91" s="1"/>
  <c r="H11" i="91"/>
  <c r="AB11" i="91" s="1"/>
  <c r="F11" i="91"/>
  <c r="S11" i="91" s="1"/>
  <c r="Q10" i="91"/>
  <c r="Z10" i="91" s="1"/>
  <c r="Q9" i="91"/>
  <c r="Z9" i="91" s="1"/>
  <c r="F9" i="91"/>
  <c r="AA9" i="91" s="1"/>
  <c r="J8" i="91"/>
  <c r="W8" i="91" s="1"/>
  <c r="H8" i="91"/>
  <c r="U8" i="91" s="1"/>
  <c r="F8" i="91"/>
  <c r="AA8" i="91" s="1"/>
  <c r="J4" i="90"/>
  <c r="G37" i="91" s="1"/>
  <c r="J3" i="90"/>
  <c r="E37" i="91" s="1"/>
  <c r="D130" i="87"/>
  <c r="E130" i="87"/>
  <c r="F130" i="87"/>
  <c r="G130" i="87" s="1"/>
  <c r="E7" i="87"/>
  <c r="E5" i="87"/>
  <c r="M5" i="88"/>
  <c r="M4" i="88"/>
  <c r="E37" i="34"/>
  <c r="L4" i="88"/>
  <c r="L5" i="88"/>
  <c r="E37" i="87" s="1"/>
  <c r="E5" i="88"/>
  <c r="E34" i="87" s="1"/>
  <c r="B5" i="88"/>
  <c r="M25" i="89"/>
  <c r="L25" i="89"/>
  <c r="B4" i="88"/>
  <c r="M3" i="88"/>
  <c r="L3" i="88"/>
  <c r="G3" i="88"/>
  <c r="B3" i="88"/>
  <c r="M2" i="88"/>
  <c r="L2" i="88"/>
  <c r="B2" i="88"/>
  <c r="D2" i="91"/>
  <c r="H28" i="91" l="1"/>
  <c r="N25" i="89"/>
  <c r="F5" i="88" s="1"/>
  <c r="E48" i="87" s="1"/>
  <c r="J9" i="91"/>
  <c r="AA28" i="91"/>
  <c r="F30" i="91"/>
  <c r="AA30" i="91" s="1"/>
  <c r="AC30" i="91"/>
  <c r="AA11" i="91"/>
  <c r="AC38" i="91"/>
  <c r="F86" i="91"/>
  <c r="G86" i="91" s="1"/>
  <c r="H23" i="91"/>
  <c r="AB23" i="91" s="1"/>
  <c r="F23" i="91"/>
  <c r="AA23" i="91" s="1"/>
  <c r="J23" i="91"/>
  <c r="AC23" i="91" s="1"/>
  <c r="U33" i="91"/>
  <c r="F78" i="91"/>
  <c r="G78" i="91" s="1"/>
  <c r="F15" i="91"/>
  <c r="AA15" i="91" s="1"/>
  <c r="H15" i="91"/>
  <c r="AB15" i="91" s="1"/>
  <c r="AB8" i="91"/>
  <c r="S8" i="91"/>
  <c r="J10" i="91"/>
  <c r="AC10" i="91" s="1"/>
  <c r="F10" i="91"/>
  <c r="AA10" i="91" s="1"/>
  <c r="H10" i="91"/>
  <c r="AB10" i="91" s="1"/>
  <c r="F80" i="91"/>
  <c r="G80" i="91" s="1"/>
  <c r="J17" i="91"/>
  <c r="AC17" i="91" s="1"/>
  <c r="H17" i="91"/>
  <c r="AB17" i="91" s="1"/>
  <c r="F17" i="91"/>
  <c r="AA17" i="91" s="1"/>
  <c r="F82" i="91"/>
  <c r="G82" i="91" s="1"/>
  <c r="H19" i="91"/>
  <c r="AB19" i="91" s="1"/>
  <c r="F19" i="91"/>
  <c r="AA19" i="91" s="1"/>
  <c r="J19" i="91"/>
  <c r="AC19" i="91" s="1"/>
  <c r="J43" i="91"/>
  <c r="AC43" i="91" s="1"/>
  <c r="H43" i="91"/>
  <c r="AB43" i="91" s="1"/>
  <c r="AC8" i="91"/>
  <c r="S44" i="91"/>
  <c r="U12" i="91"/>
  <c r="S25" i="91"/>
  <c r="J14" i="91"/>
  <c r="H14" i="91"/>
  <c r="F14" i="91"/>
  <c r="AB27" i="91"/>
  <c r="AC42" i="91"/>
  <c r="W42" i="91"/>
  <c r="W12" i="91"/>
  <c r="S21" i="91"/>
  <c r="U25" i="91"/>
  <c r="W27" i="91"/>
  <c r="AA29" i="91"/>
  <c r="S29" i="91"/>
  <c r="G55" i="91"/>
  <c r="H55" i="91" s="1"/>
  <c r="G124" i="91"/>
  <c r="H124" i="91" s="1"/>
  <c r="I124" i="91" s="1"/>
  <c r="J124" i="91" s="1"/>
  <c r="K124" i="91" s="1"/>
  <c r="L124" i="91" s="1"/>
  <c r="M124" i="91" s="1"/>
  <c r="F43" i="91"/>
  <c r="S9" i="91"/>
  <c r="W11" i="91"/>
  <c r="S13" i="91"/>
  <c r="U21" i="91"/>
  <c r="W25" i="91"/>
  <c r="S36" i="91"/>
  <c r="S40" i="91"/>
  <c r="S47" i="91"/>
  <c r="J46" i="91"/>
  <c r="J32" i="91"/>
  <c r="H32" i="91"/>
  <c r="U11" i="91"/>
  <c r="U9" i="91"/>
  <c r="S12" i="91"/>
  <c r="U13" i="91"/>
  <c r="W15" i="91"/>
  <c r="W21" i="91"/>
  <c r="S27" i="91"/>
  <c r="AB28" i="91"/>
  <c r="U28" i="91"/>
  <c r="W29" i="91"/>
  <c r="S31" i="91"/>
  <c r="W33" i="91"/>
  <c r="S35" i="91"/>
  <c r="U36" i="91"/>
  <c r="S39" i="91"/>
  <c r="U40" i="91"/>
  <c r="W41" i="91"/>
  <c r="U44" i="91"/>
  <c r="S46" i="91"/>
  <c r="U47" i="91"/>
  <c r="V48" i="91"/>
  <c r="W28" i="91"/>
  <c r="S30" i="91"/>
  <c r="U31" i="91"/>
  <c r="U35" i="91"/>
  <c r="W36" i="91"/>
  <c r="S38" i="91"/>
  <c r="U39" i="91"/>
  <c r="W40" i="91"/>
  <c r="S42" i="91"/>
  <c r="W44" i="91"/>
  <c r="U46" i="91"/>
  <c r="W47" i="91"/>
  <c r="E55" i="91"/>
  <c r="F55" i="91" s="1"/>
  <c r="U30" i="91"/>
  <c r="W31" i="91"/>
  <c r="S33" i="91"/>
  <c r="W35" i="91"/>
  <c r="U38" i="91"/>
  <c r="W39" i="91"/>
  <c r="S41" i="91"/>
  <c r="U42" i="91"/>
  <c r="B131" i="87"/>
  <c r="H47" i="87" s="1"/>
  <c r="AB47" i="87" s="1"/>
  <c r="B129" i="87"/>
  <c r="B127" i="87"/>
  <c r="D126" i="87"/>
  <c r="E126" i="87" s="1"/>
  <c r="F126" i="87" s="1"/>
  <c r="G126" i="87" s="1"/>
  <c r="D124" i="87"/>
  <c r="E124" i="87" s="1"/>
  <c r="D120" i="87"/>
  <c r="E120" i="87" s="1"/>
  <c r="F120" i="87" s="1"/>
  <c r="G120" i="87" s="1"/>
  <c r="H120" i="87" s="1"/>
  <c r="I120" i="87" s="1"/>
  <c r="J120" i="87" s="1"/>
  <c r="K120" i="87" s="1"/>
  <c r="L120" i="87" s="1"/>
  <c r="M120" i="87" s="1"/>
  <c r="D118" i="87"/>
  <c r="E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D112" i="87"/>
  <c r="E112" i="87" s="1"/>
  <c r="F112" i="87" s="1"/>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D105" i="87"/>
  <c r="E105" i="87" s="1"/>
  <c r="F105" i="87" s="1"/>
  <c r="G105"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B95" i="87"/>
  <c r="B93" i="87"/>
  <c r="I92" i="87"/>
  <c r="J92" i="87" s="1"/>
  <c r="K92" i="87" s="1"/>
  <c r="L92" i="87" s="1"/>
  <c r="M92" i="87" s="1"/>
  <c r="E92" i="87"/>
  <c r="F92" i="87" s="1"/>
  <c r="G92" i="87" s="1"/>
  <c r="H92" i="87" s="1"/>
  <c r="D92" i="87"/>
  <c r="B91" i="87"/>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E67" i="87" s="1"/>
  <c r="D67" i="87" s="1"/>
  <c r="C67" i="87" s="1"/>
  <c r="C64" i="87"/>
  <c r="P50" i="87"/>
  <c r="P49" i="87"/>
  <c r="K49" i="87"/>
  <c r="P48" i="87"/>
  <c r="I48" i="87"/>
  <c r="I55" i="87" s="1"/>
  <c r="J55" i="87" s="1"/>
  <c r="R48" i="87"/>
  <c r="Q47" i="87"/>
  <c r="Z47" i="87" s="1"/>
  <c r="J47" i="87"/>
  <c r="AC47" i="87" s="1"/>
  <c r="F47" i="87"/>
  <c r="S47" i="87" s="1"/>
  <c r="Z46" i="87"/>
  <c r="Q46" i="87"/>
  <c r="H46" i="87"/>
  <c r="AB46" i="87" s="1"/>
  <c r="F46" i="87"/>
  <c r="AA46" i="87" s="1"/>
  <c r="Q45" i="87"/>
  <c r="Z45" i="87" s="1"/>
  <c r="I45" i="87"/>
  <c r="G45" i="87"/>
  <c r="Q44" i="87"/>
  <c r="Z44" i="87" s="1"/>
  <c r="H44" i="87"/>
  <c r="AB44" i="87" s="1"/>
  <c r="F44" i="87"/>
  <c r="AA44" i="87" s="1"/>
  <c r="Q43" i="87"/>
  <c r="Z43" i="87" s="1"/>
  <c r="J43" i="87"/>
  <c r="AC43" i="87" s="1"/>
  <c r="Q42" i="87"/>
  <c r="Z42" i="87" s="1"/>
  <c r="J42" i="87"/>
  <c r="AC42" i="87" s="1"/>
  <c r="H42" i="87"/>
  <c r="AB42" i="87" s="1"/>
  <c r="F42" i="87"/>
  <c r="AA42" i="87" s="1"/>
  <c r="Q41" i="87"/>
  <c r="Z41" i="87" s="1"/>
  <c r="J41" i="87"/>
  <c r="AC41" i="87" s="1"/>
  <c r="H41" i="87"/>
  <c r="AB41" i="87" s="1"/>
  <c r="F41" i="87"/>
  <c r="AA41" i="87" s="1"/>
  <c r="Q40" i="87"/>
  <c r="Z40" i="87" s="1"/>
  <c r="Q39" i="87"/>
  <c r="Z39" i="87" s="1"/>
  <c r="J39" i="87"/>
  <c r="AC39" i="87" s="1"/>
  <c r="H39" i="87"/>
  <c r="AB39" i="87" s="1"/>
  <c r="F39" i="87"/>
  <c r="S39" i="87" s="1"/>
  <c r="Q38" i="87"/>
  <c r="Z38" i="87" s="1"/>
  <c r="J38" i="87"/>
  <c r="AC38" i="87" s="1"/>
  <c r="H38" i="87"/>
  <c r="AB38" i="87" s="1"/>
  <c r="F38" i="87"/>
  <c r="AA38" i="87" s="1"/>
  <c r="Q37" i="87"/>
  <c r="Z37" i="87" s="1"/>
  <c r="I37" i="87"/>
  <c r="G37" i="87"/>
  <c r="Q36" i="87"/>
  <c r="Z36" i="87" s="1"/>
  <c r="J36" i="87"/>
  <c r="AC36" i="87" s="1"/>
  <c r="H36" i="87"/>
  <c r="AB36" i="87" s="1"/>
  <c r="F36" i="87"/>
  <c r="AA36" i="87" s="1"/>
  <c r="Q35" i="87"/>
  <c r="Z35" i="87" s="1"/>
  <c r="J35" i="87"/>
  <c r="AC35" i="87" s="1"/>
  <c r="H35" i="87"/>
  <c r="AB35" i="87" s="1"/>
  <c r="F35" i="87"/>
  <c r="AA35" i="87" s="1"/>
  <c r="Q34" i="87"/>
  <c r="Z34" i="87" s="1"/>
  <c r="I34" i="87"/>
  <c r="Q33" i="87"/>
  <c r="Z33" i="87" s="1"/>
  <c r="J33" i="87"/>
  <c r="AC33" i="87" s="1"/>
  <c r="H33" i="87"/>
  <c r="AB33" i="87" s="1"/>
  <c r="F33" i="87"/>
  <c r="AA33" i="87" s="1"/>
  <c r="Q32" i="87"/>
  <c r="Z32" i="87" s="1"/>
  <c r="H32" i="87"/>
  <c r="AB32" i="87" s="1"/>
  <c r="Q31" i="87"/>
  <c r="Z31" i="87" s="1"/>
  <c r="J31" i="87"/>
  <c r="H31" i="87"/>
  <c r="AB31" i="87" s="1"/>
  <c r="F31" i="87"/>
  <c r="S31" i="87" s="1"/>
  <c r="W30" i="87"/>
  <c r="U30" i="87"/>
  <c r="Q30" i="87"/>
  <c r="Z30" i="87" s="1"/>
  <c r="J30" i="87"/>
  <c r="AC30" i="87" s="1"/>
  <c r="H30" i="87"/>
  <c r="AB30" i="87" s="1"/>
  <c r="F30" i="87"/>
  <c r="AA30" i="87" s="1"/>
  <c r="Q29" i="87"/>
  <c r="Z29" i="87" s="1"/>
  <c r="J29" i="87"/>
  <c r="AC29" i="87" s="1"/>
  <c r="H29" i="87"/>
  <c r="U29" i="87" s="1"/>
  <c r="F29" i="87"/>
  <c r="S29" i="87" s="1"/>
  <c r="Q28" i="87"/>
  <c r="Z28" i="87" s="1"/>
  <c r="J28" i="87"/>
  <c r="H28" i="87"/>
  <c r="U28" i="87" s="1"/>
  <c r="F28" i="87"/>
  <c r="S28" i="87" s="1"/>
  <c r="Q27" i="87"/>
  <c r="Z27" i="87" s="1"/>
  <c r="J27" i="87"/>
  <c r="AC27" i="87" s="1"/>
  <c r="H27" i="87"/>
  <c r="AB27" i="87" s="1"/>
  <c r="F27" i="87"/>
  <c r="AA27" i="87" s="1"/>
  <c r="Q25" i="87"/>
  <c r="Z25" i="87" s="1"/>
  <c r="J25" i="87"/>
  <c r="AC25" i="87" s="1"/>
  <c r="H25" i="87"/>
  <c r="AB25" i="87" s="1"/>
  <c r="F25" i="87"/>
  <c r="AA25" i="87" s="1"/>
  <c r="Q23" i="87"/>
  <c r="Z23" i="87" s="1"/>
  <c r="J23" i="87"/>
  <c r="AC23" i="87" s="1"/>
  <c r="F23" i="87"/>
  <c r="AA23" i="87" s="1"/>
  <c r="C23" i="87"/>
  <c r="Q21" i="87"/>
  <c r="Z21" i="87" s="1"/>
  <c r="J21" i="87"/>
  <c r="AC21" i="87" s="1"/>
  <c r="H21" i="87"/>
  <c r="AB21" i="87" s="1"/>
  <c r="F21" i="87"/>
  <c r="AA21" i="87" s="1"/>
  <c r="C21" i="87"/>
  <c r="Q19" i="87"/>
  <c r="Z19" i="87" s="1"/>
  <c r="J19" i="87"/>
  <c r="AC19" i="87" s="1"/>
  <c r="F19" i="87"/>
  <c r="AA19" i="87" s="1"/>
  <c r="C19" i="87"/>
  <c r="Q17" i="87"/>
  <c r="Z17" i="87" s="1"/>
  <c r="J17" i="87"/>
  <c r="AC17" i="87" s="1"/>
  <c r="H17" i="87"/>
  <c r="AB17" i="87" s="1"/>
  <c r="F17" i="87"/>
  <c r="AA17" i="87" s="1"/>
  <c r="C17" i="87"/>
  <c r="Q15" i="87"/>
  <c r="Z15" i="87" s="1"/>
  <c r="J15" i="87"/>
  <c r="AC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J8" i="87"/>
  <c r="W8" i="87" s="1"/>
  <c r="H8" i="87"/>
  <c r="AB8" i="87" s="1"/>
  <c r="F8" i="87"/>
  <c r="S8" i="87" s="1"/>
  <c r="I7" i="87"/>
  <c r="G7" i="87"/>
  <c r="I5" i="87"/>
  <c r="G5" i="87"/>
  <c r="E130" i="34"/>
  <c r="F130" i="34" s="1"/>
  <c r="G130" i="34" s="1"/>
  <c r="D130" i="34"/>
  <c r="D2" i="87"/>
  <c r="AB28" i="87" l="1"/>
  <c r="U32" i="87"/>
  <c r="J44" i="87"/>
  <c r="AC44" i="87" s="1"/>
  <c r="AA28" i="87"/>
  <c r="U8" i="87"/>
  <c r="AA29" i="87"/>
  <c r="AB29" i="87"/>
  <c r="AC9" i="91"/>
  <c r="W9" i="91"/>
  <c r="S23" i="91"/>
  <c r="W23" i="91"/>
  <c r="U23" i="91"/>
  <c r="U15" i="91"/>
  <c r="S15" i="91"/>
  <c r="U10" i="91"/>
  <c r="W43" i="91"/>
  <c r="W10" i="91"/>
  <c r="S10" i="91"/>
  <c r="U19" i="91"/>
  <c r="S19" i="91"/>
  <c r="U17" i="91"/>
  <c r="W17" i="91"/>
  <c r="S17" i="91"/>
  <c r="W19" i="91"/>
  <c r="U43" i="91"/>
  <c r="AC8" i="87"/>
  <c r="AC14" i="91"/>
  <c r="W14" i="91"/>
  <c r="AC46" i="91"/>
  <c r="W46" i="91"/>
  <c r="AA43" i="91"/>
  <c r="S43" i="91"/>
  <c r="AB32" i="91"/>
  <c r="U32" i="91"/>
  <c r="AA14" i="91"/>
  <c r="S14" i="91"/>
  <c r="AC32" i="91"/>
  <c r="W32" i="91"/>
  <c r="AB14" i="91"/>
  <c r="U14" i="91"/>
  <c r="G112" i="87"/>
  <c r="AA47" i="87"/>
  <c r="U36" i="87"/>
  <c r="U11" i="87"/>
  <c r="S14" i="87"/>
  <c r="S19" i="87"/>
  <c r="S23" i="87"/>
  <c r="F118" i="87"/>
  <c r="G118" i="87" s="1"/>
  <c r="F40" i="87"/>
  <c r="J40" i="87"/>
  <c r="S9" i="87"/>
  <c r="W11" i="87"/>
  <c r="S13" i="87"/>
  <c r="U14" i="87"/>
  <c r="H15" i="87"/>
  <c r="U17" i="87"/>
  <c r="H19" i="87"/>
  <c r="U21" i="87"/>
  <c r="H23" i="87"/>
  <c r="W25" i="87"/>
  <c r="AA31" i="87"/>
  <c r="AA39" i="87"/>
  <c r="F32" i="87"/>
  <c r="J32" i="87"/>
  <c r="S10" i="87"/>
  <c r="S15" i="87"/>
  <c r="S21" i="87"/>
  <c r="W27" i="87"/>
  <c r="W29" i="87"/>
  <c r="AA8" i="87"/>
  <c r="W10" i="87"/>
  <c r="W15" i="87"/>
  <c r="W17" i="87"/>
  <c r="W19" i="87"/>
  <c r="W21" i="87"/>
  <c r="W23" i="87"/>
  <c r="S27" i="87"/>
  <c r="AC31" i="87"/>
  <c r="W31" i="87"/>
  <c r="W33" i="87"/>
  <c r="S35" i="87"/>
  <c r="H40" i="87"/>
  <c r="W41" i="87"/>
  <c r="U44" i="87"/>
  <c r="F124" i="87"/>
  <c r="H43" i="87"/>
  <c r="J46" i="87"/>
  <c r="W12" i="87"/>
  <c r="S17" i="87"/>
  <c r="U25" i="87"/>
  <c r="U10" i="87"/>
  <c r="U9" i="87"/>
  <c r="S12" i="87"/>
  <c r="U13" i="87"/>
  <c r="W14" i="87"/>
  <c r="W9" i="87"/>
  <c r="S11" i="87"/>
  <c r="U12" i="87"/>
  <c r="W13" i="87"/>
  <c r="S25" i="87"/>
  <c r="U27" i="87"/>
  <c r="AC28" i="87"/>
  <c r="W28" i="87"/>
  <c r="S30" i="87"/>
  <c r="U31" i="87"/>
  <c r="U35" i="87"/>
  <c r="W36" i="87"/>
  <c r="S38" i="87"/>
  <c r="U39" i="87"/>
  <c r="S42" i="87"/>
  <c r="W44" i="87"/>
  <c r="S46" i="87"/>
  <c r="U47" i="87"/>
  <c r="V48" i="87"/>
  <c r="S33" i="87"/>
  <c r="W35" i="87"/>
  <c r="U38" i="87"/>
  <c r="W39" i="87"/>
  <c r="S41" i="87"/>
  <c r="U42" i="87"/>
  <c r="W43" i="87"/>
  <c r="U46" i="87"/>
  <c r="W47" i="87"/>
  <c r="U33" i="87"/>
  <c r="S36" i="87"/>
  <c r="W38" i="87"/>
  <c r="U41" i="87"/>
  <c r="W42" i="87"/>
  <c r="S44" i="87"/>
  <c r="M63" i="84"/>
  <c r="F67" i="34"/>
  <c r="D105" i="34"/>
  <c r="E105" i="34" s="1"/>
  <c r="F105" i="34" s="1"/>
  <c r="G105" i="34" s="1"/>
  <c r="I37" i="34"/>
  <c r="G37" i="34"/>
  <c r="I45" i="34"/>
  <c r="G45" i="34"/>
  <c r="E48" i="34"/>
  <c r="I48" i="34"/>
  <c r="I34" i="34"/>
  <c r="I7" i="34"/>
  <c r="I5" i="34"/>
  <c r="G7" i="34"/>
  <c r="E7" i="34"/>
  <c r="G5" i="34"/>
  <c r="E5" i="34"/>
  <c r="M11" i="86"/>
  <c r="N12" i="86" s="1"/>
  <c r="F4" i="88" s="1"/>
  <c r="L11" i="86"/>
  <c r="E4" i="88" s="1"/>
  <c r="M22" i="85"/>
  <c r="L22" i="85"/>
  <c r="E3" i="88" s="1"/>
  <c r="G34" i="87" s="1"/>
  <c r="M62" i="84"/>
  <c r="N61" i="84"/>
  <c r="F2" i="88" s="1"/>
  <c r="M60" i="84"/>
  <c r="L60" i="84"/>
  <c r="E2" i="88" s="1"/>
  <c r="E34" i="34" s="1"/>
  <c r="W24" i="1"/>
  <c r="U24" i="1" s="1"/>
  <c r="X24" i="1" s="1"/>
  <c r="W23" i="1"/>
  <c r="X23" i="1" s="1"/>
  <c r="W22" i="1"/>
  <c r="W25" i="1" s="1"/>
  <c r="U23" i="1"/>
  <c r="J49" i="15"/>
  <c r="J49" i="67"/>
  <c r="N21" i="1"/>
  <c r="N6" i="1" s="1"/>
  <c r="Y6" i="1" s="1"/>
  <c r="B55" i="1"/>
  <c r="B21" i="1"/>
  <c r="N19" i="1"/>
  <c r="F19" i="6"/>
  <c r="M13" i="3"/>
  <c r="G19" i="6" s="1"/>
  <c r="D40" i="43" s="1"/>
  <c r="K13" i="3"/>
  <c r="I13" i="3"/>
  <c r="D33" i="43"/>
  <c r="C19" i="80"/>
  <c r="F11" i="80"/>
  <c r="C17" i="80"/>
  <c r="D16" i="80" s="1"/>
  <c r="C16" i="80"/>
  <c r="C15" i="80"/>
  <c r="C45" i="34" l="1"/>
  <c r="C45" i="91"/>
  <c r="C45" i="87"/>
  <c r="C37" i="91"/>
  <c r="C37" i="87"/>
  <c r="N23" i="85"/>
  <c r="F3" i="88" s="1"/>
  <c r="G34" i="34"/>
  <c r="C37" i="34"/>
  <c r="X22" i="1"/>
  <c r="X25" i="1" s="1"/>
  <c r="X26" i="1" s="1"/>
  <c r="U6" i="1" s="1"/>
  <c r="H112" i="87"/>
  <c r="I112" i="87" s="1"/>
  <c r="J112" i="87" s="1"/>
  <c r="K112" i="87" s="1"/>
  <c r="L112" i="87" s="1"/>
  <c r="M112" i="87" s="1"/>
  <c r="F37" i="87"/>
  <c r="AB43" i="87"/>
  <c r="U43" i="87"/>
  <c r="AB15" i="87"/>
  <c r="U15" i="87"/>
  <c r="G124" i="87"/>
  <c r="H124" i="87" s="1"/>
  <c r="I124" i="87" s="1"/>
  <c r="J124" i="87" s="1"/>
  <c r="K124" i="87" s="1"/>
  <c r="L124" i="87" s="1"/>
  <c r="M124" i="87" s="1"/>
  <c r="F43" i="87"/>
  <c r="AC32" i="87"/>
  <c r="W32" i="87"/>
  <c r="AC40" i="87"/>
  <c r="W40" i="87"/>
  <c r="U40" i="87"/>
  <c r="AB40" i="87"/>
  <c r="AA32" i="87"/>
  <c r="S32" i="87"/>
  <c r="AA40" i="87"/>
  <c r="S40" i="87"/>
  <c r="AB19" i="87"/>
  <c r="U19" i="87"/>
  <c r="AC46" i="87"/>
  <c r="W46" i="87"/>
  <c r="AB23" i="87"/>
  <c r="U23" i="87"/>
  <c r="E67" i="34"/>
  <c r="D67" i="34" s="1"/>
  <c r="C67" i="34" s="1"/>
  <c r="M64" i="84"/>
  <c r="D3" i="4"/>
  <c r="C60" i="78"/>
  <c r="D60" i="78" s="1"/>
  <c r="D53" i="78"/>
  <c r="D52" i="78"/>
  <c r="B51" i="78"/>
  <c r="B56" i="78" s="1"/>
  <c r="G48" i="87" l="1"/>
  <c r="G48" i="34"/>
  <c r="F45" i="87"/>
  <c r="H45" i="87"/>
  <c r="J45" i="87"/>
  <c r="J37" i="87"/>
  <c r="H37" i="87"/>
  <c r="F45" i="91"/>
  <c r="J45" i="91"/>
  <c r="H45" i="91"/>
  <c r="E45" i="34"/>
  <c r="G2" i="88"/>
  <c r="J37" i="91"/>
  <c r="F37" i="91"/>
  <c r="H37" i="91"/>
  <c r="AA37" i="87"/>
  <c r="S37" i="87"/>
  <c r="S43" i="87"/>
  <c r="AA43" i="87"/>
  <c r="B55" i="78"/>
  <c r="D55" i="78" s="1"/>
  <c r="D51" i="78"/>
  <c r="C51" i="78"/>
  <c r="C56" i="78" s="1"/>
  <c r="C58" i="78" s="1"/>
  <c r="B62" i="78"/>
  <c r="B54" i="78"/>
  <c r="D54" i="78" s="1"/>
  <c r="AA45" i="91" l="1"/>
  <c r="S45" i="91"/>
  <c r="U45" i="87"/>
  <c r="AB45" i="87"/>
  <c r="AB37" i="91"/>
  <c r="U37" i="91"/>
  <c r="AB37" i="87"/>
  <c r="U37" i="87"/>
  <c r="AA45" i="87"/>
  <c r="S45" i="87"/>
  <c r="AA37" i="91"/>
  <c r="S37" i="91"/>
  <c r="AB45" i="91"/>
  <c r="U45" i="91"/>
  <c r="AC37" i="87"/>
  <c r="W37" i="87"/>
  <c r="AC37" i="91"/>
  <c r="W37" i="91"/>
  <c r="W45" i="91"/>
  <c r="AC45" i="91"/>
  <c r="AC45" i="87"/>
  <c r="W45" i="87"/>
  <c r="T48" i="87"/>
  <c r="E55" i="87"/>
  <c r="F55" i="87" s="1"/>
  <c r="G55" i="87"/>
  <c r="H55" i="87" s="1"/>
  <c r="D56" i="78"/>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Z3" i="79"/>
  <c r="T34" i="79"/>
  <c r="W34" i="79" s="1"/>
  <c r="S42" i="79"/>
  <c r="AD45" i="79"/>
  <c r="AD32" i="79"/>
  <c r="AD31" i="79"/>
  <c r="AA28" i="79"/>
  <c r="AD28" i="79" s="1"/>
  <c r="U40" i="79"/>
  <c r="AD4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Q38" i="71"/>
  <c r="P38" i="71"/>
  <c r="AA38" i="71" s="1"/>
  <c r="O38" i="71"/>
  <c r="N38" i="71"/>
  <c r="Q37" i="71"/>
  <c r="P37" i="71"/>
  <c r="O37" i="71"/>
  <c r="Y37" i="71" s="1"/>
  <c r="Z37" i="71" s="1"/>
  <c r="N37" i="71"/>
  <c r="B38" i="71" s="1"/>
  <c r="D37" i="71"/>
  <c r="Q36" i="71"/>
  <c r="P36" i="71"/>
  <c r="O36" i="71"/>
  <c r="N36" i="71"/>
  <c r="Q35" i="71"/>
  <c r="AB34" i="71" s="1"/>
  <c r="P35" i="71"/>
  <c r="O35" i="71"/>
  <c r="Y35" i="7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P29" i="71"/>
  <c r="O29" i="71"/>
  <c r="N29" i="71"/>
  <c r="D29" i="71"/>
  <c r="O28" i="71"/>
  <c r="C28" i="71" s="1"/>
  <c r="C27" i="71" s="1"/>
  <c r="N28" i="71"/>
  <c r="B30" i="71"/>
  <c r="B31" i="71"/>
  <c r="B32" i="71" s="1"/>
  <c r="S32" i="71" s="1"/>
  <c r="E30" i="71"/>
  <c r="E31" i="71" s="1"/>
  <c r="E32" i="71" s="1"/>
  <c r="U32" i="71" s="1"/>
  <c r="B39" i="71"/>
  <c r="B40" i="71" s="1"/>
  <c r="S40" i="71" s="1"/>
  <c r="C30" i="71"/>
  <c r="C31" i="71" s="1"/>
  <c r="AA30" i="71"/>
  <c r="C38" i="71"/>
  <c r="D38" i="71" s="1"/>
  <c r="Y26" i="71"/>
  <c r="Z26" i="71" s="1"/>
  <c r="B28" i="71"/>
  <c r="D30" i="71"/>
  <c r="C43" i="71"/>
  <c r="C44" i="71" s="1"/>
  <c r="T44" i="71" s="1"/>
  <c r="P28" i="71"/>
  <c r="E28" i="71" s="1"/>
  <c r="E59" i="71"/>
  <c r="E60" i="71" s="1"/>
  <c r="U60" i="71" s="1"/>
  <c r="U64" i="71"/>
  <c r="E67" i="71"/>
  <c r="Q28" i="71"/>
  <c r="F28" i="71" s="1"/>
  <c r="F27" i="71" s="1"/>
  <c r="F26" i="71" s="1"/>
  <c r="D58" i="71"/>
  <c r="C63" i="71"/>
  <c r="C64" i="71" s="1"/>
  <c r="D62" i="71"/>
  <c r="T68" i="71"/>
  <c r="O68" i="71"/>
  <c r="D68" i="71"/>
  <c r="C67" i="71"/>
  <c r="E71" i="71"/>
  <c r="E70" i="71" s="1"/>
  <c r="D72" i="71"/>
  <c r="C75" i="71"/>
  <c r="C74" i="71" s="1"/>
  <c r="D74" i="71" s="1"/>
  <c r="E75" i="71"/>
  <c r="E74" i="71" s="1"/>
  <c r="D76" i="71"/>
  <c r="D80" i="71"/>
  <c r="C87" i="71"/>
  <c r="C86" i="71" s="1"/>
  <c r="D86" i="71" s="1"/>
  <c r="D75" i="71"/>
  <c r="P67" i="71"/>
  <c r="E66" i="71"/>
  <c r="P65" i="71" s="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77" i="43"/>
  <c r="B57" i="43"/>
  <c r="B68" i="43"/>
  <c r="C29" i="39"/>
  <c r="S18" i="36"/>
  <c r="H25" i="40"/>
  <c r="AB25" i="40" s="1"/>
  <c r="J25" i="40"/>
  <c r="AC25" i="40" s="1"/>
  <c r="H29" i="39"/>
  <c r="J29" i="39"/>
  <c r="AC29" i="39" s="1"/>
  <c r="J18" i="36"/>
  <c r="AC18" i="36" s="1"/>
  <c r="H18" i="35"/>
  <c r="AB18" i="35" s="1"/>
  <c r="J18" i="35"/>
  <c r="W18" i="35" s="1"/>
  <c r="H21" i="37"/>
  <c r="AB21" i="37" s="1"/>
  <c r="F21" i="37"/>
  <c r="H21" i="34"/>
  <c r="AB21" i="34" s="1"/>
  <c r="H21" i="33"/>
  <c r="U21" i="33" s="1"/>
  <c r="F21" i="33"/>
  <c r="E83" i="21"/>
  <c r="F83" i="21" s="1"/>
  <c r="H1" i="69"/>
  <c r="W25" i="40"/>
  <c r="U25" i="40"/>
  <c r="W29" i="39"/>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L521" i="3" s="1"/>
  <c r="AZ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c r="G62" i="36" s="1"/>
  <c r="B59" i="36"/>
  <c r="J13" i="36" s="1"/>
  <c r="B57" i="36"/>
  <c r="B55" i="36"/>
  <c r="C51" i="36"/>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c r="F23" i="36"/>
  <c r="AA23" i="36" s="1"/>
  <c r="Q22" i="36"/>
  <c r="Z22" i="36" s="1"/>
  <c r="J22" i="36"/>
  <c r="AC22" i="36"/>
  <c r="Q20" i="36"/>
  <c r="Z20" i="36" s="1"/>
  <c r="Q16" i="36"/>
  <c r="Z16" i="36" s="1"/>
  <c r="Q14" i="36"/>
  <c r="Z14" i="36" s="1"/>
  <c r="Q13" i="36"/>
  <c r="Z13" i="36"/>
  <c r="Q12" i="36"/>
  <c r="Z12" i="36" s="1"/>
  <c r="H12" i="36"/>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B75" i="35"/>
  <c r="J24" i="35" s="1"/>
  <c r="AC24" i="35" s="1"/>
  <c r="B73" i="35"/>
  <c r="J23" i="35" s="1"/>
  <c r="AC23" i="35" s="1"/>
  <c r="H23" i="35"/>
  <c r="U23" i="35" s="1"/>
  <c r="B57" i="35"/>
  <c r="B61" i="35"/>
  <c r="B59" i="35"/>
  <c r="F12" i="35" s="1"/>
  <c r="B131" i="34"/>
  <c r="B129" i="34"/>
  <c r="H46" i="34" s="1"/>
  <c r="AB46" i="34" s="1"/>
  <c r="B127" i="34"/>
  <c r="H45" i="34" s="1"/>
  <c r="U45" i="34" s="1"/>
  <c r="B99" i="34"/>
  <c r="H32" i="34" s="1"/>
  <c r="B97" i="34"/>
  <c r="F31" i="34" s="1"/>
  <c r="B95" i="34"/>
  <c r="J30" i="34" s="1"/>
  <c r="B93" i="34"/>
  <c r="B75" i="34"/>
  <c r="J14" i="34" s="1"/>
  <c r="B73" i="34"/>
  <c r="B71" i="34"/>
  <c r="B130" i="33"/>
  <c r="B128" i="33"/>
  <c r="B126" i="33"/>
  <c r="H44" i="33" s="1"/>
  <c r="B98" i="33"/>
  <c r="B96" i="33"/>
  <c r="B94" i="33"/>
  <c r="B74" i="33"/>
  <c r="H14" i="33" s="1"/>
  <c r="U14" i="33" s="1"/>
  <c r="B72" i="33"/>
  <c r="F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H19" i="34" s="1"/>
  <c r="AB19"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Q37" i="33"/>
  <c r="Z37" i="33"/>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J45" i="21"/>
  <c r="W45" i="21" s="1"/>
  <c r="B126" i="21"/>
  <c r="B98" i="21"/>
  <c r="B96" i="21"/>
  <c r="B94" i="21"/>
  <c r="J29" i="21"/>
  <c r="AC29" i="21" s="1"/>
  <c r="B92" i="21"/>
  <c r="H28" i="21" s="1"/>
  <c r="AB28" i="21" s="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s="1"/>
  <c r="J45" i="39"/>
  <c r="W45" i="39" s="1"/>
  <c r="J44" i="39"/>
  <c r="F36" i="39"/>
  <c r="S36" i="39" s="1"/>
  <c r="H36" i="39"/>
  <c r="AB36" i="39" s="1"/>
  <c r="F35" i="39"/>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H22" i="35"/>
  <c r="AB22" i="35" s="1"/>
  <c r="W28" i="35"/>
  <c r="U31" i="35"/>
  <c r="F36" i="34"/>
  <c r="AA36" i="34" s="1"/>
  <c r="J35" i="34"/>
  <c r="W35" i="34" s="1"/>
  <c r="H39" i="33"/>
  <c r="AB39" i="33" s="1"/>
  <c r="F26" i="33"/>
  <c r="AA26" i="33" s="1"/>
  <c r="S40" i="33"/>
  <c r="W39" i="33"/>
  <c r="S27" i="35"/>
  <c r="F11" i="40"/>
  <c r="AA11" i="40" s="1"/>
  <c r="H11" i="40"/>
  <c r="AB11" i="40" s="1"/>
  <c r="AA9" i="40"/>
  <c r="U9"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C15" i="39"/>
  <c r="H32" i="33"/>
  <c r="H11" i="21"/>
  <c r="U11" i="21" s="1"/>
  <c r="J11" i="21"/>
  <c r="W11" i="21" s="1"/>
  <c r="H37" i="40"/>
  <c r="U37" i="40" s="1"/>
  <c r="H36" i="40"/>
  <c r="AB36" i="40" s="1"/>
  <c r="F35" i="40"/>
  <c r="AA35" i="40" s="1"/>
  <c r="H23" i="40"/>
  <c r="AB23" i="40" s="1"/>
  <c r="H17" i="40"/>
  <c r="U17" i="40"/>
  <c r="J15" i="40"/>
  <c r="W15" i="40" s="1"/>
  <c r="J11" i="40"/>
  <c r="W32" i="40"/>
  <c r="F37" i="39"/>
  <c r="AA37" i="39" s="1"/>
  <c r="J34" i="36"/>
  <c r="W34" i="36" s="1"/>
  <c r="U30" i="36"/>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24" i="36"/>
  <c r="AA24" i="36" s="1"/>
  <c r="F34" i="36"/>
  <c r="S34" i="36" s="1"/>
  <c r="F14" i="35"/>
  <c r="AA14" i="35"/>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E114" i="34"/>
  <c r="F114" i="34" s="1"/>
  <c r="G114" i="34" s="1"/>
  <c r="H114" i="34" s="1"/>
  <c r="I114" i="34" s="1"/>
  <c r="J114" i="34" s="1"/>
  <c r="K114" i="34" s="1"/>
  <c r="L114" i="34" s="1"/>
  <c r="M114" i="34" s="1"/>
  <c r="H36" i="34"/>
  <c r="U36" i="34" s="1"/>
  <c r="F28" i="34"/>
  <c r="AA28" i="34" s="1"/>
  <c r="F25" i="34"/>
  <c r="S25" i="34" s="1"/>
  <c r="H23" i="34"/>
  <c r="U23" i="34" s="1"/>
  <c r="J23" i="34"/>
  <c r="W23" i="34" s="1"/>
  <c r="H15" i="34"/>
  <c r="AB15" i="34" s="1"/>
  <c r="J28" i="34"/>
  <c r="W28" i="34" s="1"/>
  <c r="F41" i="33"/>
  <c r="AA41" i="33"/>
  <c r="E113" i="33"/>
  <c r="F113" i="33" s="1"/>
  <c r="G113" i="33" s="1"/>
  <c r="H113" i="33" s="1"/>
  <c r="I113" i="33" s="1"/>
  <c r="J113" i="33" s="1"/>
  <c r="K113" i="33" s="1"/>
  <c r="L113" i="33" s="1"/>
  <c r="M113" i="33" s="1"/>
  <c r="F32" i="33"/>
  <c r="AA32" i="33" s="1"/>
  <c r="J19" i="33"/>
  <c r="AC19" i="33"/>
  <c r="J15" i="33"/>
  <c r="AC15" i="33" s="1"/>
  <c r="F11" i="33"/>
  <c r="AA11" i="33" s="1"/>
  <c r="S26" i="33"/>
  <c r="F37" i="40"/>
  <c r="AA37" i="40"/>
  <c r="F36" i="40"/>
  <c r="AA36" i="40" s="1"/>
  <c r="H28" i="40"/>
  <c r="U28" i="40"/>
  <c r="F23" i="40"/>
  <c r="AA23" i="40" s="1"/>
  <c r="F17" i="40"/>
  <c r="AA17" i="40" s="1"/>
  <c r="J17" i="40"/>
  <c r="W17" i="40" s="1"/>
  <c r="F15" i="40"/>
  <c r="S15" i="40" s="1"/>
  <c r="H15" i="40"/>
  <c r="AB15" i="40" s="1"/>
  <c r="AB30" i="36"/>
  <c r="F29" i="35"/>
  <c r="S29" i="35" s="1"/>
  <c r="H29" i="35"/>
  <c r="AB29" i="35" s="1"/>
  <c r="H33" i="37"/>
  <c r="F33" i="37"/>
  <c r="AA33" i="37" s="1"/>
  <c r="S34" i="37"/>
  <c r="AA34" i="37"/>
  <c r="J43" i="34"/>
  <c r="AC43" i="34" s="1"/>
  <c r="AB42" i="34"/>
  <c r="J40" i="34"/>
  <c r="W40" i="34" s="1"/>
  <c r="H38" i="34"/>
  <c r="AB38" i="34" s="1"/>
  <c r="J36" i="34"/>
  <c r="AC36" i="34" s="1"/>
  <c r="H25" i="34"/>
  <c r="AB25" i="34" s="1"/>
  <c r="J25" i="34"/>
  <c r="AC25" i="34" s="1"/>
  <c r="F23" i="34"/>
  <c r="AA23" i="34" s="1"/>
  <c r="S41" i="33"/>
  <c r="H37" i="33"/>
  <c r="AB37" i="33" s="1"/>
  <c r="H15" i="33"/>
  <c r="AB15" i="33" s="1"/>
  <c r="H11" i="33"/>
  <c r="AB11" i="33" s="1"/>
  <c r="F28" i="40"/>
  <c r="AA28" i="40" s="1"/>
  <c r="J11" i="33"/>
  <c r="W11" i="33" s="1"/>
  <c r="S28" i="34"/>
  <c r="I123" i="21"/>
  <c r="J123" i="21" s="1"/>
  <c r="K123" i="21" s="1"/>
  <c r="L123" i="21" s="1"/>
  <c r="M123" i="21" s="1"/>
  <c r="J42" i="21"/>
  <c r="AC42" i="21" s="1"/>
  <c r="H42" i="21"/>
  <c r="U42" i="21" s="1"/>
  <c r="J44" i="34"/>
  <c r="W44" i="34" s="1"/>
  <c r="F44" i="34"/>
  <c r="AA44" i="34" s="1"/>
  <c r="J10" i="35"/>
  <c r="AC10" i="35" s="1"/>
  <c r="F28" i="21"/>
  <c r="AA28" i="21" s="1"/>
  <c r="J28" i="21"/>
  <c r="J30" i="21"/>
  <c r="AC30" i="21" s="1"/>
  <c r="H44" i="21"/>
  <c r="U44" i="21"/>
  <c r="J46" i="21"/>
  <c r="H26" i="33"/>
  <c r="U26" i="33" s="1"/>
  <c r="H28" i="33"/>
  <c r="U28" i="33" s="1"/>
  <c r="F28" i="33"/>
  <c r="AA28" i="33" s="1"/>
  <c r="J28" i="33"/>
  <c r="W28" i="33" s="1"/>
  <c r="F33" i="35"/>
  <c r="S33" i="35" s="1"/>
  <c r="J33" i="35"/>
  <c r="AC33" i="35" s="1"/>
  <c r="F30" i="35"/>
  <c r="S30" i="35" s="1"/>
  <c r="H10" i="36"/>
  <c r="AB10" i="36" s="1"/>
  <c r="J14" i="36"/>
  <c r="AC14" i="36"/>
  <c r="H14" i="36"/>
  <c r="U14" i="36" s="1"/>
  <c r="F28" i="36"/>
  <c r="AA28" i="36" s="1"/>
  <c r="J13" i="21"/>
  <c r="AC13" i="21" s="1"/>
  <c r="H27" i="21"/>
  <c r="AB27" i="21" s="1"/>
  <c r="F27" i="21"/>
  <c r="AA27" i="21" s="1"/>
  <c r="H29" i="21"/>
  <c r="U29" i="21"/>
  <c r="F31" i="21"/>
  <c r="S31" i="21" s="1"/>
  <c r="F45" i="21"/>
  <c r="AA45" i="21" s="1"/>
  <c r="AA27" i="33"/>
  <c r="J13" i="33"/>
  <c r="H13" i="33"/>
  <c r="U13" i="33" s="1"/>
  <c r="J29" i="33"/>
  <c r="H29" i="33"/>
  <c r="U29" i="33" s="1"/>
  <c r="F29" i="33"/>
  <c r="S29" i="33" s="1"/>
  <c r="H31" i="33"/>
  <c r="H45" i="33"/>
  <c r="U45" i="33"/>
  <c r="J45" i="33"/>
  <c r="W45" i="33" s="1"/>
  <c r="F45" i="33"/>
  <c r="H14" i="34"/>
  <c r="U14" i="34" s="1"/>
  <c r="H30" i="34"/>
  <c r="F30" i="34"/>
  <c r="S30" i="34" s="1"/>
  <c r="F46" i="34"/>
  <c r="AA46" i="34" s="1"/>
  <c r="J46" i="34"/>
  <c r="AC46" i="34" s="1"/>
  <c r="F11" i="35"/>
  <c r="S11" i="35" s="1"/>
  <c r="J26" i="36"/>
  <c r="W26" i="36" s="1"/>
  <c r="H28" i="36"/>
  <c r="U28" i="36" s="1"/>
  <c r="H32" i="36"/>
  <c r="AB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F14" i="33"/>
  <c r="S14" i="33" s="1"/>
  <c r="J14" i="33"/>
  <c r="J30" i="33"/>
  <c r="J44" i="33"/>
  <c r="AC44" i="33" s="1"/>
  <c r="F44" i="33"/>
  <c r="H46" i="33"/>
  <c r="H13" i="34"/>
  <c r="U13" i="34" s="1"/>
  <c r="J29" i="34"/>
  <c r="AC29" i="34" s="1"/>
  <c r="J31" i="34"/>
  <c r="H31" i="34"/>
  <c r="S31" i="34"/>
  <c r="J45" i="34"/>
  <c r="W45" i="34" s="1"/>
  <c r="J47" i="34"/>
  <c r="F13" i="35"/>
  <c r="F35" i="35"/>
  <c r="AA35" i="35" s="1"/>
  <c r="H35" i="35"/>
  <c r="H25" i="36"/>
  <c r="AB25" i="36" s="1"/>
  <c r="H13" i="37"/>
  <c r="AB13" i="37" s="1"/>
  <c r="F28" i="37"/>
  <c r="AA28" i="37" s="1"/>
  <c r="J28" i="37"/>
  <c r="AC28" i="37" s="1"/>
  <c r="H28" i="37"/>
  <c r="H38" i="37"/>
  <c r="AB38" i="37" s="1"/>
  <c r="J38" i="37"/>
  <c r="AC38" i="37" s="1"/>
  <c r="F38" i="37"/>
  <c r="S38" i="37"/>
  <c r="F43" i="39"/>
  <c r="AA43" i="39" s="1"/>
  <c r="H30" i="40"/>
  <c r="AB30" i="40"/>
  <c r="J35" i="40"/>
  <c r="AC35" i="40" s="1"/>
  <c r="J37" i="40"/>
  <c r="AC37" i="40" s="1"/>
  <c r="H13" i="40"/>
  <c r="U13" i="40" s="1"/>
  <c r="J13" i="40"/>
  <c r="AC13" i="40" s="1"/>
  <c r="W13" i="40"/>
  <c r="F13" i="40"/>
  <c r="AA13" i="40" s="1"/>
  <c r="F14" i="37"/>
  <c r="AA14" i="37" s="1"/>
  <c r="S14" i="37"/>
  <c r="F13" i="39"/>
  <c r="J13" i="39"/>
  <c r="W13" i="39" s="1"/>
  <c r="H13" i="39"/>
  <c r="H14" i="40"/>
  <c r="J14" i="40"/>
  <c r="W14" i="40" s="1"/>
  <c r="F14" i="40"/>
  <c r="AA14" i="40"/>
  <c r="J14" i="37"/>
  <c r="J27" i="37"/>
  <c r="AC27" i="37" s="1"/>
  <c r="J36" i="37"/>
  <c r="AC36" i="37" s="1"/>
  <c r="J10" i="36"/>
  <c r="AC10" i="36" s="1"/>
  <c r="AB26" i="33"/>
  <c r="S11" i="36"/>
  <c r="AB45" i="33"/>
  <c r="BA585" i="3"/>
  <c r="F17" i="21"/>
  <c r="AA17" i="21" s="1"/>
  <c r="H17" i="21"/>
  <c r="AB17" i="21" s="1"/>
  <c r="F15" i="21"/>
  <c r="S15" i="21" s="1"/>
  <c r="J41" i="39"/>
  <c r="W41" i="39" s="1"/>
  <c r="U36" i="39"/>
  <c r="G536" i="3"/>
  <c r="G535" i="3"/>
  <c r="G532" i="3"/>
  <c r="G527" i="3"/>
  <c r="G523" i="3"/>
  <c r="G518" i="3"/>
  <c r="G510" i="3"/>
  <c r="G508" i="3"/>
  <c r="G504" i="3"/>
  <c r="G496" i="3"/>
  <c r="G584" i="3"/>
  <c r="G568" i="3"/>
  <c r="G560" i="3"/>
  <c r="G550" i="3"/>
  <c r="BL564" i="3"/>
  <c r="BL554" i="3"/>
  <c r="BL526" i="3"/>
  <c r="BL516" i="3"/>
  <c r="BL582" i="3"/>
  <c r="BL574" i="3"/>
  <c r="BL544" i="3"/>
  <c r="BL536" i="3"/>
  <c r="G533" i="3"/>
  <c r="BL528" i="3"/>
  <c r="G525" i="3"/>
  <c r="BL504" i="3"/>
  <c r="BL496" i="3"/>
  <c r="BA576" i="3"/>
  <c r="BA572" i="3"/>
  <c r="BA560" i="3"/>
  <c r="BA546" i="3"/>
  <c r="BA534" i="3"/>
  <c r="AZ534" i="3" s="1"/>
  <c r="BA532" i="3"/>
  <c r="AZ532" i="3" s="1"/>
  <c r="BA522" i="3"/>
  <c r="BA518" i="3"/>
  <c r="BA500" i="3"/>
  <c r="BA494" i="3"/>
  <c r="BA573" i="3"/>
  <c r="BA569" i="3"/>
  <c r="BA555" i="3"/>
  <c r="BA549" i="3"/>
  <c r="BA537" i="3"/>
  <c r="BA533" i="3"/>
  <c r="BA519" i="3"/>
  <c r="BA515" i="3"/>
  <c r="BA501" i="3"/>
  <c r="BA497" i="3"/>
  <c r="G579" i="3"/>
  <c r="G575" i="3"/>
  <c r="G571" i="3"/>
  <c r="G563" i="3"/>
  <c r="BL558" i="3"/>
  <c r="AC557" i="3"/>
  <c r="G557" i="3" s="1"/>
  <c r="BQ557" i="3"/>
  <c r="BQ583" i="3"/>
  <c r="BL583" i="3" s="1"/>
  <c r="BQ581" i="3"/>
  <c r="BQ579" i="3"/>
  <c r="BL579" i="3"/>
  <c r="BQ577" i="3"/>
  <c r="BQ575" i="3"/>
  <c r="BQ573" i="3"/>
  <c r="BQ571" i="3"/>
  <c r="BL571" i="3"/>
  <c r="BQ569" i="3"/>
  <c r="BQ567" i="3"/>
  <c r="BQ565" i="3"/>
  <c r="BL565" i="3" s="1"/>
  <c r="BQ563" i="3"/>
  <c r="BQ561" i="3"/>
  <c r="BQ559" i="3"/>
  <c r="G559" i="3"/>
  <c r="G553" i="3"/>
  <c r="G547" i="3"/>
  <c r="G543" i="3"/>
  <c r="G541" i="3"/>
  <c r="G539" i="3"/>
  <c r="BQ555" i="3"/>
  <c r="BQ553" i="3"/>
  <c r="BL553" i="3" s="1"/>
  <c r="BQ551" i="3"/>
  <c r="BQ549" i="3"/>
  <c r="BQ547" i="3"/>
  <c r="BQ545" i="3"/>
  <c r="BQ543" i="3"/>
  <c r="BL543" i="3" s="1"/>
  <c r="BQ541" i="3"/>
  <c r="BQ539" i="3"/>
  <c r="BQ537" i="3"/>
  <c r="BL537" i="3"/>
  <c r="BQ535" i="3"/>
  <c r="BQ533" i="3"/>
  <c r="BQ531" i="3"/>
  <c r="BL531" i="3" s="1"/>
  <c r="BQ529" i="3"/>
  <c r="BQ527" i="3"/>
  <c r="BQ525" i="3"/>
  <c r="BL525" i="3"/>
  <c r="AZ525" i="3" s="1"/>
  <c r="BQ523" i="3"/>
  <c r="AC521" i="3"/>
  <c r="AC5" i="3" s="1"/>
  <c r="BQ521" i="3"/>
  <c r="G519" i="3"/>
  <c r="G517" i="3"/>
  <c r="BQ519" i="3"/>
  <c r="BL519" i="3" s="1"/>
  <c r="AZ519" i="3" s="1"/>
  <c r="BQ517" i="3"/>
  <c r="BQ515" i="3"/>
  <c r="BQ513" i="3"/>
  <c r="BQ511" i="3"/>
  <c r="BL511" i="3" s="1"/>
  <c r="AC509" i="3"/>
  <c r="BQ509" i="3"/>
  <c r="BL509" i="3"/>
  <c r="G507" i="3"/>
  <c r="G505" i="3"/>
  <c r="G499" i="3"/>
  <c r="G497" i="3"/>
  <c r="BQ507" i="3"/>
  <c r="BQ505" i="3"/>
  <c r="BL505" i="3"/>
  <c r="AZ505" i="3" s="1"/>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A36"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W23" i="35"/>
  <c r="U26" i="37"/>
  <c r="AC45" i="33"/>
  <c r="W44" i="33"/>
  <c r="U11" i="33"/>
  <c r="U19" i="21"/>
  <c r="AB38" i="21"/>
  <c r="F43" i="33"/>
  <c r="AA43" i="33" s="1"/>
  <c r="W16" i="35"/>
  <c r="W40" i="37"/>
  <c r="H107" i="37"/>
  <c r="I107" i="37" s="1"/>
  <c r="J107" i="37" s="1"/>
  <c r="K107" i="37" s="1"/>
  <c r="L107" i="37" s="1"/>
  <c r="M107" i="37" s="1"/>
  <c r="H37" i="21"/>
  <c r="U37" i="21" s="1"/>
  <c r="S42" i="21"/>
  <c r="J9" i="37"/>
  <c r="W9" i="37" s="1"/>
  <c r="H9" i="37"/>
  <c r="U9" i="37" s="1"/>
  <c r="F9" i="37"/>
  <c r="S9" i="37" s="1"/>
  <c r="J12" i="37"/>
  <c r="H12" i="37"/>
  <c r="AB12" i="37" s="1"/>
  <c r="F12" i="37"/>
  <c r="S12"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c r="AT6" i="3"/>
  <c r="AA25" i="21"/>
  <c r="H19" i="40"/>
  <c r="U19" i="40" s="1"/>
  <c r="F88" i="40"/>
  <c r="G88" i="40" s="1"/>
  <c r="F19" i="40"/>
  <c r="S19" i="40" s="1"/>
  <c r="S14" i="40"/>
  <c r="W23" i="39"/>
  <c r="U45" i="39"/>
  <c r="AB45" i="39"/>
  <c r="G100" i="39"/>
  <c r="H37" i="39"/>
  <c r="AB37" i="39" s="1"/>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BL311" i="3"/>
  <c r="AZ311" i="3" s="1"/>
  <c r="G312" i="3"/>
  <c r="BA314" i="3"/>
  <c r="BL315" i="3"/>
  <c r="AZ315" i="3" s="1"/>
  <c r="G316" i="3"/>
  <c r="BA318" i="3"/>
  <c r="BL319" i="3"/>
  <c r="G320" i="3"/>
  <c r="BA322" i="3"/>
  <c r="BL323" i="3"/>
  <c r="G324" i="3"/>
  <c r="BA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AZ373" i="3" s="1"/>
  <c r="BL374" i="3"/>
  <c r="G375" i="3"/>
  <c r="BA377" i="3"/>
  <c r="AZ233" i="3"/>
  <c r="AZ249" i="3"/>
  <c r="BA379" i="3"/>
  <c r="AZ379" i="3" s="1"/>
  <c r="BL380" i="3"/>
  <c r="G381" i="3"/>
  <c r="BA383" i="3"/>
  <c r="AZ383" i="3" s="1"/>
  <c r="BL384" i="3"/>
  <c r="G385" i="3"/>
  <c r="BA387" i="3"/>
  <c r="BL388" i="3"/>
  <c r="G389" i="3"/>
  <c r="BA391" i="3"/>
  <c r="BL392" i="3"/>
  <c r="G393" i="3"/>
  <c r="BO5" i="3"/>
  <c r="BM5" i="3"/>
  <c r="BJ5" i="3"/>
  <c r="BH5" i="3"/>
  <c r="BF5" i="3"/>
  <c r="AZ506" i="3"/>
  <c r="G548" i="3"/>
  <c r="G538" i="3"/>
  <c r="G520" i="3"/>
  <c r="G502" i="3"/>
  <c r="BS5" i="3"/>
  <c r="BP5" i="3"/>
  <c r="BN5" i="3"/>
  <c r="BK5" i="3"/>
  <c r="BI5" i="3"/>
  <c r="BG5" i="3"/>
  <c r="BE5" i="3"/>
  <c r="BC5" i="3"/>
  <c r="G17" i="3"/>
  <c r="BA17" i="3"/>
  <c r="BT5" i="3"/>
  <c r="AZ356" i="3"/>
  <c r="BA15" i="3"/>
  <c r="BB5" i="3"/>
  <c r="BR5" i="3"/>
  <c r="G509" i="3"/>
  <c r="BL493" i="3"/>
  <c r="AZ493" i="3"/>
  <c r="U36" i="40"/>
  <c r="F83" i="43"/>
  <c r="H85" i="43" s="1"/>
  <c r="F50" i="43"/>
  <c r="H54" i="43" s="1"/>
  <c r="F72" i="43"/>
  <c r="H75" i="43" s="1"/>
  <c r="U17" i="39"/>
  <c r="S14" i="35"/>
  <c r="U43" i="21"/>
  <c r="U35" i="21"/>
  <c r="AC35" i="21"/>
  <c r="AC11" i="39"/>
  <c r="AZ501" i="3"/>
  <c r="W37" i="37"/>
  <c r="S15" i="37"/>
  <c r="U13" i="37"/>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AB33" i="34" s="1"/>
  <c r="F32" i="37"/>
  <c r="S32" i="37" s="1"/>
  <c r="F20" i="36"/>
  <c r="AA20" i="36" s="1"/>
  <c r="J33" i="34"/>
  <c r="AC33" i="34" s="1"/>
  <c r="H23" i="39"/>
  <c r="U23" i="39" s="1"/>
  <c r="D48" i="9"/>
  <c r="M52" i="9" s="1"/>
  <c r="K9" i="1"/>
  <c r="M9" i="1" s="1"/>
  <c r="D93" i="9"/>
  <c r="G29" i="6"/>
  <c r="AC26" i="33"/>
  <c r="W26" i="33"/>
  <c r="AB34" i="36"/>
  <c r="U34" i="36"/>
  <c r="AB33" i="36"/>
  <c r="U33" i="36"/>
  <c r="AC12" i="39"/>
  <c r="W12" i="39"/>
  <c r="BL14" i="3"/>
  <c r="W28" i="37"/>
  <c r="S19" i="39"/>
  <c r="F12" i="33"/>
  <c r="H12" i="39"/>
  <c r="U12" i="39" s="1"/>
  <c r="AB12" i="39"/>
  <c r="F39" i="40"/>
  <c r="BA14" i="3"/>
  <c r="B12" i="1"/>
  <c r="E12" i="1" s="1"/>
  <c r="B10" i="1"/>
  <c r="E10" i="1" s="1"/>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S23" i="36"/>
  <c r="U13" i="36"/>
  <c r="U26" i="36"/>
  <c r="S33" i="36"/>
  <c r="AA26" i="36"/>
  <c r="AA34" i="36"/>
  <c r="AC26" i="36"/>
  <c r="AA22" i="36"/>
  <c r="W14" i="36"/>
  <c r="AB14" i="36"/>
  <c r="U22" i="36"/>
  <c r="S16" i="36"/>
  <c r="S24" i="36"/>
  <c r="AB20" i="36"/>
  <c r="U16" i="36"/>
  <c r="S14" i="36"/>
  <c r="S23" i="35"/>
  <c r="W24" i="35"/>
  <c r="U29" i="35"/>
  <c r="U28" i="35"/>
  <c r="AB27" i="35"/>
  <c r="U36" i="35"/>
  <c r="U32" i="35"/>
  <c r="AA33" i="35"/>
  <c r="AC30" i="35"/>
  <c r="S32" i="35"/>
  <c r="S28" i="35"/>
  <c r="AB16" i="35"/>
  <c r="U22" i="35"/>
  <c r="S20" i="35"/>
  <c r="AC20" i="35"/>
  <c r="S22" i="35"/>
  <c r="U14" i="35"/>
  <c r="AA11" i="35"/>
  <c r="AC9" i="35"/>
  <c r="W9" i="35"/>
  <c r="AC12"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H10" i="37"/>
  <c r="AB10" i="37" s="1"/>
  <c r="F63" i="37"/>
  <c r="F11" i="37"/>
  <c r="S11" i="37" s="1"/>
  <c r="AC42" i="34"/>
  <c r="AB41"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F85" i="21" s="1"/>
  <c r="G85" i="21" s="1"/>
  <c r="D120" i="9"/>
  <c r="D121" i="9" s="1"/>
  <c r="D7" i="52" s="1"/>
  <c r="F34" i="67"/>
  <c r="F62" i="67" s="1"/>
  <c r="M20" i="67"/>
  <c r="F34" i="15"/>
  <c r="F62" i="15" s="1"/>
  <c r="G13" i="3"/>
  <c r="BL17" i="3"/>
  <c r="AZ17" i="3"/>
  <c r="BL13" i="3"/>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W23" i="40"/>
  <c r="U32"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U32" i="36"/>
  <c r="W29" i="36"/>
  <c r="AC20" i="36"/>
  <c r="U25" i="36"/>
  <c r="AB28" i="36"/>
  <c r="W22" i="36"/>
  <c r="AB20" i="35"/>
  <c r="S24" i="35"/>
  <c r="U24" i="35"/>
  <c r="S35" i="35"/>
  <c r="W35" i="35"/>
  <c r="AA16" i="35"/>
  <c r="AA35" i="37"/>
  <c r="W36" i="37"/>
  <c r="S28" i="37"/>
  <c r="W32" i="37"/>
  <c r="U36" i="37"/>
  <c r="S40" i="37"/>
  <c r="U38" i="37"/>
  <c r="AB37" i="37"/>
  <c r="AC34" i="37"/>
  <c r="AB35" i="37"/>
  <c r="AA31" i="37"/>
  <c r="U19" i="37"/>
  <c r="AA29" i="37"/>
  <c r="U8" i="37"/>
  <c r="AA31" i="34"/>
  <c r="AA30" i="34"/>
  <c r="U30" i="34"/>
  <c r="AB30" i="34"/>
  <c r="AB14" i="34"/>
  <c r="AB28" i="33"/>
  <c r="AC37" i="33"/>
  <c r="U39" i="33"/>
  <c r="U38" i="33"/>
  <c r="S33" i="33"/>
  <c r="AB34" i="33"/>
  <c r="U44" i="33"/>
  <c r="AB44" i="33"/>
  <c r="AC14" i="33"/>
  <c r="W14" i="33"/>
  <c r="AC30" i="33"/>
  <c r="W30"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c r="AC19" i="21"/>
  <c r="W39" i="21"/>
  <c r="W30" i="21"/>
  <c r="H45" i="21"/>
  <c r="U45" i="21" s="1"/>
  <c r="F29" i="21"/>
  <c r="AA29" i="21" s="1"/>
  <c r="F13" i="21"/>
  <c r="AA13" i="21" s="1"/>
  <c r="AC38" i="21"/>
  <c r="H32" i="2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A19" i="33"/>
  <c r="H19" i="33"/>
  <c r="AB19" i="33" s="1"/>
  <c r="G81" i="33"/>
  <c r="H17" i="33"/>
  <c r="U17" i="33" s="1"/>
  <c r="F17" i="33"/>
  <c r="S17" i="33" s="1"/>
  <c r="W17" i="33"/>
  <c r="AC17" i="33"/>
  <c r="S37" i="21"/>
  <c r="AB15" i="21"/>
  <c r="J23" i="21"/>
  <c r="W23" i="21" s="1"/>
  <c r="H23" i="21"/>
  <c r="U23" i="21" s="1"/>
  <c r="S13" i="21"/>
  <c r="D6" i="52"/>
  <c r="AP7" i="1"/>
  <c r="AB45" i="21"/>
  <c r="AB9" i="21"/>
  <c r="U9" i="21"/>
  <c r="S32" i="21"/>
  <c r="W9" i="21"/>
  <c r="AC9" i="21"/>
  <c r="AB32" i="21"/>
  <c r="U32" i="21"/>
  <c r="U32" i="39"/>
  <c r="J63" i="37"/>
  <c r="K63" i="37" s="1"/>
  <c r="L63" i="37" s="1"/>
  <c r="M63" i="37" s="1"/>
  <c r="J11" i="37"/>
  <c r="AC11" i="37" s="1"/>
  <c r="J11" i="34"/>
  <c r="W11" i="34" s="1"/>
  <c r="W25" i="33"/>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F4" i="73"/>
  <c r="F6" i="73"/>
  <c r="B13" i="76"/>
  <c r="E12" i="76"/>
  <c r="E10" i="76"/>
  <c r="F5" i="73"/>
  <c r="B8" i="76"/>
  <c r="E7" i="76"/>
  <c r="M26" i="15"/>
  <c r="B9" i="76"/>
  <c r="F42" i="15"/>
  <c r="B11" i="76"/>
  <c r="F16" i="15"/>
  <c r="J15" i="15"/>
  <c r="M24" i="15"/>
  <c r="AO13" i="1"/>
  <c r="F6" i="15"/>
  <c r="E2" i="69"/>
  <c r="E2" i="68"/>
  <c r="E8" i="76"/>
  <c r="B7" i="76"/>
  <c r="B10" i="76"/>
  <c r="L47" i="15"/>
  <c r="F9" i="15"/>
  <c r="B12" i="76"/>
  <c r="E9" i="76"/>
  <c r="L48" i="15"/>
  <c r="E13" i="76"/>
  <c r="M28" i="15"/>
  <c r="M22" i="15"/>
  <c r="F3" i="73"/>
  <c r="F26" i="15"/>
  <c r="E11" i="76"/>
  <c r="F7" i="73"/>
  <c r="M23" i="15"/>
  <c r="AA17" i="33" l="1"/>
  <c r="W23" i="37"/>
  <c r="AZ326" i="3"/>
  <c r="AZ390" i="3"/>
  <c r="AZ351" i="3"/>
  <c r="AZ378" i="3"/>
  <c r="G521" i="3"/>
  <c r="AA14" i="33"/>
  <c r="J33" i="36"/>
  <c r="AC33" i="36" s="1"/>
  <c r="AZ536" i="3"/>
  <c r="AZ380" i="3"/>
  <c r="AB32" i="33"/>
  <c r="U32" i="33"/>
  <c r="F46" i="21"/>
  <c r="H46" i="21"/>
  <c r="AA34" i="40"/>
  <c r="S34" i="40"/>
  <c r="AC41" i="33"/>
  <c r="W41" i="33"/>
  <c r="AA31" i="35"/>
  <c r="S31" i="35"/>
  <c r="H35" i="39"/>
  <c r="J35" i="39"/>
  <c r="AC35" i="39" s="1"/>
  <c r="BA584" i="3"/>
  <c r="BL581" i="3"/>
  <c r="BA581" i="3"/>
  <c r="BL580" i="3"/>
  <c r="BA580" i="3"/>
  <c r="BA577" i="3"/>
  <c r="BL572" i="3"/>
  <c r="BA568" i="3"/>
  <c r="BL566" i="3"/>
  <c r="BA565" i="3"/>
  <c r="AZ565" i="3" s="1"/>
  <c r="BA564" i="3"/>
  <c r="BA561" i="3"/>
  <c r="BL556" i="3"/>
  <c r="BL529" i="3"/>
  <c r="AZ526" i="3"/>
  <c r="BL517" i="3"/>
  <c r="AZ514" i="3"/>
  <c r="AZ14" i="3"/>
  <c r="AZ362" i="3"/>
  <c r="AZ334" i="3"/>
  <c r="AZ318" i="3"/>
  <c r="AZ389" i="3"/>
  <c r="AZ336" i="3"/>
  <c r="AZ310" i="3"/>
  <c r="H14" i="21"/>
  <c r="F14" i="21"/>
  <c r="F44" i="21"/>
  <c r="J44" i="21"/>
  <c r="AB33" i="33"/>
  <c r="U33" i="33"/>
  <c r="H9" i="36"/>
  <c r="AB9" i="36" s="1"/>
  <c r="J9" i="36"/>
  <c r="J43" i="39"/>
  <c r="H43" i="39"/>
  <c r="AC8" i="40"/>
  <c r="W8" i="40"/>
  <c r="AB23" i="21"/>
  <c r="AC27" i="33"/>
  <c r="AZ377" i="3"/>
  <c r="AZ361" i="3"/>
  <c r="AZ572" i="3"/>
  <c r="S44" i="33"/>
  <c r="AA44" i="33"/>
  <c r="AA29" i="35"/>
  <c r="AA13" i="33"/>
  <c r="S13" i="33"/>
  <c r="F31" i="33"/>
  <c r="J31" i="33"/>
  <c r="J12" i="34"/>
  <c r="W12" i="34" s="1"/>
  <c r="H12" i="34"/>
  <c r="U12" i="34" s="1"/>
  <c r="F12" i="34"/>
  <c r="S12" i="34" s="1"/>
  <c r="H11" i="35"/>
  <c r="AB11" i="35" s="1"/>
  <c r="J11" i="35"/>
  <c r="H25" i="35"/>
  <c r="J25" i="35"/>
  <c r="F25" i="35"/>
  <c r="H25" i="37"/>
  <c r="J25" i="37"/>
  <c r="F25" i="37"/>
  <c r="U8" i="39"/>
  <c r="AB8" i="39"/>
  <c r="H31" i="39"/>
  <c r="F31" i="39"/>
  <c r="AZ376" i="3"/>
  <c r="AZ327" i="3"/>
  <c r="AZ309" i="3"/>
  <c r="F36" i="35"/>
  <c r="BL539" i="3"/>
  <c r="BL559" i="3"/>
  <c r="BL573" i="3"/>
  <c r="AZ573" i="3" s="1"/>
  <c r="F13" i="36"/>
  <c r="J15" i="34"/>
  <c r="W15" i="34" s="1"/>
  <c r="AB12" i="35"/>
  <c r="AC27" i="35"/>
  <c r="G585" i="3"/>
  <c r="J36" i="35"/>
  <c r="AC36" i="35" s="1"/>
  <c r="G577" i="3"/>
  <c r="U40" i="33"/>
  <c r="H39" i="37"/>
  <c r="H38" i="40"/>
  <c r="F38" i="40"/>
  <c r="D46" i="71"/>
  <c r="C47" i="71"/>
  <c r="D47" i="71" s="1"/>
  <c r="C18" i="9"/>
  <c r="D18" i="9" s="1"/>
  <c r="BL15" i="3"/>
  <c r="AZ15" i="3" s="1"/>
  <c r="G400" i="3"/>
  <c r="BA402" i="3"/>
  <c r="AZ402" i="3" s="1"/>
  <c r="G407" i="3"/>
  <c r="G408" i="3"/>
  <c r="BL408" i="3"/>
  <c r="BL412" i="3"/>
  <c r="BA413" i="3"/>
  <c r="G417" i="3"/>
  <c r="BL417" i="3"/>
  <c r="BL418" i="3"/>
  <c r="BL420" i="3"/>
  <c r="G422" i="3"/>
  <c r="G423" i="3"/>
  <c r="G426" i="3"/>
  <c r="G427" i="3"/>
  <c r="BL430" i="3"/>
  <c r="G432" i="3"/>
  <c r="BL440" i="3"/>
  <c r="G444" i="3"/>
  <c r="BA448" i="3"/>
  <c r="BL448" i="3"/>
  <c r="G450" i="3"/>
  <c r="G451" i="3"/>
  <c r="BA456" i="3"/>
  <c r="BA457" i="3"/>
  <c r="G460" i="3"/>
  <c r="BA460" i="3"/>
  <c r="BA461" i="3"/>
  <c r="G464" i="3"/>
  <c r="BL464" i="3"/>
  <c r="BL469" i="3"/>
  <c r="G472" i="3"/>
  <c r="G473" i="3"/>
  <c r="BL479" i="3"/>
  <c r="G480" i="3"/>
  <c r="BA487" i="3"/>
  <c r="AZ487" i="3" s="1"/>
  <c r="BA489" i="3"/>
  <c r="BL489" i="3"/>
  <c r="BL491" i="3"/>
  <c r="BL492" i="3"/>
  <c r="G307" i="3"/>
  <c r="G311" i="3"/>
  <c r="G315" i="3"/>
  <c r="G323" i="3"/>
  <c r="G339" i="3"/>
  <c r="G343" i="3"/>
  <c r="G347" i="3"/>
  <c r="G351" i="3"/>
  <c r="BL359" i="3"/>
  <c r="AZ359" i="3" s="1"/>
  <c r="G364" i="3"/>
  <c r="BA367" i="3"/>
  <c r="AZ367" i="3" s="1"/>
  <c r="BA370" i="3"/>
  <c r="AZ370" i="3" s="1"/>
  <c r="BL385" i="3"/>
  <c r="BA392" i="3"/>
  <c r="AZ392" i="3" s="1"/>
  <c r="BA216" i="3"/>
  <c r="AZ216" i="3" s="1"/>
  <c r="BA231" i="3"/>
  <c r="BL231" i="3"/>
  <c r="G233" i="3"/>
  <c r="G241" i="3"/>
  <c r="BA248" i="3"/>
  <c r="G251" i="3"/>
  <c r="G302" i="3"/>
  <c r="BA302" i="3"/>
  <c r="G128" i="3"/>
  <c r="G561" i="3"/>
  <c r="G552" i="3"/>
  <c r="G545" i="3"/>
  <c r="G537" i="3"/>
  <c r="G529" i="3"/>
  <c r="G515" i="3"/>
  <c r="G14" i="3"/>
  <c r="BL399" i="3"/>
  <c r="BA400" i="3"/>
  <c r="AZ400" i="3" s="1"/>
  <c r="BA406" i="3"/>
  <c r="AZ406" i="3" s="1"/>
  <c r="BA407" i="3"/>
  <c r="BL409" i="3"/>
  <c r="G411" i="3"/>
  <c r="BL411" i="3"/>
  <c r="BL416" i="3"/>
  <c r="G420" i="3"/>
  <c r="BA437" i="3"/>
  <c r="AZ437" i="3" s="1"/>
  <c r="BL437" i="3"/>
  <c r="G439" i="3"/>
  <c r="BL443" i="3"/>
  <c r="G448" i="3"/>
  <c r="BL455" i="3"/>
  <c r="BA459" i="3"/>
  <c r="BA466" i="3"/>
  <c r="BL466" i="3"/>
  <c r="G468" i="3"/>
  <c r="BA476" i="3"/>
  <c r="AZ476" i="3" s="1"/>
  <c r="BL476" i="3"/>
  <c r="BL477" i="3"/>
  <c r="BL478" i="3"/>
  <c r="G479" i="3"/>
  <c r="G484" i="3"/>
  <c r="BA486" i="3"/>
  <c r="G489" i="3"/>
  <c r="G491" i="3"/>
  <c r="BA319" i="3"/>
  <c r="AZ319" i="3" s="1"/>
  <c r="BL208" i="3"/>
  <c r="G210" i="3"/>
  <c r="G216" i="3"/>
  <c r="G223" i="3"/>
  <c r="BA228" i="3"/>
  <c r="BL230" i="3"/>
  <c r="G231" i="3"/>
  <c r="BL237" i="3"/>
  <c r="BL238" i="3"/>
  <c r="G239" i="3"/>
  <c r="G246" i="3"/>
  <c r="BA247" i="3"/>
  <c r="BL247" i="3"/>
  <c r="BA251" i="3"/>
  <c r="BL251" i="3"/>
  <c r="BA260" i="3"/>
  <c r="BL262" i="3"/>
  <c r="G263" i="3"/>
  <c r="BL264" i="3"/>
  <c r="BA268" i="3"/>
  <c r="G292" i="3"/>
  <c r="BA293" i="3"/>
  <c r="C32" i="71"/>
  <c r="D31" i="71"/>
  <c r="G581" i="3"/>
  <c r="G580" i="3"/>
  <c r="G573" i="3"/>
  <c r="G572" i="3"/>
  <c r="BD5" i="3"/>
  <c r="D3" i="91"/>
  <c r="C34" i="91"/>
  <c r="C34" i="87"/>
  <c r="D3" i="87"/>
  <c r="C34" i="34"/>
  <c r="G398" i="3"/>
  <c r="G404" i="3"/>
  <c r="BL413" i="3"/>
  <c r="G415" i="3"/>
  <c r="BL419" i="3"/>
  <c r="AZ419" i="3" s="1"/>
  <c r="BA420" i="3"/>
  <c r="G424" i="3"/>
  <c r="BA426" i="3"/>
  <c r="BA427" i="3"/>
  <c r="AZ427" i="3" s="1"/>
  <c r="BA433" i="3"/>
  <c r="AZ433" i="3" s="1"/>
  <c r="BA435" i="3"/>
  <c r="BA443" i="3"/>
  <c r="BL447" i="3"/>
  <c r="BA452" i="3"/>
  <c r="BA454" i="3"/>
  <c r="BL458" i="3"/>
  <c r="AZ458" i="3" s="1"/>
  <c r="G461" i="3"/>
  <c r="BL462" i="3"/>
  <c r="G466" i="3"/>
  <c r="BA473" i="3"/>
  <c r="BL484" i="3"/>
  <c r="BL488" i="3"/>
  <c r="BL316" i="3"/>
  <c r="G329" i="3"/>
  <c r="BL340" i="3"/>
  <c r="AZ340" i="3" s="1"/>
  <c r="BL350" i="3"/>
  <c r="BL212" i="3"/>
  <c r="G214" i="3"/>
  <c r="BA220" i="3"/>
  <c r="BL220" i="3"/>
  <c r="BL221" i="3"/>
  <c r="G222" i="3"/>
  <c r="BA227" i="3"/>
  <c r="AZ227" i="3" s="1"/>
  <c r="BA235" i="3"/>
  <c r="BL235" i="3"/>
  <c r="BL236" i="3"/>
  <c r="G237" i="3"/>
  <c r="BL242" i="3"/>
  <c r="BL243" i="3"/>
  <c r="G244" i="3"/>
  <c r="G249" i="3"/>
  <c r="BA250" i="3"/>
  <c r="G253" i="3"/>
  <c r="BL254" i="3"/>
  <c r="G258" i="3"/>
  <c r="BA275" i="3"/>
  <c r="BL278" i="3"/>
  <c r="BA283" i="3"/>
  <c r="BA288" i="3"/>
  <c r="BL290" i="3"/>
  <c r="G295" i="3"/>
  <c r="C51" i="71"/>
  <c r="D50" i="71"/>
  <c r="BL252" i="3"/>
  <c r="G255" i="3"/>
  <c r="G256" i="3"/>
  <c r="BA257" i="3"/>
  <c r="BL259" i="3"/>
  <c r="G260" i="3"/>
  <c r="G261" i="3"/>
  <c r="BL266" i="3"/>
  <c r="G276" i="3"/>
  <c r="BA277" i="3"/>
  <c r="AZ277" i="3" s="1"/>
  <c r="BL277" i="3"/>
  <c r="BL280" i="3"/>
  <c r="BA286" i="3"/>
  <c r="BL293" i="3"/>
  <c r="BL294" i="3"/>
  <c r="BA297" i="3"/>
  <c r="AZ297" i="3" s="1"/>
  <c r="BL297" i="3"/>
  <c r="BA301" i="3"/>
  <c r="BL127" i="3"/>
  <c r="AZ127" i="3" s="1"/>
  <c r="BA130" i="3"/>
  <c r="AZ130" i="3" s="1"/>
  <c r="BL130" i="3"/>
  <c r="G144" i="3"/>
  <c r="BL146" i="3"/>
  <c r="G147" i="3"/>
  <c r="BL158" i="3"/>
  <c r="G163" i="3"/>
  <c r="G164" i="3"/>
  <c r="BA164" i="3"/>
  <c r="AZ164" i="3" s="1"/>
  <c r="BA166" i="3"/>
  <c r="AZ166" i="3" s="1"/>
  <c r="BL173" i="3"/>
  <c r="G174" i="3"/>
  <c r="BL177" i="3"/>
  <c r="G179" i="3"/>
  <c r="G188" i="3"/>
  <c r="BA189" i="3"/>
  <c r="BL205" i="3"/>
  <c r="BA207" i="3"/>
  <c r="G26" i="3"/>
  <c r="G29" i="3"/>
  <c r="BL29" i="3"/>
  <c r="BL35" i="3"/>
  <c r="BA37" i="3"/>
  <c r="G39" i="3"/>
  <c r="BL39" i="3"/>
  <c r="G46" i="3"/>
  <c r="G47" i="3"/>
  <c r="BL49" i="3"/>
  <c r="G56" i="3"/>
  <c r="BA56" i="3"/>
  <c r="BA57" i="3"/>
  <c r="BL58" i="3"/>
  <c r="G60" i="3"/>
  <c r="BA65" i="3"/>
  <c r="AZ65" i="3" s="1"/>
  <c r="G71" i="3"/>
  <c r="G72" i="3"/>
  <c r="BA77" i="3"/>
  <c r="G80" i="3"/>
  <c r="G81" i="3"/>
  <c r="G84" i="3"/>
  <c r="BA95" i="3"/>
  <c r="BL97" i="3"/>
  <c r="G99" i="3"/>
  <c r="C7" i="91"/>
  <c r="C59" i="91" s="1"/>
  <c r="C7" i="87"/>
  <c r="C59" i="87" s="1"/>
  <c r="W18" i="36"/>
  <c r="AA18" i="35"/>
  <c r="AB28" i="71"/>
  <c r="X35" i="71"/>
  <c r="BA265" i="3"/>
  <c r="BL267" i="3"/>
  <c r="G268" i="3"/>
  <c r="BL272" i="3"/>
  <c r="BL273" i="3"/>
  <c r="G274" i="3"/>
  <c r="G279" i="3"/>
  <c r="G283" i="3"/>
  <c r="BA284" i="3"/>
  <c r="G287" i="3"/>
  <c r="BL291" i="3"/>
  <c r="AZ291" i="3" s="1"/>
  <c r="BL298" i="3"/>
  <c r="G299" i="3"/>
  <c r="BL300" i="3"/>
  <c r="G127" i="3"/>
  <c r="BA134" i="3"/>
  <c r="G146" i="3"/>
  <c r="G152" i="3"/>
  <c r="G167" i="3"/>
  <c r="BL171" i="3"/>
  <c r="AZ171" i="3" s="1"/>
  <c r="G182" i="3"/>
  <c r="BA188" i="3"/>
  <c r="AZ188" i="3" s="1"/>
  <c r="G191" i="3"/>
  <c r="BL195" i="3"/>
  <c r="AZ195" i="3" s="1"/>
  <c r="G196" i="3"/>
  <c r="BA197" i="3"/>
  <c r="BA201" i="3"/>
  <c r="G19" i="3"/>
  <c r="BL24" i="3"/>
  <c r="BL34" i="3"/>
  <c r="BA47" i="3"/>
  <c r="BA50" i="3"/>
  <c r="BA55" i="3"/>
  <c r="G63" i="3"/>
  <c r="BL67" i="3"/>
  <c r="G69" i="3"/>
  <c r="BL74" i="3"/>
  <c r="G75" i="3"/>
  <c r="BL75" i="3"/>
  <c r="BA78" i="3"/>
  <c r="G79" i="3"/>
  <c r="BA88" i="3"/>
  <c r="BA92" i="3"/>
  <c r="G96" i="3"/>
  <c r="BA105" i="3"/>
  <c r="BL105" i="3"/>
  <c r="G107" i="3"/>
  <c r="BL107" i="3"/>
  <c r="BA110" i="3"/>
  <c r="AZ110" i="3" s="1"/>
  <c r="C40" i="69"/>
  <c r="AC21" i="37"/>
  <c r="D43" i="71"/>
  <c r="D87" i="71"/>
  <c r="U68" i="71"/>
  <c r="X25" i="71"/>
  <c r="F35" i="71"/>
  <c r="F36" i="71" s="1"/>
  <c r="V36" i="71" s="1"/>
  <c r="X36" i="71"/>
  <c r="Y30" i="71"/>
  <c r="Z30" i="71" s="1"/>
  <c r="BA120" i="3"/>
  <c r="AZ120" i="3" s="1"/>
  <c r="BL122" i="3"/>
  <c r="BA132" i="3"/>
  <c r="AZ132" i="3" s="1"/>
  <c r="BL133" i="3"/>
  <c r="BA162" i="3"/>
  <c r="BL163" i="3"/>
  <c r="AZ163" i="3" s="1"/>
  <c r="BL175" i="3"/>
  <c r="AZ175" i="3" s="1"/>
  <c r="BA176" i="3"/>
  <c r="AZ176" i="3" s="1"/>
  <c r="BL183" i="3"/>
  <c r="AZ183" i="3" s="1"/>
  <c r="BA186" i="3"/>
  <c r="AZ186" i="3" s="1"/>
  <c r="G190" i="3"/>
  <c r="BA190" i="3"/>
  <c r="BL201" i="3"/>
  <c r="BL203" i="3"/>
  <c r="AZ203" i="3" s="1"/>
  <c r="BA204" i="3"/>
  <c r="AZ204" i="3" s="1"/>
  <c r="G18" i="3"/>
  <c r="BA18" i="3"/>
  <c r="BL21" i="3"/>
  <c r="G23" i="3"/>
  <c r="BL50" i="3"/>
  <c r="BL51" i="3"/>
  <c r="BL64" i="3"/>
  <c r="BA67" i="3"/>
  <c r="BL73" i="3"/>
  <c r="BA74" i="3"/>
  <c r="AZ74" i="3" s="1"/>
  <c r="BA90" i="3"/>
  <c r="BL101" i="3"/>
  <c r="BL102" i="3"/>
  <c r="G111" i="3"/>
  <c r="BA111" i="3"/>
  <c r="F3" i="35"/>
  <c r="G44" i="43"/>
  <c r="F16" i="4"/>
  <c r="A18" i="51" s="1"/>
  <c r="B13" i="72" s="1"/>
  <c r="Y27" i="71"/>
  <c r="Z27" i="71" s="1"/>
  <c r="C25" i="39"/>
  <c r="AC15" i="34"/>
  <c r="J19" i="34"/>
  <c r="AC19" i="34" s="1"/>
  <c r="F43" i="34"/>
  <c r="AA43" i="34" s="1"/>
  <c r="H43" i="34"/>
  <c r="AB43" i="34" s="1"/>
  <c r="AB40" i="34"/>
  <c r="U39" i="34"/>
  <c r="W43" i="34"/>
  <c r="W41" i="34"/>
  <c r="U38" i="34"/>
  <c r="W46" i="34"/>
  <c r="S46" i="34"/>
  <c r="W25" i="34"/>
  <c r="U28" i="34"/>
  <c r="S43" i="34"/>
  <c r="U32" i="34"/>
  <c r="AB32" i="34"/>
  <c r="F78" i="34"/>
  <c r="G78" i="34" s="1"/>
  <c r="F15" i="34"/>
  <c r="AA15" i="34" s="1"/>
  <c r="W14" i="34"/>
  <c r="AC14" i="34"/>
  <c r="F82" i="34"/>
  <c r="G82" i="34" s="1"/>
  <c r="F19" i="34"/>
  <c r="S19" i="34" s="1"/>
  <c r="S36" i="34"/>
  <c r="AB8" i="34"/>
  <c r="J32" i="34"/>
  <c r="J37" i="34"/>
  <c r="AC37" i="34" s="1"/>
  <c r="H37" i="34"/>
  <c r="U37" i="34" s="1"/>
  <c r="H17" i="34"/>
  <c r="U17" i="34" s="1"/>
  <c r="W29" i="34"/>
  <c r="U25" i="34"/>
  <c r="F32" i="34"/>
  <c r="F14" i="34"/>
  <c r="S42" i="34"/>
  <c r="J17" i="34"/>
  <c r="W17" i="34" s="1"/>
  <c r="AC39" i="34"/>
  <c r="F17" i="34"/>
  <c r="AA17" i="34" s="1"/>
  <c r="F37" i="34"/>
  <c r="AC45" i="34"/>
  <c r="F45" i="34"/>
  <c r="S45" i="34" s="1"/>
  <c r="U46" i="34"/>
  <c r="AA38" i="34"/>
  <c r="AC40" i="34"/>
  <c r="AA40" i="34"/>
  <c r="AC44" i="34"/>
  <c r="S44" i="34"/>
  <c r="AC35" i="34"/>
  <c r="S35" i="34"/>
  <c r="AA33" i="34"/>
  <c r="U33" i="34"/>
  <c r="W33" i="34"/>
  <c r="W36" i="34"/>
  <c r="AB36" i="34"/>
  <c r="AB35" i="34"/>
  <c r="AC23" i="34"/>
  <c r="S23" i="34"/>
  <c r="AB23" i="34"/>
  <c r="U21" i="34"/>
  <c r="W19" i="34"/>
  <c r="U19" i="34"/>
  <c r="U15" i="34"/>
  <c r="AB12" i="34"/>
  <c r="AC12" i="34"/>
  <c r="AB45" i="34"/>
  <c r="U9" i="34"/>
  <c r="W9" i="34"/>
  <c r="AA8" i="34"/>
  <c r="W8" i="34"/>
  <c r="K6" i="1"/>
  <c r="G1" i="67"/>
  <c r="F54" i="9"/>
  <c r="F32" i="15"/>
  <c r="F60" i="15" s="1"/>
  <c r="F52" i="9"/>
  <c r="D68" i="9"/>
  <c r="F30" i="69"/>
  <c r="F48" i="69" s="1"/>
  <c r="F31" i="12"/>
  <c r="F32" i="67"/>
  <c r="F60" i="67" s="1"/>
  <c r="F28" i="15"/>
  <c r="F28" i="67"/>
  <c r="M18" i="15"/>
  <c r="M18" i="67"/>
  <c r="F30" i="11"/>
  <c r="C48" i="11" s="1"/>
  <c r="BA13" i="3"/>
  <c r="F29" i="6"/>
  <c r="J56" i="9"/>
  <c r="J57" i="9" s="1"/>
  <c r="J59" i="9" s="1"/>
  <c r="J61" i="9" s="1"/>
  <c r="A15" i="62"/>
  <c r="B61" i="72" s="1"/>
  <c r="J1" i="73"/>
  <c r="AC23" i="21"/>
  <c r="U19" i="33"/>
  <c r="C21" i="71"/>
  <c r="D21" i="71" s="1"/>
  <c r="AC32" i="39"/>
  <c r="AA32" i="37"/>
  <c r="AZ357" i="3"/>
  <c r="AZ322" i="3"/>
  <c r="AZ313" i="3"/>
  <c r="AZ394" i="3"/>
  <c r="W12" i="37"/>
  <c r="AC12" i="37"/>
  <c r="AZ537" i="3"/>
  <c r="AZ564" i="3"/>
  <c r="AZ580" i="3"/>
  <c r="AB14" i="40"/>
  <c r="U14" i="40"/>
  <c r="W31" i="34"/>
  <c r="AC31" i="34"/>
  <c r="AA45" i="33"/>
  <c r="S45" i="33"/>
  <c r="AC44" i="21"/>
  <c r="W44" i="21"/>
  <c r="W40" i="33"/>
  <c r="BA586" i="3"/>
  <c r="H30" i="21"/>
  <c r="F30" i="21"/>
  <c r="AA38" i="33"/>
  <c r="S38" i="33"/>
  <c r="U34" i="35"/>
  <c r="AB34" i="35"/>
  <c r="F12" i="40"/>
  <c r="J12" i="40"/>
  <c r="H12" i="40"/>
  <c r="J31" i="40"/>
  <c r="H31" i="40"/>
  <c r="J39" i="40"/>
  <c r="H39" i="40"/>
  <c r="BA563" i="3"/>
  <c r="BA562" i="3"/>
  <c r="BA556" i="3"/>
  <c r="AZ556" i="3" s="1"/>
  <c r="BA554" i="3"/>
  <c r="AZ554" i="3" s="1"/>
  <c r="BA553" i="3"/>
  <c r="AZ553" i="3" s="1"/>
  <c r="BA552" i="3"/>
  <c r="S23" i="21"/>
  <c r="W15" i="21"/>
  <c r="AZ511" i="3"/>
  <c r="AB46" i="33"/>
  <c r="U46" i="33"/>
  <c r="AC11" i="40"/>
  <c r="W11" i="40"/>
  <c r="H31" i="21"/>
  <c r="J31" i="21"/>
  <c r="H12" i="33"/>
  <c r="U12" i="33" s="1"/>
  <c r="J12" i="33"/>
  <c r="H30" i="33"/>
  <c r="F30" i="33"/>
  <c r="J46" i="33"/>
  <c r="F46" i="33"/>
  <c r="H29" i="34"/>
  <c r="F29" i="34"/>
  <c r="J13" i="35"/>
  <c r="H13" i="35"/>
  <c r="U12" i="36"/>
  <c r="AB12" i="36"/>
  <c r="J12" i="36"/>
  <c r="F12" i="36"/>
  <c r="J25" i="36"/>
  <c r="F25" i="36"/>
  <c r="F32" i="36"/>
  <c r="J32" i="36"/>
  <c r="W32" i="36" s="1"/>
  <c r="H27" i="37"/>
  <c r="F27" i="37"/>
  <c r="W38" i="34"/>
  <c r="AC38" i="34"/>
  <c r="BL584" i="3"/>
  <c r="AZ584" i="3" s="1"/>
  <c r="BA583" i="3"/>
  <c r="AZ583" i="3" s="1"/>
  <c r="BA582" i="3"/>
  <c r="AZ582" i="3" s="1"/>
  <c r="BL578" i="3"/>
  <c r="BL576" i="3"/>
  <c r="AZ576" i="3" s="1"/>
  <c r="BA575" i="3"/>
  <c r="BA574" i="3"/>
  <c r="AZ574" i="3" s="1"/>
  <c r="BL570" i="3"/>
  <c r="BL568" i="3"/>
  <c r="AZ568" i="3" s="1"/>
  <c r="BL567" i="3"/>
  <c r="AA34" i="33"/>
  <c r="AZ387" i="3"/>
  <c r="AZ338" i="3"/>
  <c r="AZ371" i="3"/>
  <c r="AZ305" i="3"/>
  <c r="AZ360" i="3"/>
  <c r="AZ529" i="3"/>
  <c r="AC47" i="34"/>
  <c r="W47" i="34"/>
  <c r="S35" i="39"/>
  <c r="AA35" i="39"/>
  <c r="BA587" i="3"/>
  <c r="J14" i="39"/>
  <c r="AC14" i="39" s="1"/>
  <c r="H14" i="39"/>
  <c r="J33" i="40"/>
  <c r="H33" i="40"/>
  <c r="F33" i="40"/>
  <c r="BL563" i="3"/>
  <c r="BL562" i="3"/>
  <c r="BL561" i="3"/>
  <c r="AZ561" i="3" s="1"/>
  <c r="BL560" i="3"/>
  <c r="BA559" i="3"/>
  <c r="AZ559" i="3" s="1"/>
  <c r="BA558" i="3"/>
  <c r="AZ558" i="3" s="1"/>
  <c r="BA557" i="3"/>
  <c r="BL555" i="3"/>
  <c r="BL552" i="3"/>
  <c r="BL551" i="3"/>
  <c r="BA548" i="3"/>
  <c r="BA547" i="3"/>
  <c r="BL546" i="3"/>
  <c r="AZ546" i="3" s="1"/>
  <c r="BL545" i="3"/>
  <c r="BA544" i="3"/>
  <c r="AZ544" i="3" s="1"/>
  <c r="BA543" i="3"/>
  <c r="AZ543" i="3" s="1"/>
  <c r="BA542" i="3"/>
  <c r="AZ542" i="3" s="1"/>
  <c r="BL541" i="3"/>
  <c r="AZ541" i="3" s="1"/>
  <c r="BL540" i="3"/>
  <c r="BA540" i="3"/>
  <c r="BA539" i="3"/>
  <c r="AZ539" i="3" s="1"/>
  <c r="BL538" i="3"/>
  <c r="AZ538" i="3" s="1"/>
  <c r="BA535" i="3"/>
  <c r="BL533" i="3"/>
  <c r="AZ533" i="3" s="1"/>
  <c r="BA531" i="3"/>
  <c r="AZ531" i="3" s="1"/>
  <c r="BL530" i="3"/>
  <c r="AZ530" i="3" s="1"/>
  <c r="BA528" i="3"/>
  <c r="AZ528" i="3" s="1"/>
  <c r="BA527" i="3"/>
  <c r="BA524" i="3"/>
  <c r="AZ524" i="3" s="1"/>
  <c r="BA523" i="3"/>
  <c r="BL522" i="3"/>
  <c r="AZ522" i="3" s="1"/>
  <c r="BL520" i="3"/>
  <c r="BA520" i="3"/>
  <c r="BL518" i="3"/>
  <c r="AZ518" i="3" s="1"/>
  <c r="BA517" i="3"/>
  <c r="BA516" i="3"/>
  <c r="AZ516" i="3" s="1"/>
  <c r="BL513" i="3"/>
  <c r="BA513" i="3"/>
  <c r="AZ513" i="3" s="1"/>
  <c r="BL512" i="3"/>
  <c r="BA512" i="3"/>
  <c r="BL510" i="3"/>
  <c r="BA510" i="3"/>
  <c r="AZ510" i="3" s="1"/>
  <c r="BA509" i="3"/>
  <c r="AZ509" i="3" s="1"/>
  <c r="BL508" i="3"/>
  <c r="BA508" i="3"/>
  <c r="BA507" i="3"/>
  <c r="BA504" i="3"/>
  <c r="AZ504" i="3" s="1"/>
  <c r="BA503" i="3"/>
  <c r="BL502" i="3"/>
  <c r="BA502" i="3"/>
  <c r="BL500" i="3"/>
  <c r="AZ500" i="3" s="1"/>
  <c r="BA499" i="3"/>
  <c r="AZ499" i="3" s="1"/>
  <c r="BA498" i="3"/>
  <c r="AZ498" i="3" s="1"/>
  <c r="BA496" i="3"/>
  <c r="AZ496" i="3" s="1"/>
  <c r="BA495" i="3"/>
  <c r="BL494" i="3"/>
  <c r="AZ494" i="3" s="1"/>
  <c r="G493" i="3"/>
  <c r="H5" i="3"/>
  <c r="AB36" i="33"/>
  <c r="AZ391" i="3"/>
  <c r="AZ364" i="3"/>
  <c r="AZ329" i="3"/>
  <c r="AZ304" i="3"/>
  <c r="AZ306" i="3"/>
  <c r="AZ560" i="3"/>
  <c r="W11" i="35"/>
  <c r="AC11" i="35"/>
  <c r="W28" i="21"/>
  <c r="AC28" i="21"/>
  <c r="J14" i="21"/>
  <c r="AC44" i="39"/>
  <c r="W44" i="39"/>
  <c r="AC33" i="33"/>
  <c r="W33" i="33"/>
  <c r="AB35" i="33"/>
  <c r="U35" i="33"/>
  <c r="J27" i="34"/>
  <c r="H27" i="34"/>
  <c r="F13" i="34"/>
  <c r="J13" i="34"/>
  <c r="F47" i="34"/>
  <c r="H47" i="34"/>
  <c r="AC22" i="35"/>
  <c r="W22" i="35"/>
  <c r="H23" i="36"/>
  <c r="J23" i="36"/>
  <c r="J13" i="37"/>
  <c r="F13" i="37"/>
  <c r="H44" i="39"/>
  <c r="F44" i="39"/>
  <c r="BA579" i="3"/>
  <c r="AZ579" i="3" s="1"/>
  <c r="BA578" i="3"/>
  <c r="BL575" i="3"/>
  <c r="BA571" i="3"/>
  <c r="AZ571" i="3" s="1"/>
  <c r="BA570" i="3"/>
  <c r="AZ570" i="3" s="1"/>
  <c r="BA567" i="3"/>
  <c r="BA566" i="3"/>
  <c r="AZ566" i="3" s="1"/>
  <c r="BL503" i="3"/>
  <c r="BL515" i="3"/>
  <c r="AZ515" i="3" s="1"/>
  <c r="BL523" i="3"/>
  <c r="AZ523" i="3" s="1"/>
  <c r="BL527" i="3"/>
  <c r="BL547" i="3"/>
  <c r="AZ547" i="3" s="1"/>
  <c r="BL569" i="3"/>
  <c r="AZ569" i="3" s="1"/>
  <c r="BL557" i="3"/>
  <c r="BL585" i="3"/>
  <c r="AZ585" i="3" s="1"/>
  <c r="J24" i="36"/>
  <c r="H24" i="36"/>
  <c r="W31" i="35"/>
  <c r="AC31" i="35"/>
  <c r="BL550" i="3"/>
  <c r="AZ443" i="3"/>
  <c r="BL535" i="3"/>
  <c r="AZ535" i="3" s="1"/>
  <c r="BL577" i="3"/>
  <c r="AZ577" i="3" s="1"/>
  <c r="BL587" i="3"/>
  <c r="BL586" i="3"/>
  <c r="B97" i="43"/>
  <c r="B75" i="43"/>
  <c r="J38" i="40"/>
  <c r="G582" i="3"/>
  <c r="G574" i="3"/>
  <c r="BA551" i="3"/>
  <c r="AZ551" i="3" s="1"/>
  <c r="BA550" i="3"/>
  <c r="BL548" i="3"/>
  <c r="AZ462" i="3"/>
  <c r="G558"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G486" i="3"/>
  <c r="G488" i="3"/>
  <c r="BL317" i="3"/>
  <c r="G318" i="3"/>
  <c r="BA349" i="3"/>
  <c r="AZ349" i="3" s="1"/>
  <c r="BA353" i="3"/>
  <c r="AZ353" i="3" s="1"/>
  <c r="BL353" i="3"/>
  <c r="BA358" i="3"/>
  <c r="AZ358" i="3" s="1"/>
  <c r="G362" i="3"/>
  <c r="BL365" i="3"/>
  <c r="AZ365" i="3" s="1"/>
  <c r="G366" i="3"/>
  <c r="BA368" i="3"/>
  <c r="BA385" i="3"/>
  <c r="BA397" i="3"/>
  <c r="AZ397" i="3" s="1"/>
  <c r="BL397" i="3"/>
  <c r="BL214" i="3"/>
  <c r="AZ214" i="3" s="1"/>
  <c r="G218" i="3"/>
  <c r="G229" i="3"/>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AZ435" i="3"/>
  <c r="AZ451" i="3"/>
  <c r="AZ469" i="3"/>
  <c r="AZ483" i="3"/>
  <c r="BL346" i="3"/>
  <c r="AZ346" i="3" s="1"/>
  <c r="G349" i="3"/>
  <c r="G374" i="3"/>
  <c r="BA386" i="3"/>
  <c r="AZ386" i="3" s="1"/>
  <c r="BL211" i="3"/>
  <c r="BA218" i="3"/>
  <c r="BL218" i="3"/>
  <c r="BL222" i="3"/>
  <c r="BL223" i="3"/>
  <c r="G224" i="3"/>
  <c r="BA229" i="3"/>
  <c r="BL229" i="3"/>
  <c r="BL16" i="3"/>
  <c r="AZ16" i="3" s="1"/>
  <c r="BA401" i="3"/>
  <c r="BA403" i="3"/>
  <c r="BA404" i="3"/>
  <c r="BA405" i="3"/>
  <c r="AZ405" i="3" s="1"/>
  <c r="G409" i="3"/>
  <c r="BL410" i="3"/>
  <c r="G412" i="3"/>
  <c r="G418" i="3"/>
  <c r="G419" i="3"/>
  <c r="BA422" i="3"/>
  <c r="AZ422" i="3" s="1"/>
  <c r="G429"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BL332" i="3"/>
  <c r="BA225" i="3"/>
  <c r="BL424" i="3"/>
  <c r="BL428" i="3"/>
  <c r="BL429" i="3"/>
  <c r="BL432" i="3"/>
  <c r="BL435" i="3"/>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210" i="3"/>
  <c r="BL210" i="3"/>
  <c r="BA212" i="3"/>
  <c r="AZ301"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BA129" i="3"/>
  <c r="G135" i="3"/>
  <c r="BA137" i="3"/>
  <c r="BL139" i="3"/>
  <c r="AZ139" i="3" s="1"/>
  <c r="BL141" i="3"/>
  <c r="BL143" i="3"/>
  <c r="AZ143" i="3" s="1"/>
  <c r="BA156" i="3"/>
  <c r="AZ156" i="3" s="1"/>
  <c r="BA160" i="3"/>
  <c r="AZ160" i="3" s="1"/>
  <c r="G162" i="3"/>
  <c r="BL162" i="3"/>
  <c r="AZ162" i="3" s="1"/>
  <c r="BL165" i="3"/>
  <c r="G166" i="3"/>
  <c r="BL170" i="3"/>
  <c r="G171" i="3"/>
  <c r="BL181" i="3"/>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L292" i="3"/>
  <c r="BA294" i="3"/>
  <c r="AZ294" i="3" s="1"/>
  <c r="BL295" i="3"/>
  <c r="BA298" i="3"/>
  <c r="AZ298" i="3" s="1"/>
  <c r="BL301" i="3"/>
  <c r="BL302" i="3"/>
  <c r="BA114" i="3"/>
  <c r="BL123" i="3"/>
  <c r="AZ123" i="3" s="1"/>
  <c r="BA128" i="3"/>
  <c r="AZ128" i="3" s="1"/>
  <c r="BA133" i="3"/>
  <c r="AZ133" i="3" s="1"/>
  <c r="BA145" i="3"/>
  <c r="BA153" i="3"/>
  <c r="BL155" i="3"/>
  <c r="AZ155" i="3" s="1"/>
  <c r="BL157" i="3"/>
  <c r="AZ157" i="3" s="1"/>
  <c r="BL159" i="3"/>
  <c r="AZ159" i="3" s="1"/>
  <c r="BA177" i="3"/>
  <c r="AZ177" i="3" s="1"/>
  <c r="BA178"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G138" i="3"/>
  <c r="BA144" i="3"/>
  <c r="AZ144" i="3" s="1"/>
  <c r="BL149" i="3"/>
  <c r="AZ149" i="3" s="1"/>
  <c r="BL150" i="3"/>
  <c r="G151" i="3"/>
  <c r="BA152" i="3"/>
  <c r="AZ152" i="3" s="1"/>
  <c r="BA154" i="3"/>
  <c r="AZ154" i="3" s="1"/>
  <c r="BA239" i="3"/>
  <c r="BL239" i="3"/>
  <c r="BA241" i="3"/>
  <c r="BL241" i="3"/>
  <c r="BA244" i="3"/>
  <c r="BL244" i="3"/>
  <c r="BA246" i="3"/>
  <c r="BA252" i="3"/>
  <c r="AZ252" i="3" s="1"/>
  <c r="BA254" i="3"/>
  <c r="AZ254" i="3" s="1"/>
  <c r="BA256" i="3"/>
  <c r="BL256" i="3"/>
  <c r="AZ270" i="3"/>
  <c r="AZ302"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BL25" i="3"/>
  <c r="BL27" i="3"/>
  <c r="BA28" i="3"/>
  <c r="BA31" i="3"/>
  <c r="BA32" i="3"/>
  <c r="BA38" i="3"/>
  <c r="BA41" i="3"/>
  <c r="BA42" i="3"/>
  <c r="BL48" i="3"/>
  <c r="BL54" i="3"/>
  <c r="AZ54" i="3" s="1"/>
  <c r="BL55" i="3"/>
  <c r="AZ55" i="3" s="1"/>
  <c r="BA59" i="3"/>
  <c r="BA64" i="3"/>
  <c r="AZ64" i="3" s="1"/>
  <c r="BA98" i="3"/>
  <c r="BA100" i="3"/>
  <c r="AZ100" i="3" s="1"/>
  <c r="BA102" i="3"/>
  <c r="AZ102" i="3" s="1"/>
  <c r="AB29" i="39"/>
  <c r="U29" i="39"/>
  <c r="AA21" i="34"/>
  <c r="S21" i="34"/>
  <c r="P27" i="6"/>
  <c r="V68" i="71"/>
  <c r="Q68" i="71"/>
  <c r="F67" i="71"/>
  <c r="S76" i="71"/>
  <c r="B75" i="71"/>
  <c r="B74" i="71" s="1"/>
  <c r="U80" i="71"/>
  <c r="E79" i="71"/>
  <c r="E78" i="71" s="1"/>
  <c r="BA173" i="3"/>
  <c r="AZ173" i="3" s="1"/>
  <c r="BA174" i="3"/>
  <c r="BL179" i="3"/>
  <c r="AZ179" i="3" s="1"/>
  <c r="G180" i="3"/>
  <c r="BA181" i="3"/>
  <c r="AZ181" i="3" s="1"/>
  <c r="BA182" i="3"/>
  <c r="BL185" i="3"/>
  <c r="G186" i="3"/>
  <c r="G187" i="3"/>
  <c r="BL193" i="3"/>
  <c r="AZ193" i="3" s="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L69" i="3"/>
  <c r="G70" i="3"/>
  <c r="BL70" i="3"/>
  <c r="BL71" i="3"/>
  <c r="BL72" i="3"/>
  <c r="AZ72" i="3" s="1"/>
  <c r="G74" i="3"/>
  <c r="BA75" i="3"/>
  <c r="AZ75" i="3" s="1"/>
  <c r="BL79" i="3"/>
  <c r="BL81" i="3"/>
  <c r="BA82" i="3"/>
  <c r="AZ82" i="3" s="1"/>
  <c r="BL85" i="3"/>
  <c r="BA86" i="3"/>
  <c r="BA97" i="3"/>
  <c r="AZ97" i="3" s="1"/>
  <c r="G105" i="3"/>
  <c r="BL106" i="3"/>
  <c r="BA108" i="3"/>
  <c r="C25" i="40"/>
  <c r="B88" i="43"/>
  <c r="T32" i="71"/>
  <c r="D32" i="71"/>
  <c r="X31" i="71"/>
  <c r="B34" i="71"/>
  <c r="B35" i="71" s="1"/>
  <c r="B36" i="71" s="1"/>
  <c r="S36" i="71" s="1"/>
  <c r="X26" i="71"/>
  <c r="X39" i="71"/>
  <c r="X34" i="71"/>
  <c r="X38" i="71"/>
  <c r="S68" i="71"/>
  <c r="B67" i="71"/>
  <c r="N68" i="71"/>
  <c r="BA45" i="3"/>
  <c r="AZ45" i="3" s="1"/>
  <c r="BA46" i="3"/>
  <c r="AZ70" i="3"/>
  <c r="AA21" i="33"/>
  <c r="S21" i="33"/>
  <c r="AA21" i="37"/>
  <c r="S21" i="37"/>
  <c r="AA25" i="40"/>
  <c r="S25" i="40"/>
  <c r="D63" i="71"/>
  <c r="D67" i="71"/>
  <c r="C66" i="71"/>
  <c r="O67" i="71"/>
  <c r="C55" i="71"/>
  <c r="B27" i="71"/>
  <c r="B26" i="71" s="1"/>
  <c r="S28" i="71"/>
  <c r="C26" i="71"/>
  <c r="D26" i="71" s="1"/>
  <c r="D27" i="71"/>
  <c r="AA3" i="71"/>
  <c r="AA28" i="71"/>
  <c r="Y38" i="71"/>
  <c r="Z38" i="71" s="1"/>
  <c r="Y29" i="71"/>
  <c r="Z29" i="71" s="1"/>
  <c r="Y25" i="71"/>
  <c r="Z25" i="71" s="1"/>
  <c r="AB2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G67" i="3"/>
  <c r="BL68" i="3"/>
  <c r="BA69" i="3"/>
  <c r="AZ69" i="3" s="1"/>
  <c r="BL76" i="3"/>
  <c r="BL86" i="3"/>
  <c r="G87" i="3"/>
  <c r="BA91" i="3"/>
  <c r="AZ91" i="3" s="1"/>
  <c r="BL93" i="3"/>
  <c r="BL94" i="3"/>
  <c r="AZ94" i="3" s="1"/>
  <c r="BA109" i="3"/>
  <c r="D28" i="71"/>
  <c r="U28" i="71" s="1"/>
  <c r="T28" i="71"/>
  <c r="AB33" i="71"/>
  <c r="F30" i="71"/>
  <c r="F31" i="71" s="1"/>
  <c r="F32" i="71" s="1"/>
  <c r="V32" i="71" s="1"/>
  <c r="AB27" i="71"/>
  <c r="AB31" i="71"/>
  <c r="AB35" i="71"/>
  <c r="AB32" i="71"/>
  <c r="AB36" i="71"/>
  <c r="AA36" i="71"/>
  <c r="AA37" i="71"/>
  <c r="E38" i="71"/>
  <c r="E39" i="71" s="1"/>
  <c r="E40" i="71" s="1"/>
  <c r="U40" i="71" s="1"/>
  <c r="AA35" i="71"/>
  <c r="C60" i="71"/>
  <c r="D59" i="71"/>
  <c r="B63" i="71"/>
  <c r="B64" i="71" s="1"/>
  <c r="S64" i="71" s="1"/>
  <c r="V76" i="71"/>
  <c r="F75" i="71"/>
  <c r="F74" i="71" s="1"/>
  <c r="V24" i="71"/>
  <c r="E23" i="71"/>
  <c r="E22" i="71" s="1"/>
  <c r="E21" i="71" s="1"/>
  <c r="E20" i="71" s="1"/>
  <c r="AB25" i="71"/>
  <c r="X33" i="71"/>
  <c r="AB37" i="71"/>
  <c r="BA68" i="3"/>
  <c r="BA73" i="3"/>
  <c r="AZ73" i="3" s="1"/>
  <c r="BA80" i="3"/>
  <c r="BL84" i="3"/>
  <c r="BA89" i="3"/>
  <c r="G103" i="3"/>
  <c r="BA103" i="3"/>
  <c r="AZ103" i="3" s="1"/>
  <c r="BA104" i="3"/>
  <c r="BA106" i="3"/>
  <c r="BL108" i="3"/>
  <c r="BL111" i="3"/>
  <c r="AZ111" i="3" s="1"/>
  <c r="U21" i="37"/>
  <c r="P66" i="71"/>
  <c r="AA27" i="71"/>
  <c r="C83" i="71"/>
  <c r="C79" i="71"/>
  <c r="C71" i="71"/>
  <c r="C39" i="71"/>
  <c r="Y28" i="71"/>
  <c r="Z28" i="71" s="1"/>
  <c r="C34" i="71"/>
  <c r="X28" i="71"/>
  <c r="X32" i="71"/>
  <c r="F38" i="71"/>
  <c r="F39" i="71" s="1"/>
  <c r="F40" i="71" s="1"/>
  <c r="V40" i="71" s="1"/>
  <c r="AB38" i="71"/>
  <c r="B79" i="71"/>
  <c r="B78" i="71" s="1"/>
  <c r="BA60" i="3"/>
  <c r="AZ60" i="3" s="1"/>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BA206" i="3"/>
  <c r="AZ206" i="3" s="1"/>
  <c r="BL22" i="3"/>
  <c r="AZ22" i="3" s="1"/>
  <c r="BL33" i="3"/>
  <c r="AZ33" i="3" s="1"/>
  <c r="BL43" i="3"/>
  <c r="AZ43" i="3" s="1"/>
  <c r="BL46" i="3"/>
  <c r="AZ90"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L59" i="15"/>
  <c r="N59" i="15"/>
  <c r="L58" i="15"/>
  <c r="M59" i="15"/>
  <c r="C27" i="15"/>
  <c r="B13" i="70"/>
  <c r="D9" i="69"/>
  <c r="F27" i="69"/>
  <c r="F8" i="15"/>
  <c r="M9" i="15"/>
  <c r="F38" i="15"/>
  <c r="F13" i="15"/>
  <c r="F37" i="15"/>
  <c r="F43" i="15"/>
  <c r="F16" i="67"/>
  <c r="F42" i="67"/>
  <c r="L47" i="67"/>
  <c r="D5" i="73"/>
  <c r="F7" i="67"/>
  <c r="M28" i="67"/>
  <c r="F8" i="67"/>
  <c r="F13" i="67"/>
  <c r="M6" i="67"/>
  <c r="M26" i="67"/>
  <c r="F36" i="67"/>
  <c r="M29" i="67"/>
  <c r="M8" i="67"/>
  <c r="F6" i="67"/>
  <c r="F40" i="67"/>
  <c r="D7" i="73"/>
  <c r="D9" i="68"/>
  <c r="F38" i="67"/>
  <c r="M9" i="67"/>
  <c r="F37" i="67"/>
  <c r="C16" i="15"/>
  <c r="L48" i="67"/>
  <c r="D6" i="73"/>
  <c r="J15" i="67"/>
  <c r="M22" i="67"/>
  <c r="F9" i="67"/>
  <c r="M24" i="67"/>
  <c r="F43" i="67"/>
  <c r="D4" i="73"/>
  <c r="F26" i="67"/>
  <c r="F7" i="15"/>
  <c r="C76" i="15"/>
  <c r="M8" i="15"/>
  <c r="F36" i="15"/>
  <c r="M23" i="67"/>
  <c r="C36" i="68"/>
  <c r="M6" i="15"/>
  <c r="F40" i="15"/>
  <c r="M29" i="15"/>
  <c r="C76" i="67"/>
  <c r="D3" i="73"/>
  <c r="F68" i="15" l="1"/>
  <c r="F64" i="15"/>
  <c r="Q71" i="15"/>
  <c r="M7" i="15"/>
  <c r="J6" i="15" s="1"/>
  <c r="J18" i="15" s="1"/>
  <c r="F50" i="15"/>
  <c r="F71" i="15"/>
  <c r="F65" i="15"/>
  <c r="F66" i="15"/>
  <c r="C6" i="15"/>
  <c r="F51" i="15"/>
  <c r="AZ76" i="3"/>
  <c r="AZ38" i="3"/>
  <c r="AZ50" i="3"/>
  <c r="D59" i="87"/>
  <c r="E59" i="87" s="1"/>
  <c r="F59" i="87" s="1"/>
  <c r="G59" i="87" s="1"/>
  <c r="H59" i="87" s="1"/>
  <c r="I59" i="87" s="1"/>
  <c r="J59" i="87" s="1"/>
  <c r="K59" i="87" s="1"/>
  <c r="L59" i="87" s="1"/>
  <c r="M59" i="87" s="1"/>
  <c r="N59" i="87" s="1"/>
  <c r="O59" i="87" s="1"/>
  <c r="P59" i="87" s="1"/>
  <c r="Q59" i="87" s="1"/>
  <c r="R59" i="87" s="1"/>
  <c r="S59" i="87" s="1"/>
  <c r="T59" i="87" s="1"/>
  <c r="U59" i="87" s="1"/>
  <c r="V59" i="87" s="1"/>
  <c r="W59" i="87" s="1"/>
  <c r="X59" i="87" s="1"/>
  <c r="Y59" i="87" s="1"/>
  <c r="Z59" i="87" s="1"/>
  <c r="AA59" i="87" s="1"/>
  <c r="AB59" i="87" s="1"/>
  <c r="AC59" i="87" s="1"/>
  <c r="AD59" i="87" s="1"/>
  <c r="AE59" i="87" s="1"/>
  <c r="AF59" i="87" s="1"/>
  <c r="AG59" i="87" s="1"/>
  <c r="AH59" i="87" s="1"/>
  <c r="H34" i="91"/>
  <c r="F34" i="91"/>
  <c r="J34" i="91"/>
  <c r="AZ413" i="3"/>
  <c r="S25" i="35"/>
  <c r="AA25" i="35"/>
  <c r="AC31" i="33"/>
  <c r="W31" i="33"/>
  <c r="U43" i="39"/>
  <c r="AB43" i="39"/>
  <c r="S14" i="21"/>
  <c r="AA14" i="21"/>
  <c r="U46" i="21"/>
  <c r="AB46" i="21"/>
  <c r="AZ93" i="3"/>
  <c r="AZ98" i="3"/>
  <c r="AZ201" i="3"/>
  <c r="D59" i="91"/>
  <c r="E59" i="91" s="1"/>
  <c r="F59" i="91" s="1"/>
  <c r="G59" i="91" s="1"/>
  <c r="H59" i="91" s="1"/>
  <c r="I59" i="91" s="1"/>
  <c r="J59" i="91" s="1"/>
  <c r="K59" i="91" s="1"/>
  <c r="L59" i="91" s="1"/>
  <c r="M59" i="91" s="1"/>
  <c r="N59" i="91" s="1"/>
  <c r="O59" i="91" s="1"/>
  <c r="P59" i="91" s="1"/>
  <c r="Q59" i="91" s="1"/>
  <c r="R59" i="91" s="1"/>
  <c r="S59" i="91" s="1"/>
  <c r="T59" i="91" s="1"/>
  <c r="U59" i="91" s="1"/>
  <c r="V59" i="91" s="1"/>
  <c r="W59" i="91" s="1"/>
  <c r="X59" i="91" s="1"/>
  <c r="Y59" i="91" s="1"/>
  <c r="Z59" i="91" s="1"/>
  <c r="AA59" i="91" s="1"/>
  <c r="AB59" i="91" s="1"/>
  <c r="AC59" i="91" s="1"/>
  <c r="AD59" i="91" s="1"/>
  <c r="AE59" i="91" s="1"/>
  <c r="AF59" i="91" s="1"/>
  <c r="AG59" i="91" s="1"/>
  <c r="AH59" i="91" s="1"/>
  <c r="AI59" i="91" s="1"/>
  <c r="F7" i="91" s="1"/>
  <c r="D51" i="71"/>
  <c r="C52" i="71"/>
  <c r="F34" i="34"/>
  <c r="H34" i="34"/>
  <c r="J34" i="34"/>
  <c r="AZ251" i="3"/>
  <c r="AA38" i="40"/>
  <c r="S38" i="40"/>
  <c r="AA31" i="39"/>
  <c r="S31" i="39"/>
  <c r="AA25" i="37"/>
  <c r="S25" i="37"/>
  <c r="W25" i="35"/>
  <c r="AC25" i="35"/>
  <c r="S31" i="33"/>
  <c r="AA31" i="33"/>
  <c r="AC43" i="39"/>
  <c r="W43" i="39"/>
  <c r="U14" i="21"/>
  <c r="AB14" i="21"/>
  <c r="AB35" i="39"/>
  <c r="U35" i="39"/>
  <c r="S46" i="21"/>
  <c r="AA46" i="21"/>
  <c r="AZ32" i="3"/>
  <c r="AZ174" i="3"/>
  <c r="AZ299" i="3"/>
  <c r="AZ285" i="3"/>
  <c r="AZ396" i="3"/>
  <c r="AZ232" i="3"/>
  <c r="E28" i="6"/>
  <c r="K14" i="1" s="1"/>
  <c r="AZ25" i="3"/>
  <c r="AZ41" i="3"/>
  <c r="AZ222" i="3"/>
  <c r="AZ332" i="3"/>
  <c r="AZ401" i="3"/>
  <c r="AZ218" i="3"/>
  <c r="AZ368" i="3"/>
  <c r="AZ471" i="3"/>
  <c r="AP6" i="1"/>
  <c r="C36" i="69" s="1"/>
  <c r="AB38" i="40"/>
  <c r="U38" i="40"/>
  <c r="AB31" i="39"/>
  <c r="U31" i="39"/>
  <c r="AC25" i="37"/>
  <c r="W25" i="37"/>
  <c r="AB25" i="35"/>
  <c r="U25" i="35"/>
  <c r="AC9" i="36"/>
  <c r="W9" i="36"/>
  <c r="AZ512" i="3"/>
  <c r="C31" i="12"/>
  <c r="AZ67" i="3"/>
  <c r="AZ105" i="3"/>
  <c r="AZ235" i="3"/>
  <c r="J34" i="87"/>
  <c r="F34" i="87"/>
  <c r="H34" i="87"/>
  <c r="AZ247" i="3"/>
  <c r="AZ466" i="3"/>
  <c r="AZ448" i="3"/>
  <c r="AB39" i="37"/>
  <c r="U39" i="37"/>
  <c r="S13" i="36"/>
  <c r="AA13" i="36"/>
  <c r="S36" i="35"/>
  <c r="AA36" i="35"/>
  <c r="U25" i="37"/>
  <c r="AB25" i="37"/>
  <c r="AA44" i="21"/>
  <c r="S44" i="21"/>
  <c r="U43" i="34"/>
  <c r="S17" i="34"/>
  <c r="AB37" i="34"/>
  <c r="AA45" i="34"/>
  <c r="AA19" i="34"/>
  <c r="S15" i="34"/>
  <c r="AB17" i="34"/>
  <c r="AA37" i="34"/>
  <c r="S37" i="34"/>
  <c r="W32" i="34"/>
  <c r="AC32" i="34"/>
  <c r="AA14" i="34"/>
  <c r="S14" i="34"/>
  <c r="AC17" i="34"/>
  <c r="S32" i="34"/>
  <c r="AA32" i="34"/>
  <c r="Q71" i="67"/>
  <c r="C6" i="67"/>
  <c r="C32" i="67" s="1"/>
  <c r="F65" i="67"/>
  <c r="F64" i="67"/>
  <c r="C27" i="67"/>
  <c r="F71" i="67"/>
  <c r="N59" i="67"/>
  <c r="L58" i="67"/>
  <c r="Q73" i="67" s="1"/>
  <c r="L59" i="67"/>
  <c r="Q61" i="67" s="1"/>
  <c r="M59" i="67"/>
  <c r="J53" i="67"/>
  <c r="F1" i="67" s="1"/>
  <c r="J57" i="67"/>
  <c r="J55" i="67" s="1"/>
  <c r="J58" i="67" s="1"/>
  <c r="Q50" i="67" s="1"/>
  <c r="L56" i="67"/>
  <c r="I54" i="67"/>
  <c r="F68" i="67"/>
  <c r="F66" i="67"/>
  <c r="F51" i="67"/>
  <c r="F50" i="67"/>
  <c r="M7" i="67"/>
  <c r="J6" i="67" s="1"/>
  <c r="J18" i="67" s="1"/>
  <c r="C30" i="11"/>
  <c r="E59" i="40"/>
  <c r="K16" i="1"/>
  <c r="P6" i="1"/>
  <c r="C13" i="12" s="1"/>
  <c r="D71" i="71"/>
  <c r="C70" i="71"/>
  <c r="D70" i="71" s="1"/>
  <c r="AZ27" i="3"/>
  <c r="AZ256" i="3"/>
  <c r="AZ404" i="3"/>
  <c r="S13" i="37"/>
  <c r="AA13" i="37"/>
  <c r="W13" i="34"/>
  <c r="AC13" i="34"/>
  <c r="W33" i="40"/>
  <c r="AC33" i="40"/>
  <c r="U27" i="37"/>
  <c r="AB27" i="37"/>
  <c r="W25" i="36"/>
  <c r="AC25" i="36"/>
  <c r="AB29" i="34"/>
  <c r="U29" i="34"/>
  <c r="AB30" i="33"/>
  <c r="U30" i="33"/>
  <c r="AB31" i="21"/>
  <c r="U31" i="21"/>
  <c r="AZ552" i="3"/>
  <c r="AB31" i="40"/>
  <c r="U31" i="40"/>
  <c r="S12" i="40"/>
  <c r="AA12" i="40"/>
  <c r="D34" i="71"/>
  <c r="C35" i="71"/>
  <c r="D79" i="71"/>
  <c r="C78" i="71"/>
  <c r="D78" i="71" s="1"/>
  <c r="O65" i="71"/>
  <c r="O66" i="71"/>
  <c r="D66" i="71"/>
  <c r="N67" i="71"/>
  <c r="B66" i="71"/>
  <c r="AZ108" i="3"/>
  <c r="AZ86" i="3"/>
  <c r="F66" i="71"/>
  <c r="Q67" i="71"/>
  <c r="AZ244" i="3"/>
  <c r="AZ239" i="3"/>
  <c r="AZ178" i="3"/>
  <c r="AZ121" i="3"/>
  <c r="AZ274" i="3"/>
  <c r="AZ223" i="3"/>
  <c r="AZ210" i="3"/>
  <c r="AZ403" i="3"/>
  <c r="AZ229" i="3"/>
  <c r="AZ415" i="3"/>
  <c r="AZ429" i="3"/>
  <c r="AZ550" i="3"/>
  <c r="AC38" i="40"/>
  <c r="W38" i="40"/>
  <c r="AB24" i="36"/>
  <c r="U24" i="36"/>
  <c r="W13" i="37"/>
  <c r="AC13" i="37"/>
  <c r="AA13" i="34"/>
  <c r="S13" i="34"/>
  <c r="AZ502" i="3"/>
  <c r="AZ508" i="3"/>
  <c r="AZ520" i="3"/>
  <c r="AB14" i="39"/>
  <c r="U14" i="39"/>
  <c r="AA12" i="36"/>
  <c r="S12" i="36"/>
  <c r="U13" i="35"/>
  <c r="AB13" i="35"/>
  <c r="AA46" i="33"/>
  <c r="S46" i="33"/>
  <c r="W12" i="33"/>
  <c r="AC12" i="33"/>
  <c r="AZ563" i="3"/>
  <c r="AC31" i="40"/>
  <c r="W31" i="40"/>
  <c r="S30" i="21"/>
  <c r="AA30" i="21"/>
  <c r="G5" i="3"/>
  <c r="B3" i="3" s="1"/>
  <c r="E539" i="3" s="1"/>
  <c r="D83" i="71"/>
  <c r="C82" i="71"/>
  <c r="D82" i="71" s="1"/>
  <c r="T60" i="71"/>
  <c r="D60" i="71"/>
  <c r="AZ59" i="3"/>
  <c r="AZ31" i="3"/>
  <c r="AZ20" i="3"/>
  <c r="AZ126" i="3"/>
  <c r="AZ263" i="3"/>
  <c r="AZ428" i="3"/>
  <c r="AC24" i="36"/>
  <c r="W24" i="36"/>
  <c r="AA44" i="39"/>
  <c r="S44" i="39"/>
  <c r="AC23" i="36"/>
  <c r="W23" i="36"/>
  <c r="U47" i="34"/>
  <c r="AB47" i="34"/>
  <c r="AB27" i="34"/>
  <c r="U27" i="34"/>
  <c r="W14" i="21"/>
  <c r="AC14" i="21"/>
  <c r="AZ503" i="3"/>
  <c r="AZ527" i="3"/>
  <c r="AA33" i="40"/>
  <c r="S33" i="40"/>
  <c r="S32" i="36"/>
  <c r="AA32" i="36"/>
  <c r="W12" i="36"/>
  <c r="AC12" i="36"/>
  <c r="W13" i="35"/>
  <c r="AC13" i="35"/>
  <c r="AC46" i="33"/>
  <c r="W46" i="33"/>
  <c r="U39" i="40"/>
  <c r="AB39" i="40"/>
  <c r="U12" i="40"/>
  <c r="AB12" i="40"/>
  <c r="AB30" i="21"/>
  <c r="U30" i="21"/>
  <c r="G16" i="1"/>
  <c r="F10" i="39" s="1"/>
  <c r="AA10" i="39" s="1"/>
  <c r="D39" i="71"/>
  <c r="C40" i="71"/>
  <c r="D55" i="71"/>
  <c r="C56" i="71"/>
  <c r="AZ182" i="3"/>
  <c r="AZ28" i="3"/>
  <c r="AZ241" i="3"/>
  <c r="AZ137" i="3"/>
  <c r="AZ271" i="3"/>
  <c r="AZ432" i="3"/>
  <c r="U44" i="39"/>
  <c r="AB44" i="39"/>
  <c r="AB23" i="36"/>
  <c r="U23" i="36"/>
  <c r="S47" i="34"/>
  <c r="AA47" i="34"/>
  <c r="W27" i="34"/>
  <c r="AC27" i="34"/>
  <c r="AZ540" i="3"/>
  <c r="AZ548" i="3"/>
  <c r="AZ557" i="3"/>
  <c r="AB33" i="40"/>
  <c r="U33" i="40"/>
  <c r="AZ587" i="3"/>
  <c r="AZ575" i="3"/>
  <c r="S27" i="37"/>
  <c r="AA27" i="37"/>
  <c r="S25" i="36"/>
  <c r="AA25" i="36"/>
  <c r="AA29" i="34"/>
  <c r="S29" i="34"/>
  <c r="S30" i="33"/>
  <c r="AA30" i="33"/>
  <c r="AC31" i="21"/>
  <c r="W31" i="21"/>
  <c r="AC39" i="40"/>
  <c r="W39" i="40"/>
  <c r="AC12" i="40"/>
  <c r="W12" i="40"/>
  <c r="AZ586" i="3"/>
  <c r="J7" i="37"/>
  <c r="AC7" i="37" s="1"/>
  <c r="K1" i="73"/>
  <c r="E510" i="3"/>
  <c r="T6" i="3"/>
  <c r="E80" i="3"/>
  <c r="E226" i="3"/>
  <c r="E325" i="3"/>
  <c r="E340" i="3"/>
  <c r="E365" i="3"/>
  <c r="E141" i="3"/>
  <c r="E460" i="3"/>
  <c r="E58" i="3"/>
  <c r="E24" i="3"/>
  <c r="E244" i="3"/>
  <c r="E500" i="3"/>
  <c r="E446" i="3"/>
  <c r="E48" i="3"/>
  <c r="E149" i="3"/>
  <c r="E297" i="3"/>
  <c r="E584" i="3"/>
  <c r="E374" i="3"/>
  <c r="E163" i="3"/>
  <c r="AD6" i="3"/>
  <c r="E87" i="3"/>
  <c r="E413" i="3"/>
  <c r="E504" i="3"/>
  <c r="E127" i="3"/>
  <c r="E461" i="3"/>
  <c r="E352" i="3"/>
  <c r="E224" i="3"/>
  <c r="E529" i="3"/>
  <c r="E438" i="3"/>
  <c r="E537" i="3"/>
  <c r="E54" i="3"/>
  <c r="E208" i="3"/>
  <c r="E14"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51" i="40"/>
  <c r="E16" i="6"/>
  <c r="E58" i="40"/>
  <c r="E62" i="39"/>
  <c r="M14" i="1"/>
  <c r="D5" i="43"/>
  <c r="C7" i="43"/>
  <c r="C5" i="43" s="1"/>
  <c r="B7" i="74"/>
  <c r="F67"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AE7" i="1"/>
  <c r="AE8" i="1"/>
  <c r="AE12" i="1"/>
  <c r="AE10" i="1"/>
  <c r="F27" i="68"/>
  <c r="C16" i="67"/>
  <c r="G1" i="73"/>
  <c r="AE6" i="1"/>
  <c r="J5" i="15" l="1"/>
  <c r="J24" i="15" s="1"/>
  <c r="AA7" i="91"/>
  <c r="S7" i="91"/>
  <c r="E62" i="3"/>
  <c r="E112" i="3"/>
  <c r="E79" i="3"/>
  <c r="E507" i="3"/>
  <c r="E41" i="3"/>
  <c r="E235" i="3"/>
  <c r="U34" i="87"/>
  <c r="AB34" i="87"/>
  <c r="T52" i="71"/>
  <c r="D52" i="71"/>
  <c r="J7" i="91"/>
  <c r="W34" i="91"/>
  <c r="AC34" i="91"/>
  <c r="H7" i="87"/>
  <c r="E357" i="3"/>
  <c r="E471" i="3"/>
  <c r="E474" i="3"/>
  <c r="E157" i="3"/>
  <c r="E82" i="3"/>
  <c r="E187" i="3"/>
  <c r="E195" i="3"/>
  <c r="E462" i="3"/>
  <c r="E266" i="3"/>
  <c r="E323" i="3"/>
  <c r="E110" i="3"/>
  <c r="E222" i="3"/>
  <c r="E348" i="3"/>
  <c r="E165" i="3"/>
  <c r="E20" i="3"/>
  <c r="E36" i="3"/>
  <c r="E540" i="3"/>
  <c r="E116" i="3"/>
  <c r="E556" i="3"/>
  <c r="E233" i="3"/>
  <c r="S34" i="87"/>
  <c r="AA34" i="87"/>
  <c r="AC34" i="34"/>
  <c r="W34" i="34"/>
  <c r="S34" i="91"/>
  <c r="AA34" i="91"/>
  <c r="F7" i="87"/>
  <c r="W34" i="87"/>
  <c r="AC34" i="87"/>
  <c r="AB34" i="34"/>
  <c r="U34" i="34"/>
  <c r="AB34" i="91"/>
  <c r="U34" i="91"/>
  <c r="E93" i="3"/>
  <c r="E168" i="3"/>
  <c r="W6" i="3"/>
  <c r="E313" i="3"/>
  <c r="E136" i="3"/>
  <c r="E307" i="3"/>
  <c r="E154" i="3"/>
  <c r="E179" i="3"/>
  <c r="E542" i="3"/>
  <c r="E436" i="3"/>
  <c r="E354" i="3"/>
  <c r="E416" i="3"/>
  <c r="E386" i="3"/>
  <c r="E566" i="3"/>
  <c r="E265" i="3"/>
  <c r="E289" i="3"/>
  <c r="E194" i="3"/>
  <c r="E419" i="3"/>
  <c r="E190" i="3"/>
  <c r="E308" i="3"/>
  <c r="AA34" i="34"/>
  <c r="S34" i="34"/>
  <c r="H7" i="91"/>
  <c r="J7" i="87"/>
  <c r="T49" i="34"/>
  <c r="G49" i="34" s="1"/>
  <c r="Q74" i="67"/>
  <c r="J5" i="67"/>
  <c r="J24" i="67" s="1"/>
  <c r="Q52" i="67"/>
  <c r="C49" i="67"/>
  <c r="Q60" i="67"/>
  <c r="E25" i="3"/>
  <c r="E564" i="3"/>
  <c r="E35" i="3"/>
  <c r="E470" i="3"/>
  <c r="E197" i="3"/>
  <c r="E482" i="3"/>
  <c r="E372" i="3"/>
  <c r="E376" i="3"/>
  <c r="E329" i="3"/>
  <c r="E356" i="3"/>
  <c r="E512" i="3"/>
  <c r="AF6" i="3"/>
  <c r="E409" i="3"/>
  <c r="E392" i="3"/>
  <c r="E38" i="3"/>
  <c r="L6" i="3"/>
  <c r="E108" i="3"/>
  <c r="AH6" i="3"/>
  <c r="E543" i="3"/>
  <c r="E16" i="3"/>
  <c r="E49" i="3"/>
  <c r="E428" i="3"/>
  <c r="E420" i="3"/>
  <c r="E408" i="3"/>
  <c r="E173" i="3"/>
  <c r="E102" i="3"/>
  <c r="E174" i="3"/>
  <c r="E371" i="3"/>
  <c r="E234" i="3"/>
  <c r="E473" i="3"/>
  <c r="E276" i="3"/>
  <c r="E401" i="3"/>
  <c r="E422" i="3"/>
  <c r="E105" i="3"/>
  <c r="E158" i="3"/>
  <c r="E220" i="3"/>
  <c r="E115" i="3"/>
  <c r="E497" i="3"/>
  <c r="E405" i="3"/>
  <c r="E22" i="3"/>
  <c r="E86" i="3"/>
  <c r="E494" i="3"/>
  <c r="E491" i="3"/>
  <c r="E391" i="3"/>
  <c r="E67" i="3"/>
  <c r="E363" i="3"/>
  <c r="E34" i="3"/>
  <c r="E18" i="3"/>
  <c r="E283" i="3"/>
  <c r="E64" i="3"/>
  <c r="E442" i="3"/>
  <c r="E3" i="6"/>
  <c r="B14" i="74" s="1"/>
  <c r="AL6" i="3"/>
  <c r="E309" i="3"/>
  <c r="E184" i="3"/>
  <c r="E267" i="3"/>
  <c r="E349" i="3"/>
  <c r="E541" i="3"/>
  <c r="E198" i="3"/>
  <c r="E63" i="3"/>
  <c r="E310" i="3"/>
  <c r="E467" i="3"/>
  <c r="E417" i="3"/>
  <c r="E212" i="3"/>
  <c r="E536" i="3"/>
  <c r="R6" i="3"/>
  <c r="E430" i="3"/>
  <c r="E554" i="3"/>
  <c r="E56" i="3"/>
  <c r="E258" i="3"/>
  <c r="E389"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99" i="3"/>
  <c r="E502" i="3"/>
  <c r="E449" i="3"/>
  <c r="E435" i="3"/>
  <c r="E37" i="3"/>
  <c r="E241"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E254" i="3"/>
  <c r="AN6" i="3"/>
  <c r="S10" i="39"/>
  <c r="F10" i="40"/>
  <c r="S10" i="40" s="1"/>
  <c r="E192" i="3"/>
  <c r="AP6" i="3"/>
  <c r="E575" i="3"/>
  <c r="J10" i="39"/>
  <c r="W10" i="39" s="1"/>
  <c r="E68" i="3"/>
  <c r="E84" i="3"/>
  <c r="E160" i="3"/>
  <c r="E59" i="3"/>
  <c r="E95" i="3"/>
  <c r="I3" i="6"/>
  <c r="E286" i="3"/>
  <c r="H10" i="39"/>
  <c r="U10" i="39" s="1"/>
  <c r="H10" i="40"/>
  <c r="AB10" i="40" s="1"/>
  <c r="J10" i="40"/>
  <c r="AC10" i="40" s="1"/>
  <c r="W7" i="37"/>
  <c r="C36" i="71"/>
  <c r="D35" i="71"/>
  <c r="D56" i="71"/>
  <c r="T56" i="71"/>
  <c r="N65" i="71"/>
  <c r="N66" i="71"/>
  <c r="Q66" i="71"/>
  <c r="Q65" i="71"/>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67"/>
  <c r="M27" i="67"/>
  <c r="M27" i="15"/>
  <c r="F41" i="15"/>
  <c r="F69" i="67" l="1"/>
  <c r="AA7" i="87"/>
  <c r="R49" i="87" s="1"/>
  <c r="S7" i="87"/>
  <c r="AC7" i="87"/>
  <c r="V49" i="87" s="1"/>
  <c r="I49" i="87" s="1"/>
  <c r="W7" i="87"/>
  <c r="AC7" i="91"/>
  <c r="V49" i="91" s="1"/>
  <c r="I49" i="91" s="1"/>
  <c r="W7" i="91"/>
  <c r="R49" i="91"/>
  <c r="AB7" i="91"/>
  <c r="T49" i="91" s="1"/>
  <c r="G49" i="91" s="1"/>
  <c r="U7" i="91"/>
  <c r="AB7" i="87"/>
  <c r="T49" i="87" s="1"/>
  <c r="G49" i="87" s="1"/>
  <c r="U7" i="87"/>
  <c r="G54" i="34"/>
  <c r="H54" i="34" s="1"/>
  <c r="R50" i="34"/>
  <c r="C50" i="34" s="1"/>
  <c r="C48" i="67"/>
  <c r="C66" i="67" s="1"/>
  <c r="F25" i="12"/>
  <c r="C26" i="12" s="1"/>
  <c r="D25" i="12" s="1"/>
  <c r="W10" i="40"/>
  <c r="AC6" i="3"/>
  <c r="E6" i="3" s="1"/>
  <c r="F22" i="68"/>
  <c r="C44" i="68" s="1"/>
  <c r="D41" i="68" s="1"/>
  <c r="F22" i="11"/>
  <c r="C23" i="11" s="1"/>
  <c r="F24" i="67"/>
  <c r="C24" i="67" s="1"/>
  <c r="F24" i="15"/>
  <c r="C24" i="15" s="1"/>
  <c r="F22" i="69"/>
  <c r="F41" i="69" s="1"/>
  <c r="D36" i="71"/>
  <c r="T36" i="7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D10" i="69"/>
  <c r="C34" i="69"/>
  <c r="C17" i="15"/>
  <c r="C17" i="67"/>
  <c r="C14" i="67"/>
  <c r="D10" i="68"/>
  <c r="E49" i="91" l="1"/>
  <c r="R50" i="91"/>
  <c r="I53" i="87"/>
  <c r="J53" i="87" s="1"/>
  <c r="I54" i="87"/>
  <c r="J54" i="87" s="1"/>
  <c r="G54" i="87"/>
  <c r="H54" i="87" s="1"/>
  <c r="G53" i="87"/>
  <c r="H53" i="87" s="1"/>
  <c r="I53" i="91"/>
  <c r="J53" i="91" s="1"/>
  <c r="I54" i="91"/>
  <c r="J54" i="91" s="1"/>
  <c r="E49" i="87"/>
  <c r="R50" i="87"/>
  <c r="G53" i="91"/>
  <c r="H53" i="91" s="1"/>
  <c r="G54" i="91"/>
  <c r="H54" i="91" s="1"/>
  <c r="C60" i="67"/>
  <c r="C26" i="11"/>
  <c r="D22" i="11" s="1"/>
  <c r="C44" i="11"/>
  <c r="D41" i="11" s="1"/>
  <c r="C25" i="11"/>
  <c r="C24" i="11"/>
  <c r="F41" i="68"/>
  <c r="D30" i="6"/>
  <c r="H21" i="6"/>
  <c r="C26" i="68"/>
  <c r="D22" i="68" s="1"/>
  <c r="C44" i="69"/>
  <c r="D41" i="69" s="1"/>
  <c r="C26" i="69"/>
  <c r="D22" i="69" s="1"/>
  <c r="I54" i="34"/>
  <c r="J54" i="34" s="1"/>
  <c r="E53" i="34"/>
  <c r="F53" i="34"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0" i="87" l="1"/>
  <c r="C49" i="87"/>
  <c r="C50" i="91"/>
  <c r="C49" i="91"/>
  <c r="E53" i="87"/>
  <c r="F53" i="87" s="1"/>
  <c r="E54" i="87"/>
  <c r="F54" i="87" s="1"/>
  <c r="E54" i="91"/>
  <c r="F54" i="91" s="1"/>
  <c r="E53" i="91"/>
  <c r="F53" i="91" s="1"/>
  <c r="C22" i="11"/>
  <c r="C31" i="11" s="1"/>
  <c r="H9" i="68"/>
  <c r="C8" i="68" s="1"/>
  <c r="B29" i="1"/>
  <c r="C18" i="12" s="1"/>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B2" i="91" l="1"/>
  <c r="M5" i="91" s="1"/>
  <c r="B3" i="91"/>
  <c r="U16" i="71"/>
  <c r="M23" i="43"/>
  <c r="B3" i="87"/>
  <c r="B2" i="87"/>
  <c r="M5" i="87" s="1"/>
  <c r="C21" i="12"/>
  <c r="C22" i="12" s="1"/>
  <c r="C30" i="12" s="1"/>
  <c r="C28" i="12" s="1"/>
  <c r="F26" i="43"/>
  <c r="H26" i="43"/>
  <c r="G26" i="43"/>
  <c r="N370" i="46"/>
  <c r="N94" i="46"/>
  <c r="B116" i="43"/>
  <c r="Z7" i="43"/>
  <c r="E26" i="43"/>
  <c r="J26"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2" i="12" s="1"/>
  <c r="B2" i="12" s="1"/>
  <c r="B3" i="12" s="1"/>
  <c r="D26" i="43"/>
  <c r="C25" i="43" s="1"/>
  <c r="C33"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C118" i="43" l="1"/>
  <c r="D116" i="43"/>
  <c r="E33" i="43"/>
  <c r="C30" i="43" s="1"/>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C7" i="68" l="1"/>
  <c r="C5" i="68"/>
  <c r="Q69" i="67"/>
  <c r="Q68" i="67" s="1"/>
  <c r="H40" i="67"/>
  <c r="B2" i="76"/>
  <c r="B3" i="76" s="1"/>
  <c r="B3"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23" i="68" l="1"/>
  <c r="C20" i="68"/>
  <c r="Q69" i="15"/>
  <c r="Q68" i="15" s="1"/>
  <c r="H38"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11" i="1"/>
  <c r="AO10" i="1"/>
  <c r="AO7"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C19" i="9"/>
  <c r="C20" i="9"/>
  <c r="D19" i="9"/>
  <c r="AO6" i="1"/>
  <c r="C57" i="68" l="1"/>
  <c r="C102" i="9"/>
  <c r="C21" i="9"/>
  <c r="C103" i="9"/>
  <c r="D102" i="9"/>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C56" i="68" l="1"/>
  <c r="D103" i="9"/>
  <c r="G20" i="9"/>
  <c r="C32" i="9" s="1"/>
  <c r="D6" i="71"/>
  <c r="C5" i="71"/>
  <c r="D5" i="71" s="1"/>
  <c r="M24" i="43" s="1"/>
  <c r="C42" i="40"/>
  <c r="C43" i="40"/>
  <c r="E47" i="40"/>
  <c r="F47" i="40" s="1"/>
  <c r="E46" i="40"/>
  <c r="F46" i="40" s="1"/>
  <c r="I47" i="40"/>
  <c r="J47" i="40" s="1"/>
  <c r="D34"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H109" i="9" l="1"/>
  <c r="H110" i="9" s="1"/>
  <c r="D18" i="53" l="1"/>
  <c r="B35" i="72" s="1"/>
  <c r="C7" i="74"/>
  <c r="D16" i="53"/>
  <c r="D124" i="9"/>
  <c r="D125" i="9" l="1"/>
  <c r="D11" i="52" s="1"/>
  <c r="D10" i="52"/>
  <c r="B34" i="72"/>
  <c r="D17" i="53"/>
  <c r="B36" i="72" s="1"/>
  <c r="H118" i="9"/>
  <c r="C104" i="9" s="1"/>
  <c r="I118" i="9" l="1"/>
  <c r="C105" i="9" s="1"/>
  <c r="D118" i="9"/>
  <c r="H101" i="9"/>
  <c r="H119" i="9"/>
  <c r="H5" i="52" s="1"/>
  <c r="H4" i="52"/>
  <c r="F118" i="9"/>
  <c r="G118" i="9" s="1"/>
  <c r="G4" i="52" s="1"/>
  <c r="B52" i="72" s="1"/>
  <c r="H102" i="9" l="1"/>
  <c r="I4" i="52"/>
  <c r="E118" i="9"/>
  <c r="E4" i="52" s="1"/>
  <c r="B48" i="72" s="1"/>
  <c r="F119" i="9"/>
  <c r="F5" i="52" s="1"/>
  <c r="B53" i="72" s="1"/>
  <c r="F4" i="52"/>
  <c r="B51" i="72" s="1"/>
  <c r="D5" i="53"/>
  <c r="M48" i="9"/>
  <c r="H107" i="9"/>
  <c r="D14" i="74"/>
  <c r="E36" i="6" s="1"/>
  <c r="G36" i="6" s="1"/>
  <c r="G35" i="6" s="1"/>
  <c r="D45" i="9"/>
  <c r="D7" i="53"/>
  <c r="B21" i="72" s="1"/>
  <c r="E14" i="74"/>
  <c r="D119" i="9"/>
  <c r="D5" i="52" s="1"/>
  <c r="B49" i="72" s="1"/>
  <c r="D4" i="52"/>
  <c r="B47" i="72" s="1"/>
  <c r="C78" i="9" l="1"/>
  <c r="C73" i="9" s="1"/>
  <c r="C93" i="9"/>
  <c r="C86" i="9" s="1"/>
  <c r="D55" i="9"/>
  <c r="M53" i="9" s="1"/>
  <c r="C85" i="9"/>
  <c r="C64" i="9"/>
  <c r="C63" i="9" s="1"/>
  <c r="C67" i="9" s="1"/>
  <c r="D52" i="9"/>
  <c r="D53" i="9"/>
  <c r="C72" i="9"/>
  <c r="C79" i="9" s="1"/>
  <c r="D6" i="53"/>
  <c r="B22" i="72" s="1"/>
  <c r="B20" i="72"/>
  <c r="B5" i="74"/>
  <c r="F14" i="74"/>
  <c r="G14" i="74"/>
  <c r="B6" i="74" s="1"/>
  <c r="M49" i="9"/>
  <c r="H108" i="9"/>
  <c r="D15" i="53" s="1"/>
  <c r="B31" i="72" s="1"/>
  <c r="D13" i="53"/>
  <c r="D122" i="9"/>
  <c r="C95" i="9" l="1"/>
  <c r="C5" i="74"/>
  <c r="D5" i="74"/>
  <c r="D8" i="52"/>
  <c r="D123" i="9"/>
  <c r="D9" i="52" s="1"/>
  <c r="C6" i="74"/>
  <c r="D6" i="74"/>
  <c r="D14" i="53"/>
  <c r="B32" i="72" s="1"/>
  <c r="B30" i="72"/>
  <c r="C80" i="9"/>
  <c r="E80" i="9" s="1"/>
  <c r="E81" i="9" s="1"/>
  <c r="C96" i="9"/>
  <c r="E96" i="9" s="1"/>
  <c r="E97" i="9" s="1"/>
  <c r="L63" i="9"/>
  <c r="M63" i="9" s="1"/>
  <c r="L67" i="9"/>
  <c r="M67" i="9" s="1"/>
  <c r="L65" i="9"/>
  <c r="M65" i="9" s="1"/>
  <c r="L64" i="9"/>
  <c r="M64" i="9" s="1"/>
  <c r="L68" i="9"/>
  <c r="M68" i="9" s="1"/>
  <c r="L66" i="9"/>
  <c r="M66" i="9" s="1"/>
  <c r="C68" i="9"/>
  <c r="D54" i="9" s="1"/>
  <c r="D59" i="9"/>
  <c r="M55" i="9" s="1"/>
  <c r="C97" i="9" l="1"/>
  <c r="D58" i="9" s="1"/>
  <c r="D56" i="9" s="1"/>
  <c r="M54" i="9" s="1"/>
  <c r="N57" i="9" s="1"/>
  <c r="P57" i="9" s="1"/>
  <c r="M69" i="9"/>
  <c r="N69" i="9" s="1"/>
  <c r="C81" i="9"/>
  <c r="N59" i="9" l="1"/>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22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22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22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22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22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22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22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22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22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22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C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<sst xmlns="http://schemas.openxmlformats.org/spreadsheetml/2006/main" count="10366" uniqueCount="4047">
  <si>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</si>
  <si>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</si>
  <si>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</si>
  <si>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</si>
  <si>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</si>
  <si>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</si>
  <si>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</si>
  <si>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</si>
  <si>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</si>
  <si>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</si>
  <si>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</si>
  <si>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</si>
  <si>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</si>
  <si>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</si>
  <si>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</si>
  <si>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</si>
  <si>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</si>
  <si>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</si>
  <si>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</si>
  <si>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</si>
  <si>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</si>
  <si>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</si>
  <si>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</si>
  <si>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</si>
  <si>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</si>
  <si>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</si>
  <si>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</si>
  <si>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</si>
  <si>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</si>
  <si>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</si>
  <si>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</si>
  <si>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</si>
  <si>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</si>
  <si>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</si>
  <si>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</si>
  <si>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</si>
  <si>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</si>
  <si>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</si>
  <si>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</si>
  <si>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</si>
  <si>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</si>
  <si>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</si>
  <si>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</si>
  <si>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</si>
  <si>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</si>
  <si>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</si>
  <si>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</si>
  <si>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</si>
  <si>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</si>
  <si>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</si>
  <si>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</si>
  <si>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</si>
  <si>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</si>
  <si>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</si>
  <si>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</si>
  <si>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</si>
  <si>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</si>
  <si>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</si>
  <si>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</si>
  <si>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</si>
  <si>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</si>
  <si>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</si>
  <si>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</si>
  <si>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</si>
  <si>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</si>
  <si>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</si>
  <si>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</si>
  <si>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</si>
  <si>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</si>
  <si>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</si>
  <si>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</si>
  <si>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</si>
  <si>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</si>
  <si>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</si>
  <si>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</si>
  <si>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</si>
  <si>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</si>
  <si>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</si>
  <si>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</si>
  <si>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</si>
  <si>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</si>
  <si>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</si>
  <si>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</si>
  <si>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</si>
  <si>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</si>
  <si>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</si>
  <si>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</si>
  <si>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</si>
  <si>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</si>
  <si>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</si>
  <si>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</si>
  <si>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</si>
  <si>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</si>
  <si>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</si>
  <si>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</si>
  <si>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</si>
  <si>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</si>
  <si>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</si>
  <si>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</si>
  <si>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</si>
  <si>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</si>
  <si>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</si>
  <si>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</si>
  <si>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</si>
  <si>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</si>
  <si>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</si>
  <si>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</si>
  <si>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</si>
  <si>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</si>
  <si>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</si>
  <si>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</si>
  <si>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</si>
  <si>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</si>
  <si>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</si>
  <si>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</si>
  <si>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</si>
  <si>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</si>
  <si>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</si>
  <si>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</si>
  <si>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</si>
  <si>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</si>
  <si>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</si>
  <si>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</si>
  <si>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</si>
  <si>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</si>
  <si>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</si>
  <si>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</si>
  <si>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</si>
  <si>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</si>
  <si>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</si>
  <si>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</si>
  <si>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</si>
  <si>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</si>
  <si>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</si>
  <si>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</si>
  <si>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</si>
  <si>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</si>
  <si>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</si>
  <si>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</si>
  <si>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</si>
  <si>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</si>
  <si>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</si>
  <si>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</si>
  <si>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</si>
  <si>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</si>
  <si>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</si>
  <si>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</si>
  <si>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</si>
  <si>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</si>
  <si>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</si>
  <si>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</si>
  <si>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</si>
  <si>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</si>
  <si>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</si>
  <si>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</si>
  <si>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</si>
  <si>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</si>
  <si>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</si>
  <si>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</si>
  <si>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</si>
  <si>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</si>
  <si>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</si>
  <si>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</si>
  <si>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</si>
  <si>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</si>
  <si>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</si>
  <si>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</si>
  <si>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</si>
  <si>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</si>
  <si>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</si>
  <si>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</si>
  <si>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</si>
  <si>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</si>
  <si>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</si>
  <si>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</si>
  <si>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</si>
  <si>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</si>
  <si>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</si>
  <si>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</si>
  <si>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</si>
  <si>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</si>
  <si>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</si>
  <si>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</si>
  <si>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</si>
  <si>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</si>
  <si>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</si>
  <si>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</si>
  <si>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</si>
  <si>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</si>
  <si>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</si>
  <si>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</si>
  <si>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</si>
  <si>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</si>
  <si>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</si>
  <si>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</si>
  <si>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</si>
  <si>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</si>
  <si>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</si>
  <si>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</si>
  <si>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</si>
  <si>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</si>
  <si>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</si>
  <si>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</si>
  <si>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</si>
  <si>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</si>
  <si>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</si>
  <si>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</si>
  <si>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</si>
  <si>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</si>
  <si>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</si>
  <si>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</si>
  <si>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</si>
  <si>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</si>
  <si>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</si>
  <si>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</si>
  <si>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</si>
  <si>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</si>
  <si>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</si>
  <si>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</si>
  <si>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</si>
  <si>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</si>
  <si>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</si>
  <si>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</si>
  <si>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</si>
  <si>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</si>
  <si>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</si>
  <si>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</si>
  <si>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</si>
  <si>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</si>
  <si>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</si>
  <si>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</si>
  <si>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</si>
  <si>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</si>
  <si>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</si>
  <si>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</si>
  <si>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</si>
  <si>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</si>
  <si>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</si>
  <si>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</si>
  <si>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</si>
  <si>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</si>
  <si>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</si>
  <si>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</si>
  <si>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</si>
  <si>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</si>
  <si>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</si>
  <si>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</si>
  <si>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</si>
  <si>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</si>
  <si>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</si>
  <si>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</si>
  <si>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</si>
  <si>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</si>
  <si>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</si>
  <si>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</si>
  <si>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</si>
  <si>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</si>
  <si>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</si>
  <si>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</si>
  <si>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</si>
  <si>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</si>
  <si>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</si>
  <si>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</si>
  <si>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</si>
  <si>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</si>
  <si>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</si>
  <si>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</si>
  <si>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</si>
  <si>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</si>
  <si>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</si>
  <si>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</si>
  <si>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</si>
  <si>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</si>
  <si>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</si>
  <si>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</si>
  <si>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</si>
  <si>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</si>
  <si>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</si>
  <si>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</si>
  <si>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</si>
  <si>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</si>
  <si>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</si>
  <si>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</si>
  <si>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</si>
  <si>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</si>
  <si>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</si>
  <si>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</si>
  <si>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</si>
  <si>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</si>
  <si>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</si>
  <si>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</si>
  <si>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</si>
  <si>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</si>
  <si>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</si>
  <si>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</si>
  <si>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</si>
  <si>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</si>
  <si>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</si>
  <si>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</si>
  <si>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</si>
  <si>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</si>
  <si>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</si>
  <si>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</si>
  <si>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</si>
  <si>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</si>
  <si>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</si>
  <si>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</si>
  <si>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</si>
  <si>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</si>
  <si>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</si>
  <si>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</si>
  <si>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</si>
  <si>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</si>
  <si>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</si>
  <si>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</si>
  <si>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</si>
  <si>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</si>
  <si>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</si>
  <si>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</si>
  <si>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</si>
  <si>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</si>
  <si>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</si>
  <si>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</si>
  <si>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</si>
  <si>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</si>
  <si>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</si>
  <si>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</si>
  <si>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</si>
  <si>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</si>
  <si>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</si>
  <si>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</si>
  <si>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</si>
  <si>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</si>
  <si>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</si>
  <si>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</si>
  <si>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</si>
  <si>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</si>
  <si>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</si>
  <si>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</si>
  <si>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</si>
  <si>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</si>
  <si>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</si>
  <si>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</si>
  <si>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</si>
  <si>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</si>
  <si>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</si>
  <si>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</si>
  <si>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</si>
  <si>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</si>
  <si>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</si>
  <si>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</si>
  <si>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</si>
  <si>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</si>
  <si>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</si>
  <si>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</si>
  <si>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</si>
  <si>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</si>
  <si>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</si>
  <si>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</si>
  <si>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</si>
  <si>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</si>
  <si>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</si>
  <si>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</si>
  <si>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</si>
  <si>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</si>
  <si>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</si>
  <si>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</si>
  <si>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</si>
  <si>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</si>
  <si>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</si>
  <si>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</si>
  <si>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</si>
  <si>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</si>
  <si>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</si>
  <si>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</si>
  <si>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</si>
  <si>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</si>
  <si>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</si>
  <si>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</si>
  <si>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</si>
  <si>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</si>
  <si>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</si>
  <si>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</si>
  <si>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</si>
  <si>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</si>
  <si>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</si>
  <si>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</si>
  <si>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</si>
  <si>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</si>
  <si>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</si>
  <si>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</si>
  <si>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</si>
  <si>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</si>
  <si>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</si>
  <si>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</si>
  <si>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</si>
  <si>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</si>
  <si>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</si>
  <si>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</si>
  <si>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</si>
  <si>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</si>
  <si>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</si>
  <si>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</si>
  <si>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</si>
  <si>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</si>
  <si>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</si>
  <si>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</si>
  <si>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</si>
  <si>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</si>
  <si>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</si>
  <si>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</si>
  <si>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</si>
  <si>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</si>
  <si>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</si>
  <si>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</si>
  <si>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</si>
  <si>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</si>
  <si>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</si>
  <si>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</si>
  <si>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</si>
  <si>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</si>
  <si>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</si>
  <si>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</si>
  <si>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</si>
  <si>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</si>
  <si>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</si>
  <si>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</si>
  <si>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</si>
  <si>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</si>
  <si>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</si>
  <si>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</si>
  <si>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</si>
  <si>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</si>
  <si>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</si>
  <si>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</si>
  <si>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</si>
  <si>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</si>
  <si>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</si>
  <si>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</si>
  <si>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</si>
  <si>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</si>
  <si>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</si>
  <si>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</si>
  <si>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</si>
  <si>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</si>
  <si>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</si>
  <si>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</si>
  <si>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</si>
  <si>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</si>
  <si>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</si>
  <si>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</si>
  <si>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</si>
  <si>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</si>
  <si>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</si>
  <si>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</si>
  <si>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</si>
  <si>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</si>
  <si>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</si>
  <si>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</si>
  <si>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</si>
  <si>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</si>
  <si>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</si>
  <si>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</si>
  <si>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</si>
  <si>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</si>
  <si>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</si>
  <si>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</si>
  <si>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</si>
  <si>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</si>
  <si>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</si>
  <si>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</si>
  <si>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</si>
  <si>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</si>
  <si>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</si>
  <si>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</si>
  <si>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</si>
  <si>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</si>
  <si>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</si>
  <si>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</si>
  <si>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</si>
  <si>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</si>
  <si>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</si>
  <si>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</si>
  <si>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</si>
  <si>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</si>
  <si>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</si>
  <si>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</si>
  <si>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</si>
  <si>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</si>
  <si>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</si>
  <si>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</si>
  <si>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</si>
  <si>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</si>
  <si>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</si>
  <si>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</si>
  <si>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</si>
  <si>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</si>
  <si>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</si>
  <si>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</si>
  <si>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</si>
  <si>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</si>
  <si>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</si>
  <si>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</si>
  <si>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</si>
  <si>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</si>
  <si>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</si>
  <si>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</si>
  <si>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</si>
  <si>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</si>
  <si>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</si>
  <si>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</si>
  <si>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</si>
  <si>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</si>
  <si>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</si>
  <si>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</si>
  <si>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</si>
  <si>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</si>
  <si>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</si>
  <si>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</si>
  <si>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</si>
  <si>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</si>
  <si>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</si>
  <si>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</si>
  <si>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</si>
  <si>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</si>
  <si>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</si>
  <si>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</si>
  <si>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</si>
  <si>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</si>
  <si>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</si>
  <si>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</si>
  <si>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</si>
  <si>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</si>
  <si>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</si>
  <si>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</si>
  <si>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</si>
  <si>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</si>
  <si>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</si>
  <si>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</si>
  <si>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</si>
  <si>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</si>
  <si>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</si>
  <si>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</si>
  <si>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</si>
  <si>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</si>
  <si>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</si>
  <si>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</si>
  <si>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</si>
  <si>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</si>
  <si>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</si>
  <si>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</si>
  <si>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</si>
  <si>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</si>
  <si>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</si>
  <si>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</si>
  <si>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</si>
  <si>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</si>
  <si>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</si>
  <si>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</si>
  <si>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</si>
  <si>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</si>
  <si>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</si>
  <si>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</si>
  <si>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</si>
  <si>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</si>
  <si>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</si>
  <si>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</si>
  <si>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</si>
  <si>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</si>
  <si>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</si>
  <si>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</si>
  <si>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</si>
  <si>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</si>
  <si>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</si>
  <si>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</si>
  <si>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</si>
  <si>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</si>
  <si>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</si>
  <si>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</si>
  <si>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</si>
  <si>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</si>
  <si>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</si>
  <si>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</si>
  <si>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</si>
  <si>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</si>
  <si>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</si>
  <si>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</si>
  <si>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</si>
  <si>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</si>
  <si>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</si>
  <si>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</si>
  <si>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</si>
  <si>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</si>
  <si>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</si>
  <si>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</si>
  <si>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</si>
  <si>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</si>
  <si>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</si>
  <si>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</si>
  <si>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</si>
  <si>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</si>
  <si>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</si>
  <si>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</si>
  <si>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</si>
  <si>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</si>
  <si>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</si>
  <si>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</si>
  <si>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</si>
  <si>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</si>
  <si>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</si>
  <si>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</si>
  <si>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</si>
  <si>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</si>
  <si>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</si>
  <si>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</si>
  <si>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</si>
  <si>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</si>
  <si>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</si>
  <si>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</si>
  <si>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</si>
  <si>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</si>
  <si>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</si>
  <si>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</si>
  <si>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</si>
  <si>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</si>
  <si>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</si>
  <si>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</si>
  <si>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</si>
  <si>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</si>
  <si>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</si>
  <si>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</si>
  <si>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</si>
  <si>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</si>
  <si>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</si>
  <si>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</si>
  <si>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</si>
  <si>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</si>
  <si>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</si>
  <si>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</si>
  <si>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</si>
  <si>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</si>
  <si>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</si>
  <si>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</si>
  <si>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</si>
  <si>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</si>
  <si>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</si>
  <si>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</si>
  <si>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</si>
  <si>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</si>
  <si>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</si>
  <si>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</si>
  <si>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</si>
  <si>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</si>
  <si>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</si>
  <si>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</si>
  <si>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</si>
  <si>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</si>
  <si>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</si>
  <si>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</si>
  <si>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</si>
  <si>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</si>
  <si>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</si>
  <si>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</si>
  <si>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</si>
  <si>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</si>
  <si>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</si>
  <si>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</si>
  <si>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</si>
  <si>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</si>
  <si>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</si>
  <si>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</si>
  <si>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</si>
  <si>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</si>
  <si>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</si>
  <si>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</si>
  <si>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</si>
  <si>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</si>
  <si>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</si>
  <si>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</si>
  <si>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</si>
  <si>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</si>
  <si>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</si>
  <si>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</si>
  <si>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</si>
  <si>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</si>
  <si>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</si>
  <si>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</si>
  <si>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</si>
  <si>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</si>
  <si>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</si>
  <si>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</si>
  <si>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</si>
  <si>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</si>
  <si>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</si>
  <si>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</si>
  <si>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</si>
  <si>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</si>
  <si>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</si>
  <si>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</si>
  <si>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</si>
  <si>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</si>
  <si>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</si>
  <si>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</si>
  <si>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</si>
  <si>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</si>
  <si>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</si>
  <si>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</si>
  <si>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</si>
  <si>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</si>
  <si>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</si>
  <si>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</si>
  <si>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</si>
  <si>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</si>
  <si>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</si>
  <si>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</si>
  <si>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</si>
  <si>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</si>
  <si>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</si>
  <si>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</si>
  <si>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</si>
  <si>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</si>
  <si>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</si>
  <si>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</si>
  <si>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</si>
  <si>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</si>
  <si>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</si>
  <si>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</si>
  <si>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</si>
  <si>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</si>
  <si>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</si>
  <si>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</si>
  <si>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</si>
  <si>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</si>
  <si>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</si>
  <si>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</si>
  <si>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</si>
  <si>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</si>
  <si>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</si>
  <si>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</si>
  <si>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</si>
  <si>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</si>
  <si>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</si>
  <si>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</si>
  <si>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</si>
  <si>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</si>
  <si>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</si>
  <si>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</si>
  <si>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</si>
  <si>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</si>
  <si>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</si>
  <si>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</si>
  <si>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</si>
  <si>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</si>
  <si>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</si>
  <si>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</si>
  <si>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</si>
  <si>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</si>
  <si>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</si>
  <si>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</si>
  <si>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</si>
  <si>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</si>
  <si>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</si>
  <si>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</si>
  <si>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</si>
  <si>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</si>
  <si>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</si>
  <si>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</si>
  <si>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</si>
  <si>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</si>
  <si>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</si>
  <si>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</si>
  <si>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</si>
  <si>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</si>
  <si>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</si>
  <si>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</si>
  <si>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</si>
  <si>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</si>
  <si>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</si>
  <si>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</si>
  <si>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</si>
  <si>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</si>
  <si>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</si>
  <si>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</si>
  <si>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</si>
  <si>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</si>
  <si>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</si>
  <si>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</si>
  <si>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</si>
  <si>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</si>
  <si>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</si>
  <si>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</si>
  <si>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</si>
  <si>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</si>
  <si>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</si>
  <si>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</si>
  <si>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</si>
  <si>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</si>
  <si>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</si>
  <si>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</si>
  <si>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</si>
  <si>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</si>
  <si>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</si>
  <si>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</si>
  <si>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</si>
  <si>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</si>
  <si>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</si>
  <si>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</si>
  <si>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</si>
  <si>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</si>
  <si>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</si>
  <si>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</si>
  <si>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</si>
  <si>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</si>
  <si>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</si>
  <si>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</si>
  <si>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</si>
  <si>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</si>
  <si>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</si>
  <si>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</si>
  <si>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</si>
  <si>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</si>
  <si>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</si>
  <si>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</si>
  <si>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</si>
  <si>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</si>
  <si>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</si>
  <si>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</si>
  <si>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</si>
  <si>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</si>
  <si>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</si>
  <si>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</si>
  <si>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</si>
  <si>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</si>
  <si>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</si>
  <si>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</si>
  <si>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</si>
  <si>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</si>
  <si>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</si>
  <si>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</si>
  <si>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</si>
  <si>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</si>
  <si>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</si>
  <si>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</si>
  <si>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</si>
  <si>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</si>
  <si>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</si>
  <si>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</si>
  <si>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</si>
  <si>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</si>
  <si>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</si>
  <si>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</si>
  <si>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</si>
  <si>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</si>
  <si>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</si>
  <si>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</si>
  <si>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</si>
  <si>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</si>
  <si>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</si>
  <si>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</si>
  <si>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</si>
  <si>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</si>
  <si>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</si>
  <si>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</si>
  <si>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</si>
  <si>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</si>
  <si>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</si>
  <si>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</si>
  <si>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</si>
  <si>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</si>
  <si>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</si>
  <si>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</si>
  <si>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</si>
  <si>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</si>
  <si>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</si>
  <si>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</si>
  <si>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</si>
  <si>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</si>
  <si>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</si>
  <si>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</si>
  <si>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</si>
  <si>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</si>
  <si>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</si>
  <si>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</si>
  <si>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</si>
  <si>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</si>
  <si>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</si>
  <si>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</si>
  <si>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</si>
  <si>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</si>
  <si>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</si>
  <si>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</si>
  <si>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</si>
  <si>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</si>
  <si>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</si>
  <si>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</si>
  <si>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</si>
  <si>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</si>
  <si>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</si>
  <si>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</si>
  <si>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</si>
  <si>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</si>
  <si>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</si>
  <si>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</si>
  <si>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</si>
  <si>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</si>
  <si>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</si>
  <si>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</si>
  <si>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</si>
  <si>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</si>
  <si>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</si>
  <si>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</si>
  <si>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</si>
  <si>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</si>
  <si>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</si>
  <si>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</si>
  <si>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</si>
  <si>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</si>
  <si>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</si>
  <si>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</si>
  <si>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</si>
  <si>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</si>
  <si>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</si>
  <si>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</si>
  <si>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</si>
  <si>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</si>
  <si>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</si>
  <si>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</si>
  <si>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</si>
  <si>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</si>
  <si>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</si>
  <si>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</si>
  <si>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</si>
  <si>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</si>
  <si>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</si>
  <si>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</si>
  <si>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</si>
  <si>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</si>
  <si>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</si>
  <si>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</si>
  <si>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</si>
  <si>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</si>
  <si>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</si>
  <si>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</si>
  <si>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</si>
  <si>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</si>
  <si>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</si>
  <si>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</si>
  <si>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</si>
  <si>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</si>
  <si>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</si>
  <si>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</si>
  <si>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</si>
  <si>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</si>
  <si>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</si>
  <si>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</si>
  <si>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</si>
  <si>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</si>
  <si>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</si>
  <si>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</si>
  <si>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</si>
  <si>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</si>
  <si>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</si>
  <si>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</si>
  <si>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</si>
  <si>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</si>
  <si>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</si>
  <si>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</si>
  <si>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</si>
  <si>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</si>
  <si>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</si>
  <si>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</si>
  <si>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</si>
  <si>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</si>
  <si>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</si>
  <si>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</si>
  <si>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</si>
  <si>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</si>
  <si>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</si>
  <si>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</si>
  <si>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</si>
  <si>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</si>
  <si>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</si>
  <si>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</si>
  <si>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</si>
  <si>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</si>
  <si>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</si>
  <si>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</si>
  <si>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</si>
  <si>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</si>
  <si>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</si>
  <si>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</si>
  <si>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</si>
  <si>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</si>
  <si>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</si>
  <si>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</si>
  <si>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</si>
  <si>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</si>
  <si>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</si>
  <si>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</si>
  <si>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</si>
  <si>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</si>
  <si>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</si>
  <si>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</si>
  <si>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</si>
  <si>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</si>
  <si>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</si>
  <si>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</si>
  <si>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</si>
  <si>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</si>
  <si>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</si>
  <si>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</si>
  <si>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</si>
  <si>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</si>
  <si>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</si>
  <si>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</si>
  <si>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</si>
  <si>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</si>
  <si>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</si>
  <si>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</si>
  <si>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</si>
  <si>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</si>
  <si>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</si>
  <si>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</si>
  <si>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</si>
  <si>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</si>
  <si>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</si>
  <si>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</si>
  <si>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</si>
  <si>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</si>
  <si>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</si>
  <si>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</si>
  <si>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</si>
  <si>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</si>
  <si>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</si>
  <si>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</si>
  <si>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</si>
  <si>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</si>
  <si>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</si>
  <si>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</si>
  <si>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</si>
  <si>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</si>
  <si>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</si>
  <si>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</si>
  <si>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</si>
  <si>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</si>
  <si>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</si>
  <si>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</si>
  <si>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</si>
  <si>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</si>
  <si>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</si>
  <si>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</si>
  <si>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</si>
  <si>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</si>
  <si>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</si>
  <si>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</si>
  <si>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</si>
  <si>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</si>
  <si>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</si>
  <si>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</si>
  <si>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</si>
  <si>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</si>
  <si>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</si>
  <si>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</si>
  <si>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</si>
  <si>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</si>
  <si>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</si>
  <si>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</si>
  <si>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</si>
  <si>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</si>
  <si>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</si>
  <si>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</si>
  <si>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</si>
  <si>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</si>
  <si>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</si>
  <si>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</si>
  <si>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</si>
  <si>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</si>
  <si>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</si>
  <si>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</si>
  <si>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</si>
  <si>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</si>
  <si>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</si>
  <si>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</si>
  <si>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</si>
  <si>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</si>
  <si>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</si>
  <si>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</si>
  <si>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</si>
  <si>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</si>
  <si>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</si>
  <si>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</si>
  <si>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</si>
  <si>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</si>
  <si>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</si>
  <si>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</si>
  <si>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</si>
  <si>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</si>
  <si>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</si>
  <si>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</si>
  <si>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</si>
  <si>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</si>
  <si>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</si>
  <si>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</si>
  <si>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</si>
  <si>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</si>
  <si>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</si>
  <si>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</si>
  <si>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</si>
  <si>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</si>
  <si>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</si>
  <si>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</si>
  <si>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</si>
  <si>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</si>
  <si>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</si>
  <si>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</si>
  <si>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</si>
  <si>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</si>
  <si>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</si>
  <si>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</si>
  <si>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</si>
  <si>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</si>
  <si>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</si>
  <si>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</si>
  <si>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</si>
  <si>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</si>
  <si>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</si>
  <si>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</si>
  <si>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</si>
  <si>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</si>
  <si>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</si>
  <si>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</si>
  <si>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</si>
  <si>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</si>
  <si>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</si>
  <si>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</si>
  <si>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</si>
  <si>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</si>
  <si>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</si>
  <si>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</si>
  <si>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</si>
  <si>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</si>
  <si>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</si>
  <si>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</si>
  <si>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</si>
  <si>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</si>
  <si>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</si>
  <si>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</si>
  <si>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</si>
  <si>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</si>
  <si>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</si>
  <si>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</si>
  <si>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</si>
  <si>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</si>
  <si>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</si>
  <si>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</si>
  <si>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</si>
  <si>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</si>
  <si>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</si>
  <si>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</si>
  <si>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</si>
  <si>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</si>
  <si>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</si>
  <si>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</si>
  <si>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</si>
  <si>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</si>
  <si>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</si>
  <si>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</si>
  <si>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</si>
  <si>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</si>
  <si>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</si>
  <si>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</si>
  <si>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</si>
  <si>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</si>
  <si>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</si>
  <si>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</si>
  <si>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</si>
  <si>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</si>
  <si>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</si>
  <si>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</si>
  <si>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</si>
  <si>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</si>
  <si>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</si>
  <si>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</si>
  <si>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</si>
  <si>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</si>
  <si>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</si>
  <si>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</si>
  <si>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</si>
  <si>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</si>
  <si>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</si>
  <si>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</si>
  <si>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</si>
  <si>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</si>
  <si>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</si>
  <si>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</si>
  <si>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</si>
  <si>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</si>
  <si>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</si>
  <si>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</si>
  <si>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</si>
  <si>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</si>
  <si>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</si>
  <si>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</si>
  <si>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</si>
  <si>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</si>
  <si>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</si>
  <si>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</si>
  <si>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</si>
  <si>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</si>
  <si>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</si>
  <si>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</si>
  <si>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</si>
  <si>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</si>
  <si>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</si>
  <si>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</si>
  <si>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</si>
  <si>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</si>
  <si>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</si>
  <si>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</si>
  <si>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</si>
  <si>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</si>
  <si>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</si>
  <si>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</si>
  <si>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</si>
  <si>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</si>
  <si>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</si>
  <si>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</si>
  <si>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</si>
  <si>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</si>
  <si>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</si>
  <si>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</si>
  <si>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</si>
  <si>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</si>
  <si>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</si>
  <si>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</si>
  <si>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</si>
  <si>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</si>
  <si>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</si>
  <si>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</si>
  <si>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</si>
  <si>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</si>
  <si>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</si>
  <si>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</si>
  <si>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</si>
  <si>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</si>
  <si>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</si>
  <si>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</si>
  <si>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</si>
  <si>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</si>
  <si>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</si>
  <si>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</si>
  <si>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</si>
  <si>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</si>
  <si>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</si>
  <si>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</si>
  <si>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</si>
  <si>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</si>
  <si>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</si>
  <si>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</si>
  <si>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</si>
  <si>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</si>
  <si>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</si>
  <si>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</si>
  <si>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</si>
  <si>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</si>
  <si>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</si>
  <si>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</si>
  <si>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</si>
  <si>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</si>
  <si>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</si>
  <si>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</si>
  <si>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</si>
  <si>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</si>
  <si>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</si>
  <si>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</si>
  <si>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</si>
  <si>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</si>
  <si>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</si>
  <si>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</si>
  <si>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</si>
  <si>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</si>
  <si>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</si>
  <si>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</si>
  <si>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</si>
  <si>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</si>
  <si>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</si>
  <si>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</si>
  <si>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</si>
  <si>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</si>
  <si>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</si>
  <si>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</si>
  <si>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</si>
  <si>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</si>
  <si>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</si>
  <si>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</si>
  <si>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</si>
  <si>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</si>
  <si>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</si>
  <si>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</si>
  <si>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</si>
  <si>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</si>
  <si>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</si>
  <si>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</si>
  <si>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</si>
  <si>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</si>
  <si>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</si>
  <si>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</si>
  <si>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</si>
  <si>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</si>
  <si>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</si>
  <si>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</si>
  <si>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</si>
  <si>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</si>
  <si>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</si>
  <si>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</si>
  <si>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</si>
  <si>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</si>
  <si>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</si>
  <si>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</si>
  <si>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</si>
  <si>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</si>
  <si>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</si>
  <si>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</si>
  <si>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</si>
  <si>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</si>
  <si>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</si>
  <si>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</si>
  <si>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</si>
  <si>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</si>
  <si>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</si>
  <si>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</si>
  <si>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</si>
  <si>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</si>
  <si>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</si>
  <si>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</si>
  <si>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</si>
  <si>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</si>
  <si>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</si>
  <si>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</si>
  <si>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</si>
  <si>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</si>
  <si>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</si>
  <si>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</si>
  <si>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</si>
  <si>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</si>
  <si>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</si>
  <si>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</si>
  <si>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</si>
  <si>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</si>
  <si>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</si>
  <si>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</si>
  <si>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</si>
  <si>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</si>
  <si>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</si>
  <si>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</si>
  <si>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</si>
  <si>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</si>
  <si>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</si>
  <si>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</si>
  <si>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</si>
  <si>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</si>
  <si>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</si>
  <si>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</si>
  <si>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</si>
  <si>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</si>
  <si>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</si>
  <si>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</si>
  <si>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</si>
  <si>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</si>
  <si>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</si>
  <si>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</si>
  <si>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</si>
  <si>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</si>
  <si>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</si>
  <si>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</si>
  <si>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</si>
  <si>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</si>
  <si>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</si>
  <si>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</si>
  <si>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</si>
  <si>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</si>
  <si>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</si>
  <si>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</si>
  <si>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</si>
  <si>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</si>
  <si>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</si>
  <si>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</si>
  <si>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</si>
  <si>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</si>
  <si>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</si>
  <si>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</si>
  <si>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</si>
  <si>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</si>
  <si>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</si>
  <si>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</si>
  <si>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</si>
  <si>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</si>
  <si>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</si>
  <si>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</si>
  <si>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</si>
  <si>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</si>
  <si>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</si>
  <si>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</si>
  <si>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</si>
  <si>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</si>
  <si>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</si>
  <si>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</si>
  <si>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</si>
  <si>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</si>
  <si>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</si>
  <si>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</si>
  <si>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</si>
  <si>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</si>
  <si>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</si>
  <si>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</si>
  <si>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</si>
  <si>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</si>
  <si>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</si>
  <si>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</si>
  <si>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</si>
  <si>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</si>
  <si>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</si>
  <si>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</si>
  <si>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</si>
  <si>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</si>
  <si>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</si>
  <si>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</si>
  <si>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</si>
  <si>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</si>
  <si>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</si>
  <si>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</si>
  <si>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</si>
  <si>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</si>
  <si>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</si>
  <si>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</si>
  <si>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</si>
  <si>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</si>
  <si>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</si>
  <si>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</si>
  <si>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</si>
  <si>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</si>
  <si>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</si>
  <si>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</si>
  <si>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</si>
  <si>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</si>
  <si>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</si>
  <si>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</si>
  <si>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</si>
  <si>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</si>
  <si>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</si>
  <si>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</si>
  <si>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</si>
  <si>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</si>
  <si>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</si>
  <si>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</si>
  <si>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</si>
  <si>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</si>
  <si>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</si>
  <si>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</si>
  <si>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</si>
  <si>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</si>
  <si>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</si>
  <si>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</si>
  <si>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</si>
  <si>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</si>
  <si>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</si>
  <si>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</si>
  <si>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</si>
  <si>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</si>
  <si>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</si>
  <si>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</si>
  <si>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</si>
  <si>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</si>
  <si>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</si>
  <si>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</si>
  <si>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</si>
  <si>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</si>
  <si>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</si>
  <si>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</si>
  <si>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</si>
  <si>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</si>
  <si>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</si>
  <si>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</si>
  <si>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</si>
  <si>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</si>
  <si>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</si>
  <si>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</si>
  <si>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</si>
  <si>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</si>
  <si>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</si>
  <si>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</si>
  <si>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</si>
  <si>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</si>
  <si>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</si>
  <si>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</si>
  <si>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</si>
  <si>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</si>
  <si>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</si>
  <si>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</si>
  <si>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</si>
  <si>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</si>
  <si>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</si>
  <si>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</si>
  <si>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</si>
  <si>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</si>
  <si>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</si>
  <si>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</si>
  <si>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</si>
  <si>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</si>
  <si>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</si>
  <si>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</si>
  <si>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</si>
  <si>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</si>
  <si>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</si>
  <si>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</si>
  <si>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</si>
  <si>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</si>
  <si>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</si>
  <si>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</si>
  <si>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</si>
  <si>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</si>
  <si>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</si>
  <si>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</si>
  <si>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</si>
  <si>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</si>
  <si>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</si>
  <si>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</si>
  <si>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</si>
  <si>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</si>
  <si>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</si>
  <si>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</si>
  <si>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</si>
  <si>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</si>
  <si>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</si>
  <si>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</si>
  <si>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</si>
  <si>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</si>
  <si>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</si>
  <si>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</si>
  <si>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</si>
  <si>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</si>
  <si>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</si>
  <si>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</si>
  <si>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</si>
  <si>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</si>
  <si>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</si>
  <si>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</si>
  <si>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</si>
  <si>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</si>
  <si>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</si>
  <si>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</si>
  <si>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</si>
  <si>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</si>
  <si>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</si>
  <si>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</si>
  <si>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</si>
  <si>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</si>
  <si>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</si>
  <si>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</si>
  <si>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</si>
  <si>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</si>
  <si>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</si>
  <si>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</si>
  <si>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</si>
  <si>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</si>
  <si>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</si>
  <si>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</si>
  <si>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</si>
  <si>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</si>
  <si>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</si>
  <si>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</si>
  <si>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</si>
  <si>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</si>
  <si>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</si>
  <si>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</si>
  <si>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</si>
  <si>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</si>
  <si>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</si>
  <si>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</si>
  <si>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</si>
  <si>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</si>
  <si>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</si>
  <si>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</si>
  <si>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</si>
  <si>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</si>
  <si>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</si>
  <si>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</si>
  <si>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</si>
  <si>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</si>
  <si>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</si>
  <si>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</si>
  <si>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</si>
  <si>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</si>
  <si>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</si>
  <si>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</si>
  <si>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</si>
  <si>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</si>
  <si>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</si>
  <si>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</si>
  <si>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</si>
  <si>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</si>
  <si>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</si>
  <si>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</si>
  <si>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</si>
  <si>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</si>
  <si>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</si>
  <si>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</si>
  <si>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</si>
  <si>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</si>
  <si>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</si>
  <si>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</si>
  <si>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</si>
  <si>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</si>
  <si>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</si>
  <si>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</si>
  <si>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</si>
  <si>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</si>
  <si>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</si>
  <si>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</si>
  <si>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</si>
  <si>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</si>
  <si>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</si>
  <si>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</si>
  <si>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</si>
  <si>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</si>
  <si>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</si>
  <si>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</si>
  <si>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</si>
  <si>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</si>
  <si>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</si>
  <si>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</si>
  <si>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</si>
  <si>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</si>
  <si>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</si>
  <si>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</si>
  <si>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</si>
  <si>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</si>
  <si>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</si>
  <si>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</si>
  <si>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</si>
  <si>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</si>
  <si>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</si>
  <si>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</si>
  <si>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</si>
  <si>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</si>
  <si>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</si>
  <si>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</si>
  <si>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</si>
  <si>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</si>
  <si>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</si>
  <si>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</si>
  <si>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</si>
  <si>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</si>
  <si>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</si>
  <si>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</si>
  <si>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</si>
  <si>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</si>
  <si>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</si>
  <si>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</si>
  <si>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</si>
  <si>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</si>
  <si>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</si>
  <si>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</si>
  <si>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</si>
  <si>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</si>
  <si>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</si>
  <si>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</si>
  <si>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</si>
  <si>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</si>
  <si>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</si>
  <si>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</si>
  <si>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</si>
  <si>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</si>
  <si>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</si>
  <si>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</si>
  <si>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</si>
  <si>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</si>
  <si>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</si>
  <si>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</si>
  <si>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</si>
  <si>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</si>
  <si>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</si>
  <si>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</si>
  <si>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</si>
  <si>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</si>
  <si>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</si>
  <si>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</si>
  <si>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</si>
  <si>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</si>
  <si>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</si>
  <si>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</si>
  <si>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</si>
  <si>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</si>
  <si>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</si>
  <si>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</si>
  <si>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</si>
  <si>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</si>
  <si>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</si>
  <si>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</si>
  <si>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</si>
  <si>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</si>
  <si>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</si>
  <si>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</si>
  <si>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</si>
  <si>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</si>
  <si>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</si>
  <si>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</si>
  <si>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</si>
  <si>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</si>
  <si>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</si>
  <si>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</si>
  <si>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</si>
  <si>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</si>
  <si>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</si>
  <si>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</si>
  <si>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</si>
  <si>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</si>
  <si>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</si>
  <si>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</si>
  <si>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</si>
  <si>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</si>
  <si>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</si>
  <si>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</si>
  <si>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</si>
  <si>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</si>
  <si>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</si>
  <si>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</si>
  <si>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</si>
  <si>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</si>
  <si>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</si>
  <si>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</si>
  <si>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</si>
  <si>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</si>
  <si>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</si>
  <si>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</si>
  <si>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</si>
  <si>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</si>
  <si>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</si>
  <si>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</si>
  <si>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</si>
  <si>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</si>
  <si>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</si>
  <si>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</si>
  <si>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</si>
  <si>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</si>
  <si>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</si>
  <si>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</si>
  <si>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</si>
  <si>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</si>
  <si>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</si>
  <si>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</si>
  <si>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</si>
  <si>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</si>
  <si>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</si>
  <si>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</si>
  <si>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</si>
  <si>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</si>
  <si>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</si>
  <si>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</si>
  <si>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</si>
  <si>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</si>
  <si>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</si>
  <si>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</si>
  <si>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</si>
  <si>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</si>
  <si>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</si>
  <si>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</si>
  <si>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</si>
  <si>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</si>
  <si>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</si>
  <si>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</si>
  <si>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</si>
  <si>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</si>
  <si>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</si>
  <si>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</si>
  <si>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</si>
  <si>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</si>
  <si>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</si>
  <si>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</si>
  <si>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</si>
  <si>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</si>
  <si>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</si>
  <si>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</si>
  <si>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</si>
  <si>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</si>
  <si>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</si>
  <si>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</si>
  <si>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</si>
  <si>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</si>
  <si>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</si>
  <si>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</si>
  <si>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</si>
  <si>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</si>
  <si>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</si>
  <si>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</si>
  <si>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</si>
  <si>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</si>
  <si>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</si>
  <si>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</si>
  <si>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</si>
  <si>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</si>
  <si>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</si>
  <si>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</si>
  <si>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</si>
  <si>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</si>
  <si>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</si>
  <si>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</si>
  <si>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</si>
  <si>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</si>
  <si>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</si>
  <si>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</si>
  <si>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</si>
  <si>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</si>
  <si>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</si>
  <si>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</si>
  <si>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</si>
  <si>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</si>
  <si>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</si>
  <si>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</si>
  <si>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</si>
  <si>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</si>
  <si>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</si>
  <si>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</si>
  <si>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</si>
  <si>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</si>
  <si>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</si>
  <si>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</si>
  <si>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</si>
  <si>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</si>
  <si>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</si>
  <si>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</si>
  <si>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</si>
  <si>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</si>
  <si>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</si>
  <si>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</si>
  <si>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</si>
  <si>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</si>
  <si>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</si>
  <si>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</si>
  <si>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</si>
  <si>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</si>
  <si>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</si>
  <si>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</si>
  <si>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</si>
  <si>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</si>
  <si>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</si>
  <si>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</si>
  <si>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</si>
  <si>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</si>
  <si>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</si>
  <si>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</si>
  <si>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</si>
  <si>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</si>
  <si>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</si>
  <si>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</si>
  <si>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</si>
  <si>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</si>
  <si>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</si>
  <si>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</si>
  <si>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</si>
  <si>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</si>
  <si>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</si>
  <si>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</si>
  <si>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</si>
  <si>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</si>
  <si>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</si>
  <si>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</si>
  <si>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</si>
  <si>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</si>
  <si>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</si>
  <si>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</si>
  <si>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</si>
  <si>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</si>
  <si>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</si>
  <si>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</si>
  <si>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</si>
  <si>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</si>
  <si>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</si>
  <si>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</si>
  <si>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</si>
  <si>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</si>
  <si>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</si>
  <si>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</si>
  <si>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</si>
  <si>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</si>
  <si>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</si>
  <si>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</si>
  <si>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</si>
  <si>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</si>
  <si>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</si>
  <si>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</si>
  <si>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</si>
  <si>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</si>
  <si>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</si>
  <si>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</si>
  <si>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</si>
  <si>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</si>
  <si>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</si>
  <si>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</si>
  <si>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</si>
  <si>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</si>
  <si>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</si>
  <si>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</si>
  <si>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</si>
  <si>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</si>
  <si>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</si>
  <si>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</si>
  <si>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</si>
  <si>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</si>
  <si>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</si>
  <si>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</si>
  <si>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</si>
  <si>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</si>
  <si>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</si>
  <si>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</si>
  <si>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</si>
  <si>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</si>
  <si>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</si>
  <si>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</si>
  <si>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</si>
  <si>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</si>
  <si>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</si>
  <si>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</si>
  <si>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</si>
  <si>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</si>
  <si>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</si>
  <si>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</si>
  <si>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</si>
  <si>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</si>
  <si>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</si>
  <si>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</si>
  <si>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</si>
  <si>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</si>
  <si>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</si>
  <si>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</si>
  <si>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</si>
  <si>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</si>
  <si>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</si>
  <si>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</si>
  <si>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</si>
  <si>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</si>
  <si>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</si>
  <si>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</si>
  <si>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</si>
  <si>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</si>
  <si>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</si>
  <si>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</si>
  <si>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</si>
  <si>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</si>
  <si>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</si>
  <si>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</si>
  <si>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</si>
  <si>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</si>
  <si>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</si>
  <si>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</si>
  <si>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</si>
  <si>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</si>
  <si>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</si>
  <si>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</si>
  <si>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</si>
  <si>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</si>
  <si>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</si>
  <si>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</si>
  <si>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</si>
  <si>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</si>
  <si>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</si>
  <si>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</si>
  <si>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</si>
  <si>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</si>
  <si>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</si>
  <si>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</si>
  <si>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</si>
  <si>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</si>
  <si>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</si>
  <si>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</si>
  <si>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</si>
  <si>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</si>
  <si>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</si>
  <si>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</si>
  <si>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</si>
  <si>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</si>
  <si>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</si>
  <si>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</si>
  <si>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</si>
  <si>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</si>
  <si>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</si>
  <si>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</si>
  <si>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</si>
  <si>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</si>
  <si>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</si>
  <si>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</si>
  <si>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</si>
  <si>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</si>
  <si>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</si>
  <si>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</si>
  <si>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</si>
  <si>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</si>
  <si>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</si>
  <si>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</si>
  <si>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</si>
  <si>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</si>
  <si>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</si>
  <si>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</si>
  <si>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</si>
  <si>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</si>
  <si>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</si>
  <si>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</si>
  <si>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</si>
  <si>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</si>
  <si>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</si>
  <si>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</si>
  <si>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</si>
  <si>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</si>
  <si>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</si>
  <si>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</si>
  <si>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</si>
  <si>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</si>
  <si>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</si>
  <si>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</si>
  <si>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</si>
  <si>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</si>
  <si>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</si>
  <si>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</si>
  <si>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</si>
  <si>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</si>
  <si>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</si>
  <si>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</si>
  <si>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</si>
  <si>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</si>
  <si>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</si>
  <si>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</si>
  <si>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</si>
  <si>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</si>
  <si>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</si>
  <si>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</si>
  <si>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</si>
  <si>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</si>
  <si>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</si>
  <si>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</si>
  <si>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</si>
  <si>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</si>
  <si>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</si>
  <si>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</si>
  <si>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</si>
  <si>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</si>
  <si>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</si>
  <si>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</si>
  <si>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</si>
  <si>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</si>
  <si>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</si>
  <si>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</si>
  <si>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</si>
  <si>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</si>
  <si>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</si>
  <si>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</si>
  <si>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</si>
  <si>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</si>
  <si>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</si>
  <si>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</si>
  <si>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</si>
  <si>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</si>
  <si>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</si>
  <si>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</si>
  <si>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</si>
  <si>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</si>
  <si>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</si>
  <si>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</si>
  <si>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</si>
  <si>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</si>
  <si>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</si>
  <si>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</si>
  <si>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</si>
  <si>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</si>
  <si>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</si>
  <si>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</si>
  <si>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</si>
  <si>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</si>
  <si>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</si>
  <si>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</si>
  <si>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</si>
  <si>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</si>
  <si>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</si>
  <si>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</si>
  <si>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</si>
  <si>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</si>
  <si>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</si>
  <si>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</si>
  <si>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</si>
  <si>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</si>
  <si>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</si>
  <si>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</si>
  <si>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</si>
  <si>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</si>
  <si>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</si>
  <si>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</si>
  <si>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</si>
  <si>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</si>
  <si>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</si>
  <si>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</si>
  <si>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</si>
  <si>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</si>
  <si>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</si>
  <si>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</si>
  <si>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</si>
  <si>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</si>
  <si>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</si>
  <si>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</si>
  <si>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</si>
  <si>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</si>
  <si>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</si>
  <si>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</si>
  <si>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</si>
  <si>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</si>
  <si>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</si>
  <si>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</si>
  <si>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</si>
  <si>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</si>
  <si>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</si>
  <si>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</si>
  <si>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</si>
  <si>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</si>
  <si>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</si>
  <si>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</si>
  <si>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</si>
  <si>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</si>
  <si>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</si>
  <si>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</si>
  <si>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</si>
  <si>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</si>
  <si>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</si>
  <si>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</si>
  <si>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</si>
  <si>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</si>
  <si>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</si>
  <si>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</si>
  <si>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</si>
  <si>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</si>
  <si>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</si>
  <si>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</si>
  <si>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</si>
  <si>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</si>
  <si>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</si>
  <si>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</si>
  <si>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</si>
  <si>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</si>
  <si>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</si>
  <si>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</si>
  <si>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</si>
  <si>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</si>
  <si>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</si>
  <si>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</si>
  <si>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</si>
  <si>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</si>
  <si>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</si>
  <si>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</si>
  <si>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</si>
  <si>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</si>
  <si>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</si>
  <si>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</si>
  <si>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</si>
  <si>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</si>
  <si>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</si>
  <si>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</si>
  <si>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</si>
  <si>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</si>
  <si>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</si>
  <si>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</si>
  <si>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</si>
  <si>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</si>
  <si>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</si>
  <si>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</si>
  <si>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</si>
  <si>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</si>
  <si>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</si>
  <si>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</si>
  <si>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</si>
  <si>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</si>
  <si>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</si>
  <si>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</si>
  <si>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</si>
  <si>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</si>
  <si>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</si>
  <si>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</si>
  <si>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</si>
  <si>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</si>
  <si>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</si>
  <si>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</si>
  <si>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</si>
  <si>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</si>
  <si>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</si>
  <si>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</si>
  <si>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</si>
  <si>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</si>
  <si>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</si>
  <si>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</si>
  <si>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</si>
  <si>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</si>
  <si>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</si>
  <si>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</si>
  <si>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</si>
  <si>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</si>
  <si>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</si>
  <si>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</si>
  <si>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</si>
  <si>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</si>
  <si>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</si>
  <si>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</si>
  <si>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</si>
  <si>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</si>
  <si>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</si>
  <si>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</si>
  <si>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</si>
  <si>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</si>
  <si>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</si>
  <si>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</si>
  <si>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</si>
  <si>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</si>
  <si>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</si>
  <si>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</si>
  <si>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</si>
  <si>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</si>
  <si>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</si>
  <si>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</si>
  <si>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</si>
  <si>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</si>
  <si>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</si>
  <si>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</si>
  <si>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</si>
  <si>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</si>
  <si>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</si>
  <si>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</si>
  <si>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</si>
  <si>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</si>
  <si>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</si>
  <si>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</si>
  <si>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</si>
  <si>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</si>
  <si>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</si>
  <si>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</si>
  <si>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</si>
  <si>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</si>
  <si>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</si>
  <si>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</si>
  <si>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</si>
  <si>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</si>
  <si>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</si>
  <si>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</si>
  <si>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</si>
  <si>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</si>
  <si>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</si>
  <si>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</si>
  <si>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</si>
  <si>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</si>
  <si>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</si>
  <si>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</si>
  <si>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</si>
  <si>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</si>
  <si>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</si>
  <si>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</si>
  <si>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</si>
  <si>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</si>
  <si>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</si>
  <si>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</si>
  <si>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</si>
  <si>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</si>
  <si>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</si>
  <si>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</si>
  <si>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</si>
  <si>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</si>
  <si>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</si>
  <si>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</si>
  <si>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</si>
  <si>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</si>
  <si>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</si>
  <si>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</si>
  <si>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</si>
  <si>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</si>
  <si>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</si>
  <si>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</si>
  <si>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</si>
  <si>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</si>
  <si>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</si>
  <si>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</si>
  <si>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</si>
  <si>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</si>
  <si>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</si>
  <si>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</si>
  <si>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</si>
  <si>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</si>
  <si>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</si>
  <si>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</si>
  <si>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</si>
  <si>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</si>
  <si>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</si>
  <si>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</si>
  <si>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</si>
  <si>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</si>
  <si>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</si>
  <si>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</si>
  <si>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</si>
  <si>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</si>
  <si>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</si>
  <si>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</si>
  <si>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</si>
  <si>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</si>
  <si>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</si>
  <si>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</si>
  <si>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</si>
  <si>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</si>
  <si>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</si>
  <si>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</si>
  <si>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</si>
  <si>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</si>
  <si>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</si>
  <si>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</si>
  <si>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</si>
  <si>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</si>
  <si>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</si>
  <si>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</si>
  <si>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</si>
  <si>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</si>
  <si>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</si>
  <si>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</si>
  <si>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</si>
  <si>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</si>
  <si>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</si>
  <si>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</si>
  <si>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</si>
  <si>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</si>
  <si>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</si>
  <si>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</si>
  <si>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</si>
  <si>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</si>
  <si>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</si>
  <si>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</si>
  <si>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</si>
  <si>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</si>
  <si>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</si>
  <si>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</si>
  <si>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</si>
  <si>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</si>
  <si>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</si>
  <si>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</si>
  <si>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</si>
  <si>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</si>
  <si>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</si>
  <si>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</si>
  <si>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</si>
  <si>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</si>
  <si>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</si>
  <si>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</si>
  <si>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</si>
  <si>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</si>
  <si>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</si>
  <si>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</si>
  <si>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</si>
  <si>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</si>
  <si>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</si>
  <si>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</si>
  <si>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</si>
  <si>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</si>
  <si>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</si>
  <si>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</si>
  <si>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</si>
  <si>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</si>
  <si>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</si>
  <si>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</si>
  <si>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</si>
  <si>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</si>
  <si>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</si>
  <si>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</si>
  <si>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</si>
  <si>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</si>
  <si>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</si>
  <si>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</si>
  <si>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</si>
  <si>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</si>
  <si>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</si>
  <si>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</si>
  <si>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</si>
  <si>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</si>
  <si>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</si>
  <si>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</si>
  <si>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</si>
  <si>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</si>
  <si>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</si>
  <si>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</si>
  <si>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</si>
  <si>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</si>
  <si>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</si>
  <si>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</si>
  <si>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</si>
  <si>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</si>
  <si>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</si>
  <si>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</si>
  <si>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</si>
  <si>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</si>
  <si>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</si>
  <si>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</si>
  <si>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</si>
  <si>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</si>
  <si>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</si>
  <si>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</si>
  <si>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</si>
  <si>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</si>
  <si>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</si>
  <si>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</si>
  <si>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</si>
  <si>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</si>
  <si>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</si>
  <si>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</si>
  <si>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</si>
  <si>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</si>
  <si>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</si>
  <si>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</si>
  <si>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</si>
  <si>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</si>
  <si>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</si>
  <si>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</si>
  <si>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</si>
  <si>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</si>
  <si>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</si>
  <si>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</si>
  <si>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</si>
  <si>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</si>
  <si>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</si>
  <si>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</si>
  <si>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</si>
  <si>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</si>
  <si>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</si>
  <si>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</si>
  <si>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</si>
  <si>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</si>
  <si>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</si>
  <si>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</si>
  <si>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</si>
  <si>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</si>
  <si>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</si>
  <si>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</si>
  <si>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</si>
  <si>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</si>
  <si>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</si>
  <si>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</si>
  <si>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</si>
  <si>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</si>
  <si>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</si>
  <si>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</si>
  <si>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</si>
  <si>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</si>
  <si>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</si>
  <si>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</si>
  <si>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</si>
  <si>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</si>
  <si>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</si>
  <si>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</si>
  <si>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</si>
  <si>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</si>
  <si>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</si>
  <si>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</si>
  <si>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</si>
  <si>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</si>
  <si>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</si>
  <si>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</si>
  <si>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</si>
  <si>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</si>
  <si>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</si>
  <si>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</si>
  <si>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</si>
  <si>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</si>
  <si>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</si>
  <si>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</si>
  <si>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</si>
  <si>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</si>
  <si>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</si>
  <si>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</si>
  <si>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</si>
  <si>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</si>
  <si>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</si>
  <si>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</si>
  <si>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</si>
  <si>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</si>
  <si>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</si>
  <si>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</si>
  <si>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</si>
  <si>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</si>
  <si>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</si>
  <si>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</si>
  <si>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</si>
  <si>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</si>
  <si>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</si>
  <si>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</si>
  <si>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</si>
  <si>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</si>
  <si>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</si>
  <si>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</si>
  <si>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</si>
  <si>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</si>
  <si>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</si>
  <si>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</si>
  <si>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</si>
  <si>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</si>
  <si>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</si>
  <si>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</si>
  <si>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</si>
  <si>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</si>
  <si>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</si>
  <si>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</si>
  <si>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</si>
  <si>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</si>
  <si>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</si>
  <si>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</si>
  <si>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</si>
  <si>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</si>
  <si>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</si>
  <si>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</si>
  <si>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</si>
  <si>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</si>
  <si>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</si>
  <si>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</si>
  <si>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</si>
  <si>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</si>
  <si>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</si>
  <si>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</si>
  <si>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</si>
  <si>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</si>
  <si>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</si>
  <si>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</si>
  <si>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</si>
  <si>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</si>
  <si>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</si>
  <si>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</si>
  <si>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</si>
  <si>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</si>
  <si>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</si>
  <si>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</si>
  <si>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</si>
  <si>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</si>
  <si>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</si>
  <si>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</si>
  <si>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</si>
  <si>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</si>
  <si>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</si>
  <si>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</si>
  <si>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</si>
  <si>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</si>
  <si>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</si>
  <si>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</si>
  <si>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</si>
  <si>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</si>
  <si>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</si>
  <si>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</si>
  <si>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</si>
  <si>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</si>
  <si>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</si>
  <si>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</si>
  <si>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</si>
  <si>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</si>
  <si>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</si>
  <si>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</si>
  <si>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</si>
  <si>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</si>
  <si>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</si>
  <si>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</si>
  <si>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</si>
  <si>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</si>
  <si>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</si>
  <si>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</si>
  <si>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</si>
  <si>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</si>
  <si>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</si>
  <si>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</si>
  <si>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</si>
  <si>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</si>
  <si>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</si>
  <si>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</si>
  <si>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</si>
  <si>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</si>
  <si>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</si>
  <si>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</si>
  <si>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</si>
  <si>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</si>
  <si>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</si>
  <si>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</si>
  <si>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</si>
  <si>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</si>
  <si>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</si>
  <si>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</si>
  <si>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</si>
  <si>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</si>
  <si>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</si>
  <si>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</si>
  <si>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</si>
  <si>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</si>
  <si>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</si>
  <si>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</si>
  <si>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</si>
  <si>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</si>
  <si>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</si>
  <si>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</si>
  <si>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</si>
  <si>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</si>
  <si>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</si>
  <si>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</si>
  <si>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</si>
  <si>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</si>
  <si>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</si>
  <si>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</si>
  <si>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</si>
  <si>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</si>
  <si>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</si>
  <si>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</si>
  <si>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</si>
  <si>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</si>
  <si>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</si>
  <si>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</si>
  <si>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</si>
  <si>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</si>
  <si>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</si>
  <si>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</si>
  <si>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</si>
  <si>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</si>
  <si>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</si>
  <si>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</si>
  <si>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</si>
  <si>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</si>
  <si>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</si>
  <si>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</si>
  <si>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</si>
  <si>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</si>
  <si>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</si>
  <si>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</si>
  <si>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</si>
  <si>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</si>
  <si>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</si>
  <si>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</si>
  <si>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</si>
  <si>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</si>
  <si>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</si>
  <si>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</si>
  <si>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</si>
  <si>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</si>
  <si>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</si>
  <si>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</si>
  <si>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</si>
  <si>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</si>
  <si>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</si>
  <si>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</si>
  <si>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</si>
  <si>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</si>
  <si>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</si>
  <si>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</si>
  <si>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</si>
  <si>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</si>
  <si>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</si>
  <si>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</si>
  <si>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</si>
  <si>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</si>
  <si>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</si>
  <si>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</si>
  <si>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</si>
  <si>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</si>
  <si>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</si>
  <si>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</si>
  <si>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</si>
  <si>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</si>
  <si>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</si>
  <si>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</si>
  <si>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</si>
  <si>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</si>
  <si>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</si>
  <si>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</si>
  <si>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</si>
  <si>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</si>
  <si>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</si>
  <si>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</si>
  <si>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</si>
  <si>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</si>
  <si>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</si>
  <si>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</si>
  <si>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</si>
  <si>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</si>
  <si>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</si>
  <si>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</si>
  <si>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</si>
  <si>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</si>
  <si>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</si>
  <si>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</si>
  <si>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</si>
  <si>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</si>
  <si>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</si>
  <si>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</si>
  <si>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</si>
  <si>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</si>
  <si>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</si>
  <si>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</si>
  <si>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</si>
  <si>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</si>
  <si>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</si>
  <si>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</si>
  <si>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</si>
  <si>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</si>
  <si>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</si>
  <si>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</si>
  <si>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</si>
  <si>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</si>
  <si>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</si>
  <si>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</si>
  <si>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</si>
  <si>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</si>
  <si>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</si>
  <si>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</si>
  <si>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</si>
  <si>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</si>
  <si>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</si>
  <si>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</si>
  <si>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</si>
  <si>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</si>
  <si>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</si>
  <si>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</si>
  <si>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</si>
  <si>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</si>
  <si>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</si>
  <si>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</si>
  <si>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</si>
  <si>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</si>
  <si>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</si>
  <si>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</si>
  <si>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</si>
  <si>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</si>
  <si>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</si>
  <si>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</si>
  <si>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</si>
  <si>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</si>
  <si>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</si>
  <si>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</si>
  <si>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</si>
  <si>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</si>
  <si>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</si>
  <si>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</si>
  <si>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</si>
  <si>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</si>
  <si>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</si>
  <si>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</si>
  <si>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</si>
  <si>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</si>
  <si>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</si>
  <si>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</si>
  <si>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</si>
  <si>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</si>
  <si>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</si>
  <si>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</si>
  <si>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</si>
  <si>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</si>
  <si>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</si>
  <si>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</si>
  <si>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</si>
  <si>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</si>
  <si>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</si>
  <si>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</si>
  <si>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</si>
  <si>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</si>
  <si>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</si>
  <si>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</si>
  <si>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</si>
  <si>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</si>
  <si>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</si>
  <si>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</si>
  <si>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</si>
  <si>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</si>
  <si>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</si>
  <si>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</si>
  <si>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</si>
  <si>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</si>
  <si>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</si>
  <si>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</si>
  <si>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</si>
  <si>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</si>
  <si>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</si>
  <si>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</si>
  <si>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</si>
  <si>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</si>
  <si>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</si>
  <si>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</si>
  <si>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</si>
  <si>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</si>
  <si>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</si>
  <si>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</si>
  <si>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</si>
  <si>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</si>
  <si>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</si>
  <si>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</si>
  <si>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</si>
  <si>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</si>
  <si>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</si>
  <si>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</si>
  <si>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</si>
  <si>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</si>
  <si>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</si>
  <si>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</si>
  <si>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</si>
  <si>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</si>
  <si>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</si>
  <si>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</si>
  <si>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</si>
  <si>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</si>
  <si>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</si>
  <si>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</si>
  <si>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</si>
  <si>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</si>
  <si>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</si>
  <si>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</si>
  <si>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</si>
  <si>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</si>
  <si>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</si>
  <si>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</si>
  <si>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</si>
  <si>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</si>
  <si>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</si>
  <si>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</si>
  <si>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</si>
  <si>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</si>
  <si>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</si>
  <si>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</si>
  <si>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</si>
  <si>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</si>
  <si>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</si>
  <si>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</si>
  <si>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</si>
  <si>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</si>
  <si>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</si>
  <si>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</si>
  <si>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</si>
  <si>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</si>
  <si>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</si>
  <si>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</si>
  <si>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</si>
  <si>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</si>
  <si>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</si>
  <si>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</si>
  <si>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</si>
  <si>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</si>
  <si>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</si>
  <si>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</si>
  <si>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</si>
  <si>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</si>
  <si>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</si>
  <si>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</si>
  <si>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</si>
  <si>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</si>
  <si>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</si>
  <si>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</si>
  <si>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</si>
  <si>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</si>
  <si>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</si>
  <si>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</si>
  <si>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</si>
  <si>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</si>
  <si>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</si>
  <si>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</si>
  <si>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</si>
  <si>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</si>
  <si>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</si>
  <si>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</si>
  <si>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</si>
  <si>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</si>
  <si>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</si>
  <si>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</si>
  <si>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</si>
  <si>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</si>
  <si>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</si>
  <si>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</si>
  <si>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</si>
  <si>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</si>
  <si>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</si>
  <si>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</si>
  <si>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</si>
  <si>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</si>
  <si>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</si>
  <si>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</si>
  <si>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</si>
  <si>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</si>
  <si>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</si>
  <si>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</si>
  <si>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</si>
  <si>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</si>
  <si>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</si>
  <si>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</si>
  <si>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</si>
  <si>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</si>
  <si>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</si>
  <si>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</si>
  <si>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</si>
  <si>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</si>
  <si>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</si>
  <si>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</si>
  <si>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</si>
  <si>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</si>
  <si>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</si>
  <si>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</si>
  <si>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</si>
  <si>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</si>
  <si>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</si>
  <si>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</si>
  <si>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</si>
  <si>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</si>
  <si>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</si>
  <si>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</si>
  <si>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</si>
  <si>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</si>
  <si>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</si>
  <si>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</si>
  <si>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</si>
  <si>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</si>
  <si>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</si>
  <si>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</si>
  <si>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</si>
  <si>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</si>
  <si>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</si>
  <si>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</si>
  <si>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</si>
  <si>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</si>
  <si>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</si>
  <si>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</si>
  <si>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</si>
  <si>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</si>
  <si>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</si>
  <si>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</si>
  <si>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</si>
  <si>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</si>
  <si>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</si>
  <si>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</si>
  <si>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</si>
  <si>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</si>
  <si>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</si>
  <si>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</si>
  <si>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</si>
  <si>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</si>
  <si>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</si>
  <si>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</si>
  <si>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</si>
  <si>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</si>
  <si>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</si>
  <si>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</si>
  <si>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</si>
  <si>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</si>
  <si>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</si>
  <si>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</si>
  <si>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</si>
  <si>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</si>
  <si>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</si>
  <si>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</si>
  <si>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</si>
  <si>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</si>
  <si>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</si>
  <si>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</si>
  <si>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</si>
  <si>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</si>
  <si>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</si>
  <si>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</si>
  <si>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</si>
  <si>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</si>
  <si>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</si>
  <si>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</si>
  <si>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</si>
  <si>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</si>
  <si>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</si>
  <si>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</si>
  <si>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</si>
  <si>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</si>
  <si>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</si>
  <si>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</si>
  <si>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</si>
  <si>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</si>
  <si>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</si>
  <si>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</si>
  <si>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</si>
  <si>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</si>
  <si>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</si>
  <si>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</si>
  <si>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</si>
  <si>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</si>
  <si>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</si>
  <si>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</si>
  <si>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</si>
  <si>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</si>
  <si>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</si>
  <si>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</si>
  <si>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</si>
  <si>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</si>
  <si>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</si>
  <si>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</si>
  <si>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</si>
  <si>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</si>
  <si>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</si>
  <si>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</si>
  <si>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</si>
  <si>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</si>
  <si>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</si>
  <si>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</si>
  <si>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</si>
  <si>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</si>
  <si>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</si>
  <si>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</si>
  <si>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</si>
  <si>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</si>
  <si>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</si>
  <si>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</si>
  <si>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</si>
  <si>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</si>
  <si>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</si>
  <si>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</si>
  <si>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</si>
  <si>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</si>
  <si>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</si>
  <si>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</si>
  <si>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</si>
  <si>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</si>
  <si>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</si>
  <si>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</si>
  <si>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</si>
  <si>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</si>
  <si>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</si>
  <si>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</si>
  <si>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</si>
  <si>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</si>
  <si>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</si>
  <si>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</si>
  <si>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</si>
  <si>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</si>
  <si>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</si>
  <si>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</si>
  <si>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</si>
  <si>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</si>
  <si>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</si>
  <si>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</si>
  <si>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</si>
  <si>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</si>
  <si>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</si>
  <si>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</si>
  <si>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</si>
  <si>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</si>
  <si>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</si>
  <si>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</si>
  <si>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</si>
  <si>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</si>
  <si>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</si>
  <si>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</si>
  <si>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</si>
  <si>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</si>
  <si>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</si>
  <si>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</si>
  <si>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</si>
  <si>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</si>
  <si>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</si>
  <si>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</si>
  <si>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</si>
  <si>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</si>
  <si>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</si>
  <si>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</si>
  <si>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</si>
  <si>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</si>
  <si>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</si>
  <si>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</si>
  <si>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</si>
  <si>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</si>
  <si>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</si>
  <si>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</si>
  <si>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</si>
  <si>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</si>
  <si>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</si>
  <si>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</si>
  <si>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</si>
  <si>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</si>
  <si>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</si>
  <si>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</si>
  <si>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</si>
  <si>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</si>
  <si>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</si>
  <si>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</si>
  <si>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</si>
  <si>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</si>
  <si>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</si>
  <si>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</si>
  <si>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</si>
  <si>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</si>
  <si>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</si>
  <si>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</si>
  <si>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</si>
  <si>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</si>
  <si>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</si>
  <si>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</si>
  <si>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</si>
  <si>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</si>
  <si>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</si>
  <si>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</si>
  <si>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</si>
  <si>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</si>
  <si>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</si>
  <si>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</si>
  <si>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</si>
  <si>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</si>
  <si>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</si>
  <si>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</si>
  <si>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</si>
  <si>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</si>
  <si>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</si>
  <si>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</si>
  <si>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</si>
  <si>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</si>
  <si>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</si>
  <si>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</si>
  <si>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</si>
  <si>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</si>
  <si>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</si>
  <si>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</si>
  <si>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</si>
  <si>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</si>
  <si>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</si>
  <si>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</si>
  <si>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</si>
  <si>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</si>
  <si>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</si>
  <si>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</si>
  <si>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</si>
  <si>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</si>
  <si>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</si>
  <si>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</si>
  <si>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</si>
  <si>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</si>
  <si>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</si>
  <si>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</si>
  <si>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</si>
  <si>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</si>
  <si>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</si>
  <si>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</si>
  <si>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</si>
  <si>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</si>
  <si>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</si>
  <si>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</si>
  <si>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</si>
  <si>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</si>
  <si>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</si>
  <si>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</si>
  <si>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</si>
  <si>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</si>
  <si>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</si>
  <si>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</si>
  <si>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</si>
  <si>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</si>
  <si>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</si>
  <si>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</si>
  <si>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</si>
  <si>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</si>
  <si>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</si>
  <si>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</si>
  <si>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</si>
  <si>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</si>
  <si>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</si>
  <si>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</si>
  <si>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</si>
  <si>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</si>
  <si>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</si>
  <si>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</si>
  <si>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</si>
  <si>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</si>
  <si>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</si>
  <si>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</si>
  <si>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</si>
  <si>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</si>
  <si>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</si>
  <si>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</si>
  <si>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</si>
  <si>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</si>
  <si>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</si>
  <si>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</si>
  <si>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</si>
  <si>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</si>
  <si>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</si>
  <si>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</si>
  <si>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</si>
  <si>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</si>
  <si>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</si>
  <si>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</si>
  <si>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</si>
  <si>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</si>
  <si>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</si>
  <si>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</si>
  <si>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</si>
  <si>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</si>
  <si>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</si>
  <si>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</si>
  <si>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</si>
  <si>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</si>
  <si>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</si>
  <si>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</si>
  <si>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</si>
  <si>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</si>
  <si>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</si>
  <si>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</si>
  <si>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</si>
  <si>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</si>
  <si>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</si>
  <si>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</si>
  <si>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</si>
  <si>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</si>
  <si>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</si>
  <si>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</si>
  <si>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</si>
  <si>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</si>
  <si>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</si>
  <si>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</si>
  <si>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</si>
  <si>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</si>
  <si>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</si>
  <si>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</si>
  <si>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</si>
  <si>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</si>
  <si>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</si>
  <si>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</si>
  <si>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</si>
  <si>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</si>
  <si>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</si>
  <si>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</si>
  <si>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</si>
  <si>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</si>
  <si>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</si>
  <si>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</si>
  <si>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</si>
  <si>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</si>
  <si>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</si>
  <si>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</si>
  <si>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</si>
  <si>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</si>
  <si>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</si>
  <si>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</si>
  <si>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</si>
  <si>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</si>
  <si>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</si>
  <si>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</si>
  <si>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</si>
  <si>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</si>
  <si>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</si>
  <si>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</si>
  <si>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</si>
  <si>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</si>
  <si>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</si>
  <si>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</si>
  <si>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</si>
  <si>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</si>
  <si>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</si>
  <si>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</si>
  <si>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</si>
  <si>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</si>
  <si>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</si>
  <si>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</si>
  <si>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</si>
  <si>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</si>
  <si>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</si>
  <si>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</si>
  <si>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</si>
  <si>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</si>
  <si>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</si>
  <si>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</si>
  <si>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</si>
  <si>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</si>
  <si>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</si>
  <si>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</si>
  <si>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</si>
  <si>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</si>
  <si>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</si>
  <si>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</si>
  <si>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</si>
  <si>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</si>
  <si>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</si>
  <si>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</si>
  <si>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</si>
  <si>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</si>
  <si>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</si>
  <si>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</si>
  <si>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</si>
  <si>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</si>
  <si>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</si>
  <si>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</si>
  <si>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</si>
  <si>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</si>
  <si>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</si>
  <si>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</si>
  <si>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</si>
  <si>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</si>
  <si>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</si>
  <si>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</si>
  <si>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</si>
  <si>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</si>
  <si>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</si>
  <si>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</si>
  <si>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</si>
  <si>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</si>
  <si>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</si>
  <si>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</si>
  <si>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</si>
  <si>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</si>
  <si>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</si>
  <si>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</si>
  <si>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</si>
  <si>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</si>
  <si>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</si>
  <si>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</si>
  <si>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</si>
  <si>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</si>
  <si>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</si>
  <si>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</si>
  <si>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</si>
  <si>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</si>
  <si>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</si>
  <si>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</si>
  <si>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</si>
  <si>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</si>
  <si>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</si>
  <si>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</si>
  <si>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</si>
  <si>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</si>
  <si>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</si>
  <si>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</si>
  <si>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</si>
  <si>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</si>
  <si>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</si>
  <si>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</si>
  <si>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</si>
  <si>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</si>
  <si>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</si>
  <si>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</si>
  <si>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</si>
  <si>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</si>
  <si>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</si>
  <si>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</si>
  <si>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</si>
  <si>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</si>
  <si>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</si>
  <si>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</si>
  <si>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</si>
  <si>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</si>
  <si>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</si>
  <si>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</si>
  <si>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</si>
  <si>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</si>
  <si>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</si>
  <si>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</si>
  <si>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</si>
  <si>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</si>
  <si>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</si>
  <si>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</si>
  <si>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</si>
  <si>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</si>
  <si>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</si>
  <si>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</si>
  <si>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</si>
  <si>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</si>
  <si>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</si>
  <si>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</si>
  <si>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</si>
  <si>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</si>
  <si>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</si>
  <si>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</si>
  <si>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</si>
  <si>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</si>
  <si>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</si>
  <si>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</si>
  <si>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</si>
  <si>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</si>
  <si>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</si>
  <si>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</si>
  <si>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</si>
  <si>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</si>
  <si>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</si>
  <si>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</si>
  <si>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</si>
  <si>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</si>
  <si>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</si>
  <si>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</si>
  <si>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</si>
  <si>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</si>
  <si>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</si>
  <si>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</si>
  <si>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</si>
  <si>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</si>
  <si>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</si>
  <si>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</si>
  <si>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</si>
  <si>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</si>
  <si>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</si>
  <si>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</si>
  <si>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</si>
  <si>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</si>
  <si>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</si>
  <si>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</si>
  <si>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</si>
  <si>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</si>
  <si>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</si>
  <si>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</si>
  <si>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</si>
  <si>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</si>
  <si>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</si>
  <si>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</si>
  <si>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</si>
  <si>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</si>
  <si>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</si>
  <si>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</si>
  <si>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r>
      <rPr>
        <sz val="10"/>
        <color theme="9" tint="-0.249977111117893"/>
        <rFont val="宋体"/>
        <family val="3"/>
        <charset val="134"/>
      </rPr>
      <t>东城区朝阳门北大街</t>
    </r>
    <r>
      <rPr>
        <sz val="10"/>
        <color theme="9" tint="-0.249977111117893"/>
        <rFont val="Arial"/>
        <family val="2"/>
      </rPr>
      <t>8</t>
    </r>
    <r>
      <rPr>
        <sz val="10"/>
        <color theme="9" tint="-0.249977111117893"/>
        <rFont val="宋体"/>
        <family val="3"/>
        <charset val="134"/>
      </rPr>
      <t>号</t>
    </r>
    <phoneticPr fontId="7" type="noConversion"/>
  </si>
  <si>
    <t>北京铜牛集团有限公司</t>
    <phoneticPr fontId="7" type="noConversion"/>
  </si>
  <si>
    <t>写字楼</t>
  </si>
  <si>
    <t>写字楼</t>
    <phoneticPr fontId="7" type="noConversion"/>
  </si>
  <si>
    <t>是</t>
  </si>
  <si>
    <t>否</t>
  </si>
  <si>
    <t>北京农商银行总行东城支行</t>
    <phoneticPr fontId="7" type="noConversion"/>
  </si>
  <si>
    <t>办公项目</t>
  </si>
  <si>
    <t>现房</t>
  </si>
  <si>
    <t>楼号或幢号</t>
    <phoneticPr fontId="135" type="noConversion"/>
  </si>
  <si>
    <t>层数</t>
    <phoneticPr fontId="135" type="noConversion"/>
  </si>
  <si>
    <t>部位及房号</t>
    <phoneticPr fontId="135" type="noConversion"/>
  </si>
  <si>
    <r>
      <t>一层2</t>
    </r>
    <r>
      <rPr>
        <sz val="11"/>
        <color theme="1"/>
        <rFont val="宋体"/>
        <family val="3"/>
        <charset val="134"/>
        <scheme val="minor"/>
      </rPr>
      <t>-3</t>
    </r>
    <phoneticPr fontId="135" type="noConversion"/>
  </si>
  <si>
    <r>
      <t>二层2</t>
    </r>
    <r>
      <rPr>
        <sz val="11"/>
        <color theme="1"/>
        <rFont val="宋体"/>
        <family val="3"/>
        <charset val="134"/>
        <scheme val="minor"/>
      </rPr>
      <t>-6</t>
    </r>
    <phoneticPr fontId="135" type="noConversion"/>
  </si>
  <si>
    <t>三层2-8</t>
    <phoneticPr fontId="135" type="noConversion"/>
  </si>
  <si>
    <t>四层2-10</t>
    <phoneticPr fontId="135" type="noConversion"/>
  </si>
  <si>
    <t>五-六层2-12</t>
    <phoneticPr fontId="135" type="noConversion"/>
  </si>
  <si>
    <t>八层2-14</t>
    <phoneticPr fontId="135" type="noConversion"/>
  </si>
  <si>
    <t>地下一层7-2</t>
    <phoneticPr fontId="135" type="noConversion"/>
  </si>
  <si>
    <t>地下二层7-4</t>
    <phoneticPr fontId="135" type="noConversion"/>
  </si>
  <si>
    <t>地下三层7-6</t>
    <phoneticPr fontId="135" type="noConversion"/>
  </si>
  <si>
    <t>结构</t>
    <phoneticPr fontId="135" type="noConversion"/>
  </si>
  <si>
    <t>建成年份</t>
    <phoneticPr fontId="135" type="noConversion"/>
  </si>
  <si>
    <t>九五</t>
    <phoneticPr fontId="135" type="noConversion"/>
  </si>
  <si>
    <t>钢筋</t>
    <phoneticPr fontId="135" type="noConversion"/>
  </si>
  <si>
    <t>建筑面积</t>
    <phoneticPr fontId="135" type="noConversion"/>
  </si>
  <si>
    <t>地上面积</t>
    <phoneticPr fontId="135" type="noConversion"/>
  </si>
  <si>
    <t>地下面积</t>
    <phoneticPr fontId="135" type="noConversion"/>
  </si>
  <si>
    <t>办公面积合计</t>
    <phoneticPr fontId="135" type="noConversion"/>
  </si>
  <si>
    <t>写字楼</t>
    <phoneticPr fontId="135" type="noConversion"/>
  </si>
  <si>
    <t>证载用途</t>
    <phoneticPr fontId="135" type="noConversion"/>
  </si>
  <si>
    <t>现状用途</t>
    <phoneticPr fontId="135" type="noConversion"/>
  </si>
  <si>
    <t>商业</t>
    <phoneticPr fontId="135" type="noConversion"/>
  </si>
  <si>
    <t>歌厅</t>
    <phoneticPr fontId="135" type="noConversion"/>
  </si>
  <si>
    <t>办公、停车场</t>
    <phoneticPr fontId="135" type="noConversion"/>
  </si>
  <si>
    <t>库房</t>
    <phoneticPr fontId="135" type="noConversion"/>
  </si>
  <si>
    <t>商务金融用地</t>
  </si>
  <si>
    <t>估价对象容积率</t>
  </si>
  <si>
    <t>地上</t>
  </si>
  <si>
    <t>地下</t>
  </si>
  <si>
    <t>与级别开发程度不一致</t>
  </si>
  <si>
    <t>通路</t>
  </si>
  <si>
    <t>通电</t>
  </si>
  <si>
    <t>通讯</t>
  </si>
  <si>
    <t>通上水</t>
  </si>
  <si>
    <t>通下水</t>
  </si>
  <si>
    <t>平整</t>
  </si>
  <si>
    <t>较好</t>
  </si>
  <si>
    <t>好</t>
  </si>
  <si>
    <t>不临65条商业街</t>
  </si>
  <si>
    <t>成新度</t>
  </si>
  <si>
    <t>建成年代</t>
    <phoneticPr fontId="4" type="noConversion"/>
  </si>
  <si>
    <t>证载</t>
    <phoneticPr fontId="4" type="noConversion"/>
  </si>
  <si>
    <t>直线</t>
    <phoneticPr fontId="4" type="noConversion"/>
  </si>
  <si>
    <t>观察</t>
    <phoneticPr fontId="4" type="noConversion"/>
  </si>
  <si>
    <t>综合</t>
    <phoneticPr fontId="4" type="noConversion"/>
  </si>
  <si>
    <t>朝阳门街道</t>
    <phoneticPr fontId="4" type="noConversion"/>
  </si>
  <si>
    <t>办公</t>
    <phoneticPr fontId="8" type="noConversion"/>
  </si>
  <si>
    <t>收益法</t>
  </si>
  <si>
    <t>未包含在土地购买价格中</t>
  </si>
  <si>
    <t>已包含在土地取得成本中</t>
  </si>
  <si>
    <t>押一</t>
  </si>
  <si>
    <t>钢混</t>
  </si>
  <si>
    <t>非生产用房</t>
  </si>
  <si>
    <t>物业出租</t>
    <phoneticPr fontId="4" type="noConversion"/>
  </si>
  <si>
    <t>全含</t>
    <phoneticPr fontId="4" type="noConversion"/>
  </si>
  <si>
    <t>物业费</t>
    <phoneticPr fontId="4" type="noConversion"/>
  </si>
  <si>
    <r>
      <t>租金金额不等，6</t>
    </r>
    <r>
      <rPr>
        <sz val="11"/>
        <color theme="1"/>
        <rFont val="宋体"/>
        <family val="3"/>
        <charset val="134"/>
        <scheme val="minor"/>
      </rPr>
      <t>-7元为开发商出租，国企</t>
    </r>
    <phoneticPr fontId="135" type="noConversion"/>
  </si>
  <si>
    <t>3块左右的为公司产权，价格可谈</t>
    <phoneticPr fontId="135" type="noConversion"/>
  </si>
  <si>
    <t>租金内涵都是全含，含物业取暖，含票</t>
    <phoneticPr fontId="135" type="noConversion"/>
  </si>
  <si>
    <t>链家问询</t>
    <phoneticPr fontId="4" type="noConversion"/>
  </si>
  <si>
    <t>公司产权</t>
    <phoneticPr fontId="4" type="noConversion"/>
  </si>
  <si>
    <t>综合确定地上办公租金</t>
    <phoneticPr fontId="4" type="noConversion"/>
  </si>
  <si>
    <t>面积</t>
    <phoneticPr fontId="4" type="noConversion"/>
  </si>
  <si>
    <t>地下办公</t>
    <phoneticPr fontId="4" type="noConversion"/>
  </si>
  <si>
    <t>地下车库</t>
    <phoneticPr fontId="4" type="noConversion"/>
  </si>
  <si>
    <t>地下停车</t>
    <phoneticPr fontId="4" type="noConversion"/>
  </si>
  <si>
    <r>
      <rPr>
        <sz val="10"/>
        <color indexed="8"/>
        <rFont val="宋体"/>
        <family val="3"/>
        <charset val="134"/>
      </rPr>
      <t>元</t>
    </r>
    <r>
      <rPr>
        <sz val="10"/>
        <color indexed="8"/>
        <rFont val="Arial"/>
        <family val="2"/>
      </rPr>
      <t>/</t>
    </r>
    <r>
      <rPr>
        <sz val="10"/>
        <color indexed="8"/>
        <rFont val="宋体"/>
        <family val="3"/>
        <charset val="134"/>
      </rPr>
      <t>月</t>
    </r>
    <phoneticPr fontId="4" type="noConversion"/>
  </si>
  <si>
    <t>序号</t>
  </si>
  <si>
    <t>承租方
名称/姓名</t>
  </si>
  <si>
    <t>付款方式</t>
  </si>
  <si>
    <t>租赁位置</t>
  </si>
  <si>
    <t>租赁面积</t>
  </si>
  <si>
    <t>租金标准
(年)</t>
  </si>
  <si>
    <t>租金水平
(元/平方米*天)</t>
  </si>
  <si>
    <t>租金递增约定</t>
  </si>
  <si>
    <t>租赁合同
起止时间</t>
  </si>
  <si>
    <t>承租方名称</t>
  </si>
  <si>
    <t>押X付X</t>
  </si>
  <si>
    <t>房号</t>
  </si>
  <si>
    <t>㎡</t>
  </si>
  <si>
    <t>年租金</t>
  </si>
  <si>
    <t>租金单价</t>
  </si>
  <si>
    <t>递增比例</t>
  </si>
  <si>
    <t>递增日期</t>
  </si>
  <si>
    <t>XXXX.X.XX-XXXX.X.XX</t>
  </si>
  <si>
    <t>北京富华名赫餐饮娱乐有限公司</t>
  </si>
  <si>
    <t>押2付2</t>
  </si>
  <si>
    <t>B1</t>
  </si>
  <si>
    <t>2023.11.16-2028.11.15</t>
  </si>
  <si>
    <t>北京罗松商贸有限公司</t>
  </si>
  <si>
    <t>押3付3</t>
  </si>
  <si>
    <t>1B</t>
  </si>
  <si>
    <t>2024.6.1</t>
  </si>
  <si>
    <t>2020.7.1-2025.6.30</t>
  </si>
  <si>
    <t>中信银行股份有限公司</t>
  </si>
  <si>
    <t>押0付3</t>
  </si>
  <si>
    <t>1C</t>
  </si>
  <si>
    <t>2021.6.1-2026.5.31</t>
  </si>
  <si>
    <t>北京科景凯新测试技术有限公司</t>
  </si>
  <si>
    <t>押3付1</t>
  </si>
  <si>
    <t>2A-2</t>
  </si>
  <si>
    <t>2025.1.1</t>
  </si>
  <si>
    <t>2023.1.1-2027.12.31</t>
  </si>
  <si>
    <t>特易得（北京）人力资源管理有限公司</t>
  </si>
  <si>
    <t>2A-3</t>
  </si>
  <si>
    <t>2025.1.1-2026.12.31</t>
  </si>
  <si>
    <t>北京博达汇金企业管理有限公司</t>
  </si>
  <si>
    <t>2A-4</t>
  </si>
  <si>
    <t>北京中友永信企业管理有限公司</t>
  </si>
  <si>
    <t>2A-5</t>
  </si>
  <si>
    <t>浙商证券股份有限公司</t>
  </si>
  <si>
    <t>押3付6</t>
  </si>
  <si>
    <t>2B</t>
  </si>
  <si>
    <t>2026.5.5</t>
  </si>
  <si>
    <t>2014.5.5-2027.5.4</t>
  </si>
  <si>
    <t>北京市中友律师事务所</t>
  </si>
  <si>
    <t>2C-1</t>
  </si>
  <si>
    <t>2025.1.1-2026.12.33</t>
  </si>
  <si>
    <t>中友蓝蜂（北京）管理咨询有限公司</t>
  </si>
  <si>
    <t>2C-2</t>
  </si>
  <si>
    <t>2026.1.1</t>
  </si>
  <si>
    <t>2024.1.1-2026.12.31</t>
  </si>
  <si>
    <t>北京印彩领航图文快印有限公司</t>
  </si>
  <si>
    <t>押2付3</t>
  </si>
  <si>
    <t>2D</t>
  </si>
  <si>
    <t>2023.12.6-2028.12.5</t>
  </si>
  <si>
    <t>北京市东卫律师事务所</t>
  </si>
  <si>
    <t>押2付1</t>
  </si>
  <si>
    <t>3Abcd</t>
  </si>
  <si>
    <t>2024.7.1-2026.6.30</t>
  </si>
  <si>
    <t> 北京通顺信达汽车租赁有限公司 </t>
  </si>
  <si>
    <t>4A-1-2</t>
  </si>
  <si>
    <t>2024.6.10-2026.6.9</t>
  </si>
  <si>
    <t>北京财富友邦国际教育科技有限公司</t>
  </si>
  <si>
    <t>4A-3</t>
  </si>
  <si>
    <t>北京安吉瑞得矿业技术有限公司</t>
  </si>
  <si>
    <t>4A南</t>
  </si>
  <si>
    <t>2023.11.7-2025.11.6</t>
  </si>
  <si>
    <t>北京希肯琵雅国际文化发展股份有限公司</t>
  </si>
  <si>
    <t>4B-1</t>
  </si>
  <si>
    <t>2024.3.15</t>
  </si>
  <si>
    <t>2022.3.15-2026.3.14</t>
  </si>
  <si>
    <t>仙童国际戏剧文化（北京）有限公司</t>
  </si>
  <si>
    <t>4B-2</t>
  </si>
  <si>
    <t>北京售放传媒广告有限公司</t>
  </si>
  <si>
    <t>4B-3</t>
  </si>
  <si>
    <t>北京希肯国际文化艺术有限公司</t>
  </si>
  <si>
    <t>4B-4</t>
  </si>
  <si>
    <t>康戴里贸易（上海）有限公司北京分公司</t>
  </si>
  <si>
    <t>4C</t>
  </si>
  <si>
    <t>2024.9.15</t>
  </si>
  <si>
    <t>2022.9.15-2026.9.14</t>
  </si>
  <si>
    <t>5A、5B、5D</t>
  </si>
  <si>
    <t>3%%</t>
  </si>
  <si>
    <t>2025.5.10</t>
  </si>
  <si>
    <t>2022.5.10-2027.5.9</t>
  </si>
  <si>
    <t>上海华诚知识产权代理有限公司</t>
  </si>
  <si>
    <t>5C</t>
  </si>
  <si>
    <t>2027.2.1</t>
  </si>
  <si>
    <t>2024.2.1-2029.1.31</t>
  </si>
  <si>
    <t>帕萨旺洛蒂格能源环境技术（北京）有限公司</t>
  </si>
  <si>
    <t>6E</t>
  </si>
  <si>
    <t>2024.7.1-2025.6.30</t>
  </si>
  <si>
    <t>6B</t>
  </si>
  <si>
    <t>2024.5.15</t>
  </si>
  <si>
    <t>2021.5.15-2026.5.14</t>
  </si>
  <si>
    <t>6C</t>
  </si>
  <si>
    <t>2022.6.1-2026.5.31</t>
  </si>
  <si>
    <t>6D</t>
  </si>
  <si>
    <t>2025.6.1</t>
  </si>
  <si>
    <t>2023.6.1-2027.5.31</t>
  </si>
  <si>
    <t>徕卡测量系统贸易（北京）有限公司</t>
  </si>
  <si>
    <t>6F</t>
  </si>
  <si>
    <t>2023.8.19</t>
  </si>
  <si>
    <t>2020.8.19-2025.8.18</t>
  </si>
  <si>
    <t>中国电信股份有限公司北京分公司</t>
  </si>
  <si>
    <t>押0付12</t>
  </si>
  <si>
    <t>B2</t>
  </si>
  <si>
    <t>2024.5.8-2029.5.7</t>
  </si>
  <si>
    <t>B2-2</t>
  </si>
  <si>
    <t>2024.4.15-2026.4.14</t>
  </si>
  <si>
    <t>B3-1</t>
  </si>
  <si>
    <t>2024.6.15-2025.6.14</t>
  </si>
  <si>
    <t>中保华安（上海）保安服务有限公司北京分公司</t>
  </si>
  <si>
    <t>B3-5</t>
  </si>
  <si>
    <t>2024.10.1-2026.9.30</t>
  </si>
  <si>
    <t>中和资产评估有限公司</t>
  </si>
  <si>
    <t>B3-6-8</t>
  </si>
  <si>
    <t>B3-9</t>
  </si>
  <si>
    <t>2023.6.1-2025.5.31</t>
  </si>
  <si>
    <t>B3-10-12</t>
  </si>
  <si>
    <t>2023.8.1.-2025.5.31</t>
  </si>
  <si>
    <t>胡雨晴</t>
  </si>
  <si>
    <t>大堂-2</t>
  </si>
  <si>
    <t>2023.6.1-2026.5.31</t>
  </si>
  <si>
    <t>北京竞阅教育科技有限公司</t>
  </si>
  <si>
    <t>6A</t>
  </si>
  <si>
    <t>2025.8.15</t>
  </si>
  <si>
    <t>2023.8.15-2026.8.14</t>
  </si>
  <si>
    <t>北京丽之颜美容有限公司</t>
  </si>
  <si>
    <t>8G-1</t>
  </si>
  <si>
    <t>2025.10.1</t>
  </si>
  <si>
    <t>2023.10.1-2026.9.31</t>
  </si>
  <si>
    <t>北京鸿运锦鲤科技有限公司</t>
  </si>
  <si>
    <t>4D</t>
  </si>
  <si>
    <t>2024.6.15-2026.6.14</t>
  </si>
  <si>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</si>
  <si>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</si>
  <si>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</si>
  <si>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</si>
  <si>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</si>
  <si>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</si>
  <si>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</si>
  <si>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</si>
  <si>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</si>
  <si>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</si>
  <si>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</si>
  <si>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</si>
  <si>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</si>
  <si>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</si>
  <si>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</si>
  <si>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</si>
  <si>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</si>
  <si>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</si>
  <si>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</si>
  <si>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</si>
  <si>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</si>
  <si>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</si>
  <si>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</si>
  <si>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</si>
  <si>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</si>
  <si>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</si>
  <si>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</si>
  <si>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</si>
  <si>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</si>
  <si>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</si>
  <si>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</si>
  <si>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</si>
  <si>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</si>
  <si>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</si>
  <si>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</si>
  <si>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</si>
  <si>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</si>
  <si>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</si>
  <si>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</si>
  <si>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</si>
  <si>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</si>
  <si>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</si>
  <si>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</si>
  <si>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</si>
  <si>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</si>
  <si>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</si>
  <si>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</si>
  <si>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</si>
  <si>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</si>
  <si>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</si>
  <si>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</si>
  <si>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</si>
  <si>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</si>
  <si>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</si>
  <si>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</si>
  <si>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</si>
  <si>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</si>
  <si>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</si>
  <si>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</si>
  <si>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</si>
  <si>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</si>
  <si>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</si>
  <si>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</si>
  <si>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</si>
  <si>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</si>
  <si>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</si>
  <si>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</si>
  <si>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</si>
  <si>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</si>
  <si>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</si>
  <si>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</si>
  <si>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</si>
  <si>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</si>
  <si>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</si>
  <si>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</si>
  <si>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</si>
  <si>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</si>
  <si>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</si>
  <si>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</si>
  <si>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</si>
  <si>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</si>
  <si>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</si>
  <si>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</si>
  <si>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</si>
  <si>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</si>
  <si>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</si>
  <si>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</si>
  <si>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</si>
  <si>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</si>
  <si>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</si>
  <si>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</si>
  <si>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</si>
  <si>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</si>
  <si>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</si>
  <si>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</si>
  <si>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</si>
  <si>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</si>
  <si>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</si>
  <si>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</si>
  <si>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</si>
  <si>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</si>
  <si>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</si>
  <si>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</si>
  <si>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</si>
  <si>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</si>
  <si>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</si>
  <si>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</si>
  <si>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</si>
  <si>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</si>
  <si>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</si>
  <si>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</si>
  <si>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</si>
  <si>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</si>
  <si>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</si>
  <si>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</si>
  <si>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</si>
  <si>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</si>
  <si>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</si>
  <si>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</si>
  <si>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</si>
  <si>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</si>
  <si>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</si>
  <si>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</si>
  <si>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</si>
  <si>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</si>
  <si>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</si>
  <si>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</si>
  <si>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</si>
  <si>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</si>
  <si>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</si>
  <si>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</si>
  <si>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</si>
  <si>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</si>
  <si>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</si>
  <si>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</si>
  <si>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</si>
  <si>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</si>
  <si>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</si>
  <si>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</si>
  <si>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</si>
  <si>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</si>
  <si>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</si>
  <si>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</si>
  <si>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</si>
  <si>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</si>
  <si>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</si>
  <si>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</si>
  <si>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</si>
  <si>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</si>
  <si>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</si>
  <si>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</si>
  <si>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</si>
  <si>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</si>
  <si>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</si>
  <si>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</si>
  <si>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</si>
  <si>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</si>
  <si>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</si>
  <si>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</si>
  <si>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</si>
  <si>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</si>
  <si>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</si>
  <si>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</si>
  <si>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</si>
  <si>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</si>
  <si>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</si>
  <si>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</si>
  <si>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</si>
  <si>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</si>
  <si>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</si>
  <si>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</si>
  <si>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</si>
  <si>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</si>
  <si>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</si>
  <si>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</si>
  <si>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</si>
  <si>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</si>
  <si>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</si>
  <si>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</si>
  <si>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</si>
  <si>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</si>
  <si>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</si>
  <si>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</si>
  <si>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</si>
  <si>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</si>
  <si>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</si>
  <si>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</si>
  <si>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</si>
  <si>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</si>
  <si>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</si>
  <si>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</si>
  <si>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</si>
  <si>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</si>
  <si>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</si>
  <si>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</si>
  <si>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</si>
  <si>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</si>
  <si>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</si>
  <si>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</si>
  <si>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</si>
  <si>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</si>
  <si>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</si>
  <si>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</si>
  <si>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</si>
  <si>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</si>
  <si>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</si>
  <si>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</si>
  <si>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</si>
  <si>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</si>
  <si>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</si>
  <si>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</si>
  <si>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</si>
  <si>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</si>
  <si>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</si>
  <si>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</si>
  <si>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</si>
  <si>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</si>
  <si>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</si>
  <si>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</si>
  <si>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</si>
  <si>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</si>
  <si>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</si>
  <si>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</si>
  <si>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</si>
  <si>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</si>
  <si>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</si>
  <si>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</si>
  <si>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</si>
  <si>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</si>
  <si>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</si>
  <si>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</si>
  <si>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</si>
  <si>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</si>
  <si>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</si>
  <si>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</si>
  <si>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</si>
  <si>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</si>
  <si>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</si>
  <si>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</si>
  <si>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</si>
  <si>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</si>
  <si>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</si>
  <si>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</si>
  <si>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</si>
  <si>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</si>
  <si>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</si>
  <si>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</si>
  <si>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</si>
  <si>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</si>
  <si>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</si>
  <si>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</si>
  <si>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</si>
  <si>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</si>
  <si>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</si>
  <si>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</si>
  <si>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</si>
  <si>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</si>
  <si>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</si>
  <si>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</si>
  <si>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</si>
  <si>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3号楼</t>
  </si>
  <si>
    <t>现：京(2019)丰不动产权第0030189号</t>
  </si>
  <si>
    <t>其他</t>
  </si>
  <si>
    <t>B2070</t>
  </si>
  <si>
    <t>车库/车位</t>
  </si>
  <si>
    <t>B2078</t>
  </si>
  <si>
    <t>B2069</t>
  </si>
  <si>
    <t>B2068</t>
  </si>
  <si>
    <t>B2080</t>
  </si>
  <si>
    <t>B2066</t>
  </si>
  <si>
    <t>B2071</t>
  </si>
  <si>
    <t>B2079</t>
  </si>
  <si>
    <t>B2067</t>
  </si>
  <si>
    <t>综合单价</t>
    <phoneticPr fontId="135" type="noConversion"/>
  </si>
  <si>
    <t>地下面积占比</t>
  </si>
  <si>
    <t>地下面积占比</t>
    <phoneticPr fontId="135" type="noConversion"/>
  </si>
  <si>
    <t>1号楼</t>
  </si>
  <si>
    <t>现：京(2023)朝不动产权第0022044号</t>
  </si>
  <si>
    <t>现：京(2024)东不动产权第0007913号</t>
  </si>
  <si>
    <t>丰台金茂广场</t>
    <phoneticPr fontId="135" type="noConversion"/>
  </si>
  <si>
    <t>总建筑面积</t>
  </si>
  <si>
    <t>总建筑面积</t>
    <phoneticPr fontId="135" type="noConversion"/>
  </si>
  <si>
    <t>交易日期</t>
    <phoneticPr fontId="135" type="noConversion"/>
  </si>
  <si>
    <t>华樾北京</t>
    <phoneticPr fontId="135" type="noConversion"/>
  </si>
  <si>
    <t>新景家园</t>
    <phoneticPr fontId="135" type="noConversion"/>
  </si>
  <si>
    <t>正常</t>
  </si>
  <si>
    <t>办公</t>
    <phoneticPr fontId="32" type="noConversion"/>
  </si>
  <si>
    <t>竣工时间</t>
    <phoneticPr fontId="135" type="noConversion"/>
  </si>
  <si>
    <t>装修状况</t>
    <phoneticPr fontId="135" type="noConversion"/>
  </si>
  <si>
    <t>毛坯</t>
  </si>
  <si>
    <t>毛坯</t>
    <phoneticPr fontId="135" type="noConversion"/>
  </si>
  <si>
    <t>产权年限</t>
    <phoneticPr fontId="135" type="noConversion"/>
  </si>
  <si>
    <t>博瑞大厦</t>
  </si>
  <si>
    <t>朝阳区</t>
  </si>
  <si>
    <t>拍卖</t>
  </si>
  <si>
    <t>北京特尔特物业发展有限公司</t>
  </si>
  <si>
    <t>凯德中国</t>
  </si>
  <si>
    <t>交易结构</t>
  </si>
  <si>
    <t>卖方</t>
  </si>
  <si>
    <t>买方</t>
  </si>
  <si>
    <t>容积率</t>
  </si>
  <si>
    <t>楼面单价</t>
  </si>
  <si>
    <r>
      <rPr>
        <b/>
        <sz val="8"/>
        <color rgb="FF006A4D"/>
        <rFont val="KaiTi"/>
        <family val="3"/>
      </rPr>
      <t>月份</t>
    </r>
    <phoneticPr fontId="135" type="noConversion"/>
  </si>
  <si>
    <r>
      <rPr>
        <b/>
        <sz val="8"/>
        <color rgb="FF006A4D"/>
        <rFont val="KaiTi"/>
        <family val="3"/>
      </rPr>
      <t>物业类型</t>
    </r>
    <phoneticPr fontId="135" type="noConversion"/>
  </si>
  <si>
    <r>
      <rPr>
        <b/>
        <sz val="8"/>
        <color rgb="FF006A4D"/>
        <rFont val="KaiTi"/>
        <family val="3"/>
      </rPr>
      <t>地理位置</t>
    </r>
    <phoneticPr fontId="135" type="noConversion"/>
  </si>
  <si>
    <r>
      <rPr>
        <b/>
        <sz val="8"/>
        <color rgb="FF006A4D"/>
        <rFont val="KaiTi"/>
        <family val="3"/>
      </rPr>
      <t>成交金额
（亿元）</t>
    </r>
    <phoneticPr fontId="135" type="noConversion"/>
  </si>
  <si>
    <r>
      <rPr>
        <b/>
        <sz val="8"/>
        <color rgb="FF006A4D"/>
        <rFont val="KaiTi"/>
        <family val="3"/>
      </rPr>
      <t>地上面积
（平方米）</t>
    </r>
    <phoneticPr fontId="135" type="noConversion"/>
  </si>
  <si>
    <t>单价/按地上面积（元）</t>
    <phoneticPr fontId="135" type="noConversion"/>
  </si>
  <si>
    <t>成新度</t>
    <phoneticPr fontId="135" type="noConversion"/>
  </si>
  <si>
    <t>拍卖</t>
    <phoneticPr fontId="32" type="noConversion"/>
  </si>
  <si>
    <t>中指</t>
    <phoneticPr fontId="32" type="noConversion"/>
  </si>
  <si>
    <t>设定转让</t>
    <phoneticPr fontId="32" type="noConversion"/>
  </si>
  <si>
    <t>剩余年限</t>
    <phoneticPr fontId="135" type="noConversion"/>
  </si>
  <si>
    <t>七通</t>
  </si>
  <si>
    <t>钢混</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</si>
  <si>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</si>
  <si>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</si>
  <si>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</si>
  <si>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</si>
  <si>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</si>
  <si>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</si>
  <si>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phoneticPr fontId="32" type="noConversion"/>
  </si>
  <si>
    <t>写字楼</t>
    <phoneticPr fontId="32" type="noConversion"/>
  </si>
  <si>
    <t>位于南四环外，周边有北京中铁大厦、北京诺德中心、华夏幸福创新中心等办公项目，办公集聚程度一般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</si>
  <si>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609</t>
    </r>
    <r>
      <rPr>
        <sz val="11"/>
        <rFont val="宋体"/>
        <family val="3"/>
        <charset val="134"/>
      </rPr>
      <t>米，交通便捷度一般</t>
    </r>
    <phoneticPr fontId="32" type="noConversion"/>
  </si>
  <si>
    <t>一般</t>
  </si>
  <si>
    <t>自然：丰台科技园生态主题公园、白盆窑公园；人文：北京汽车博物馆</t>
    <phoneticPr fontId="32" type="noConversion"/>
  </si>
  <si>
    <t>地下面积占比</t>
    <phoneticPr fontId="32" type="noConversion"/>
  </si>
  <si>
    <t>0-10%</t>
    <phoneticPr fontId="32" type="noConversion"/>
  </si>
  <si>
    <t>10-20%</t>
    <phoneticPr fontId="32" type="noConversion"/>
  </si>
  <si>
    <t>20-30%</t>
    <phoneticPr fontId="32" type="noConversion"/>
  </si>
  <si>
    <t>15-20%</t>
    <phoneticPr fontId="32" type="noConversion"/>
  </si>
  <si>
    <t>10-15%</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</si>
  <si>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</si>
  <si>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</si>
  <si>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</si>
  <si>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</si>
  <si>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</si>
  <si>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</si>
  <si>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</si>
  <si>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普通</t>
    <phoneticPr fontId="32" type="noConversion"/>
  </si>
  <si>
    <t>自管</t>
    <phoneticPr fontId="32" type="noConversion"/>
  </si>
  <si>
    <t>七通</t>
    <phoneticPr fontId="32" type="noConversion"/>
  </si>
  <si>
    <t>六通</t>
    <phoneticPr fontId="32" type="noConversion"/>
  </si>
  <si>
    <t>五通</t>
  </si>
  <si>
    <t>五通</t>
    <phoneticPr fontId="32" type="noConversion"/>
  </si>
  <si>
    <t>标准层高</t>
    <phoneticPr fontId="32" type="noConversion"/>
  </si>
  <si>
    <r>
      <t>0-10</t>
    </r>
    <r>
      <rPr>
        <sz val="11"/>
        <rFont val="宋体"/>
        <family val="3"/>
        <charset val="134"/>
      </rPr>
      <t>（含）</t>
    </r>
    <phoneticPr fontId="32" type="noConversion"/>
  </si>
  <si>
    <t>位于北五环外，周边有乐华大厦、东方国信大厦、叶青大厦等办公项目，办公集聚程度一般</t>
    <phoneticPr fontId="32" type="noConversion"/>
  </si>
  <si>
    <t>临支路——创远路，公交：415、944、991，距地铁14号线善各庄站约255米，交通便捷度一般</t>
    <phoneticPr fontId="32" type="noConversion"/>
  </si>
  <si>
    <t>银行（招商银行、上海银行、北京农商银行），商业（北京望京万象汇），学校（北京市朝阳区教育国资中心幼儿园、北京市陈经纶中学分校小学部、北京市第八十中学）</t>
    <phoneticPr fontId="32" type="noConversion"/>
  </si>
  <si>
    <t>自然：善各庄公园、来广营艺术园，人文：首都师范大学（来广营校区）</t>
    <phoneticPr fontId="32" type="noConversion"/>
  </si>
  <si>
    <t>北京市朝阳区广顺北大街与来广营东路交叉口南</t>
    <phoneticPr fontId="4" type="noConversion"/>
  </si>
  <si>
    <t>北京市丰台区汽车博物馆东路与五圈路交叉口东南侧</t>
    <phoneticPr fontId="4" type="noConversion"/>
  </si>
  <si>
    <t>银行（招商银行、广发银行、中国民生银行），商业（万达广场、永旺梦乐城），学校（二十一世纪幼儿园、四合庄小学、北京市第五实验学校）</t>
    <phoneticPr fontId="32" type="noConversion"/>
  </si>
  <si>
    <t>一般</t>
    <phoneticPr fontId="32" type="noConversion"/>
  </si>
  <si>
    <r>
      <rPr>
        <sz val="11"/>
        <color theme="9" tint="-0.249977111117893"/>
        <rFont val="宋体"/>
        <family val="3"/>
        <charset val="134"/>
      </rPr>
      <t>北京市朝阳区东三环北路甲</t>
    </r>
    <r>
      <rPr>
        <sz val="11"/>
        <color theme="9" tint="-0.249977111117893"/>
        <rFont val="Arial"/>
        <family val="2"/>
      </rPr>
      <t>26</t>
    </r>
    <r>
      <rPr>
        <sz val="11"/>
        <color theme="9" tint="-0.249977111117893"/>
        <rFont val="宋体"/>
        <family val="3"/>
        <charset val="134"/>
      </rPr>
      <t>号</t>
    </r>
    <phoneticPr fontId="32" type="noConversion"/>
  </si>
  <si>
    <t>位于东三环外，周边有锦湖中心、北京青年报大厦、嘉铭中心等办公项目，办公集聚程度较好</t>
    <phoneticPr fontId="32" type="noConversion"/>
  </si>
  <si>
    <t>临城市快速路——东三环北路，公交：专5、113、405等，距地铁10号线、6号线呼家楼站约504米，交通便捷度较好</t>
    <phoneticPr fontId="32" type="noConversion"/>
  </si>
  <si>
    <t>银行（中国工商银行、江苏银行、中国民生银行），商业（三里屯太古里、财富购物中心、蓝岛大厦），学校（朝阳区团结湖第一幼儿园、白家庄小学、北京市第八十中学）</t>
    <phoneticPr fontId="32" type="noConversion"/>
  </si>
  <si>
    <r>
      <rPr>
        <sz val="11"/>
        <rFont val="宋体"/>
        <family val="3"/>
        <charset val="134"/>
      </rPr>
      <t>自然：团结湖公园、</t>
    </r>
    <r>
      <rPr>
        <sz val="11"/>
        <rFont val="Arial"/>
        <family val="2"/>
      </rPr>
      <t>CBD</t>
    </r>
    <r>
      <rPr>
        <sz val="11"/>
        <rFont val="宋体"/>
        <family val="3"/>
        <charset val="134"/>
      </rPr>
      <t>历史文化公园；人文：中国农业博物馆、北京民俗博物馆、北京信息科技大学分校、首都经济贸易大学</t>
    </r>
    <phoneticPr fontId="32" type="noConversion"/>
  </si>
  <si>
    <t>30-40%</t>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</si>
  <si>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</si>
  <si>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</si>
  <si>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</si>
  <si>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</si>
  <si>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t>10-20</t>
    </r>
    <r>
      <rPr>
        <sz val="11"/>
        <color indexed="8"/>
        <rFont val="宋体"/>
        <family val="3"/>
        <charset val="134"/>
      </rPr>
      <t>（含）</t>
    </r>
    <phoneticPr fontId="32" type="noConversion"/>
  </si>
  <si>
    <r>
      <t>40-50</t>
    </r>
    <r>
      <rPr>
        <sz val="11"/>
        <color indexed="8"/>
        <rFont val="宋体"/>
        <family val="3"/>
        <charset val="134"/>
      </rPr>
      <t>（含）</t>
    </r>
    <phoneticPr fontId="32" type="noConversion"/>
  </si>
  <si>
    <r>
      <t>30-40</t>
    </r>
    <r>
      <rPr>
        <sz val="11"/>
        <color indexed="8"/>
        <rFont val="宋体"/>
        <family val="3"/>
        <charset val="134"/>
      </rPr>
      <t>（含）</t>
    </r>
    <phoneticPr fontId="32" type="noConversion"/>
  </si>
  <si>
    <t>成本法</t>
  </si>
  <si>
    <t>比较法-办公</t>
  </si>
  <si>
    <t>2号楼</t>
  </si>
  <si>
    <t>现：京(2020)丰不动产权第0007288号</t>
  </si>
  <si>
    <t>现：京(2020)丰不动产权第0007264号</t>
  </si>
  <si>
    <t>保利佲悦大都汇</t>
    <phoneticPr fontId="135" type="noConversion"/>
  </si>
  <si>
    <t>位于南四环外，周边有丰台金茂广场、北京中铁大厦、北京诺德中心、华夏幸福创新中心等办公项目，办公集聚程度一般</t>
    <phoneticPr fontId="32" type="noConversion"/>
  </si>
  <si>
    <r>
      <rPr>
        <sz val="11"/>
        <rFont val="宋体"/>
        <family val="3"/>
        <charset val="134"/>
      </rPr>
      <t>临支路——汽车博物馆东路，公交：专</t>
    </r>
    <r>
      <rPr>
        <sz val="11"/>
        <rFont val="Arial"/>
        <family val="2"/>
      </rPr>
      <t>125</t>
    </r>
    <r>
      <rPr>
        <sz val="11"/>
        <rFont val="宋体"/>
        <family val="3"/>
        <charset val="134"/>
      </rPr>
      <t>、专</t>
    </r>
    <r>
      <rPr>
        <sz val="11"/>
        <rFont val="Arial"/>
        <family val="2"/>
      </rPr>
      <t>190</t>
    </r>
    <r>
      <rPr>
        <sz val="11"/>
        <rFont val="宋体"/>
        <family val="3"/>
        <charset val="134"/>
      </rPr>
      <t>、专</t>
    </r>
    <r>
      <rPr>
        <sz val="11"/>
        <rFont val="Arial"/>
        <family val="2"/>
      </rPr>
      <t>209</t>
    </r>
    <r>
      <rPr>
        <sz val="11"/>
        <rFont val="宋体"/>
        <family val="3"/>
        <charset val="134"/>
      </rPr>
      <t>等，距地铁</t>
    </r>
    <r>
      <rPr>
        <sz val="11"/>
        <rFont val="Arial"/>
        <family val="2"/>
      </rPr>
      <t>9</t>
    </r>
    <r>
      <rPr>
        <sz val="11"/>
        <rFont val="宋体"/>
        <family val="3"/>
        <charset val="134"/>
      </rPr>
      <t>号线丰台科技园站约</t>
    </r>
    <r>
      <rPr>
        <sz val="11"/>
        <rFont val="Arial"/>
        <family val="2"/>
      </rPr>
      <t>648</t>
    </r>
    <r>
      <rPr>
        <sz val="11"/>
        <rFont val="宋体"/>
        <family val="3"/>
        <charset val="134"/>
      </rPr>
      <t>米，交通便捷度一般</t>
    </r>
    <phoneticPr fontId="32" type="noConversion"/>
  </si>
  <si>
    <t>案例</t>
    <phoneticPr fontId="135" type="noConversion"/>
  </si>
  <si>
    <t>名称</t>
    <phoneticPr fontId="135" type="noConversion"/>
  </si>
  <si>
    <t>位置</t>
    <phoneticPr fontId="135" type="noConversion"/>
  </si>
  <si>
    <t>成交时间</t>
    <phoneticPr fontId="135" type="noConversion"/>
  </si>
  <si>
    <t>建成年代</t>
    <phoneticPr fontId="135" type="noConversion"/>
  </si>
  <si>
    <t>成新率</t>
    <phoneticPr fontId="135" type="noConversion"/>
  </si>
  <si>
    <t>有装修</t>
    <phoneticPr fontId="135" type="noConversion"/>
  </si>
  <si>
    <t>比较法-办公弃用48740</t>
    <phoneticPr fontId="17" type="noConversion"/>
  </si>
  <si>
    <t>来源中指</t>
    <phoneticPr fontId="135" type="noConversion"/>
  </si>
  <si>
    <t>最早预证</t>
    <phoneticPr fontId="135" type="noConversion"/>
  </si>
  <si>
    <t>剩余土地使用期限</t>
    <phoneticPr fontId="135" type="noConversion"/>
  </si>
  <si>
    <t>北京市丰台区槐房西路9号院</t>
    <phoneticPr fontId="135" type="noConversion"/>
  </si>
  <si>
    <t>丰台大悦春风里</t>
    <phoneticPr fontId="135" type="noConversion"/>
  </si>
  <si>
    <t>总价</t>
  </si>
  <si>
    <t>成本比率</t>
  </si>
  <si>
    <t>富华大厦</t>
    <phoneticPr fontId="4" type="noConversion"/>
  </si>
  <si>
    <t>北京市朝阳区创远路</t>
    <phoneticPr fontId="135" type="noConversion"/>
  </si>
  <si>
    <t>0-5%</t>
    <phoneticPr fontId="32" type="noConversion"/>
  </si>
  <si>
    <t>5-10%</t>
    <phoneticPr fontId="32" type="noConversion"/>
  </si>
  <si>
    <t>20-25%</t>
    <phoneticPr fontId="135" type="noConversion"/>
  </si>
  <si>
    <t>25-30%</t>
    <phoneticPr fontId="135" type="noConversion"/>
  </si>
  <si>
    <t>30-35%</t>
    <phoneticPr fontId="135" type="noConversion"/>
  </si>
  <si>
    <t>35-40%</t>
    <phoneticPr fontId="135" type="noConversion"/>
  </si>
  <si>
    <r>
      <t>0-10</t>
    </r>
    <r>
      <rPr>
        <sz val="11"/>
        <rFont val="宋体"/>
        <family val="3"/>
        <charset val="134"/>
      </rPr>
      <t>（含）</t>
    </r>
    <phoneticPr fontId="135" type="noConversion"/>
  </si>
  <si>
    <r>
      <t>10-20</t>
    </r>
    <r>
      <rPr>
        <sz val="11"/>
        <rFont val="宋体"/>
        <family val="3"/>
        <charset val="134"/>
      </rPr>
      <t>（含）</t>
    </r>
    <phoneticPr fontId="135" type="noConversion"/>
  </si>
  <si>
    <t>中指</t>
    <phoneticPr fontId="135" type="noConversion"/>
  </si>
  <si>
    <t>华远中心</t>
    <phoneticPr fontId="135" type="noConversion"/>
  </si>
  <si>
    <t>位于西五环外，周边有中铁创业大厦、华信大厦、中国国际出版大厦等办公项目，办公集聚程度一般</t>
    <phoneticPr fontId="135" type="noConversion"/>
  </si>
  <si>
    <r>
      <rPr>
        <sz val="11"/>
        <rFont val="宋体"/>
        <family val="3"/>
        <charset val="134"/>
      </rPr>
      <t>临未命名小路。公交</t>
    </r>
    <r>
      <rPr>
        <sz val="11"/>
        <rFont val="Arial"/>
        <family val="3"/>
        <charset val="134"/>
      </rPr>
      <t>399</t>
    </r>
    <r>
      <rPr>
        <sz val="11"/>
        <rFont val="宋体"/>
        <family val="3"/>
        <charset val="134"/>
      </rPr>
      <t>、</t>
    </r>
    <r>
      <rPr>
        <sz val="11"/>
        <rFont val="Arial"/>
        <family val="3"/>
        <charset val="134"/>
      </rPr>
      <t>325</t>
    </r>
    <r>
      <rPr>
        <sz val="11"/>
        <rFont val="宋体"/>
        <family val="3"/>
        <charset val="134"/>
      </rPr>
      <t>、</t>
    </r>
    <r>
      <rPr>
        <sz val="11"/>
        <rFont val="Arial"/>
        <family val="3"/>
        <charset val="134"/>
      </rPr>
      <t>396</t>
    </r>
    <r>
      <rPr>
        <sz val="11"/>
        <rFont val="宋体"/>
        <family val="3"/>
        <charset val="134"/>
      </rPr>
      <t>，距地铁</t>
    </r>
    <r>
      <rPr>
        <sz val="11"/>
        <rFont val="Arial"/>
        <family val="3"/>
        <charset val="134"/>
      </rPr>
      <t>1</t>
    </r>
    <r>
      <rPr>
        <sz val="11"/>
        <rFont val="宋体"/>
        <family val="3"/>
        <charset val="134"/>
      </rPr>
      <t>号线八通线、</t>
    </r>
    <r>
      <rPr>
        <sz val="11"/>
        <rFont val="Arial"/>
        <family val="3"/>
        <charset val="134"/>
      </rPr>
      <t>6</t>
    </r>
    <r>
      <rPr>
        <sz val="11"/>
        <rFont val="宋体"/>
        <family val="3"/>
        <charset val="134"/>
      </rPr>
      <t>号线、</t>
    </r>
    <r>
      <rPr>
        <sz val="11"/>
        <rFont val="Arial"/>
        <family val="3"/>
        <charset val="134"/>
      </rPr>
      <t>S1</t>
    </r>
    <r>
      <rPr>
        <sz val="11"/>
        <rFont val="宋体"/>
        <family val="3"/>
        <charset val="134"/>
      </rPr>
      <t>线苹果园站约</t>
    </r>
    <r>
      <rPr>
        <sz val="11"/>
        <rFont val="Arial"/>
        <family val="3"/>
        <charset val="134"/>
      </rPr>
      <t>257</t>
    </r>
    <r>
      <rPr>
        <sz val="11"/>
        <rFont val="宋体"/>
        <family val="3"/>
        <charset val="134"/>
      </rPr>
      <t>米，</t>
    </r>
    <phoneticPr fontId="135" type="noConversion"/>
  </si>
  <si>
    <t>商业（京西大悦城、喜隆多、当代商城），银行（邮政、农行），学校（首钢幼教金苹果幼儿园、苹果园第二小学、首师大附属苹果园中学）</t>
    <phoneticPr fontId="135" type="noConversion"/>
  </si>
  <si>
    <t>自然：苹果园公园、金顶山公园、古城公园；人文：石景山区博物馆、首钢工学院</t>
    <phoneticPr fontId="135" type="noConversion"/>
  </si>
  <si>
    <t>北京市石景山区苹果园南路</t>
    <phoneticPr fontId="135" type="noConversion"/>
  </si>
  <si>
    <t>综合体</t>
    <phoneticPr fontId="135" type="noConversion"/>
  </si>
  <si>
    <t>临次干道——槐房西路，公交专59、353、354，距地铁19号线、4号线新宫站约296米</t>
    <phoneticPr fontId="135" type="noConversion"/>
  </si>
  <si>
    <t>商业（新宫商业二街、万达广场）、银行（北京农商银行、中国光大银行），学校（新开路幼儿园、丰台区槐房小学、北京教育科学研究院丰台学校（中学部））</t>
    <phoneticPr fontId="135" type="noConversion"/>
  </si>
  <si>
    <t>自然：南苑公园、槐新公园；人文：无</t>
    <phoneticPr fontId="135" type="noConversion"/>
  </si>
  <si>
    <t>位于南四环外，周边有中瑞方正写字楼等办公项目，办公集聚程度较差</t>
    <phoneticPr fontId="135" type="noConversion"/>
  </si>
  <si>
    <t>位于北五环外，周边有乐华大厦、望京诚盈中心、东方国信大厦等办公项目，办公集聚程度较好</t>
    <phoneticPr fontId="135" type="noConversion"/>
  </si>
  <si>
    <t>临支路——创远路，公交：415、944、991，距地铁14号线善各庄站约255米</t>
    <phoneticPr fontId="135" type="noConversion"/>
  </si>
  <si>
    <t>商业（北京望京万象汇），银行（招商银行、北京农商银行、上海银行），学校（北京市朝阳区教育国资中心幼儿园、北京市陈经纶中学分校小学部、北京第八十中学）</t>
    <phoneticPr fontId="135" type="noConversion"/>
  </si>
  <si>
    <t>自然：善各庄公园、来广营艺术园；人文：首都师范大学（来广营校区）</t>
    <phoneticPr fontId="135" type="noConversion"/>
  </si>
  <si>
    <t>估价对象临城市快速路——东二环，公交：44、75、142、200，距地铁2号线、3号线东四十条站约352米，项目内部有停车位，停车便捷程度较好，综合评价交通便捷度较好</t>
    <phoneticPr fontId="41" type="noConversion"/>
  </si>
  <si>
    <t>估价对象位于东二环至东三环，周边有首创大厦、鸿晟国际中心、美惠大厦、港澳中心、五矿大厦等办公楼项目较多，入驻率高，办公集聚程度较好</t>
    <phoneticPr fontId="25" type="noConversion"/>
  </si>
  <si>
    <t>区域自然环境：新中街城市森林公园、东四奥林匹克社区公园、日坛公园、东城区亮马河公园；人文环境：保利艺术博物馆、北京民俗博物馆、东四胡同博物馆、首都医科大学中医研修学院、中国人民大学（老校区）；综合评价环境状况一般</t>
    <phoneticPr fontId="41" type="noConversion"/>
  </si>
  <si>
    <t>估价对象所在区域公共配套设施齐备情况：商场（东环广场、</t>
    <phoneticPr fontId="41" type="noConversion"/>
  </si>
  <si>
    <r>
      <t>现场问询物业出租5</t>
    </r>
    <r>
      <rPr>
        <sz val="11"/>
        <color theme="1"/>
        <rFont val="宋体"/>
        <family val="3"/>
        <charset val="134"/>
        <scheme val="minor"/>
      </rPr>
      <t>.8元全含，可谈</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</si>
</sst>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0"/>
      <color theme="1"/>
      <name val="楷体_GB2312"/>
      <charset val="134"/>
    </font>
    <font>
      <sz val="10"/>
      <name val="Calibri"/>
      <family val="3"/>
      <charset val="161"/>
    </font>
    <font>
      <b/>
      <sz val="8"/>
      <color rgb="FF006A4D"/>
      <name val="KaiTi"/>
      <family val="3"/>
    </font>
    <font>
      <sz val="11"/>
      <name val="Arial"/>
      <family val="3"/>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auto="1"/>
      </top>
      <bottom/>
      <diagonal/>
    </border>
    <border>
      <left/>
      <right style="thin">
        <color indexed="8"/>
      </right>
      <top style="thin">
        <color auto="1"/>
      </top>
      <bottom/>
      <diagonal/>
    </border>
    <border>
      <left/>
      <right style="thin">
        <color auto="1"/>
      </right>
      <top style="thin">
        <color auto="1"/>
      </top>
      <bottom/>
      <diagonal/>
    </border>
    <border>
      <left/>
      <right style="thin">
        <color rgb="FF000000"/>
      </right>
      <top/>
      <bottom style="thin">
        <color auto="1"/>
      </bottom>
      <diagonal/>
    </border>
    <border>
      <left/>
      <right style="thin">
        <color indexed="8"/>
      </right>
      <top/>
      <bottom style="thin">
        <color auto="1"/>
      </bottom>
      <diagonal/>
    </border>
    <border>
      <left/>
      <right style="thin">
        <color auto="1"/>
      </right>
      <top/>
      <bottom style="thin">
        <color auto="1"/>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9" fontId="96" fillId="0" borderId="0" applyFont="0" applyFill="0" applyBorder="0" applyAlignment="0" applyProtection="0">
      <alignment vertical="center"/>
    </xf>
    <xf numFmtId="41" fontId="96" fillId="0" borderId="0" applyFont="0" applyFill="0" applyBorder="0" applyAlignment="0" applyProtection="0">
      <alignment vertical="center"/>
    </xf>
    <xf numFmtId="43" fontId="129" fillId="0" borderId="0" applyFont="0" applyFill="0" applyBorder="0" applyAlignment="0" applyProtection="0">
      <alignment vertical="center"/>
    </xf>
  </cellStyleXfs>
  <cellXfs count="359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7" borderId="5" xfId="0" applyFont="1" applyFill="1" applyBorder="1" applyProtection="1">
      <alignment vertical="center"/>
      <protection locked="0"/>
    </xf>
    <xf numFmtId="0" fontId="78" fillId="7" borderId="150" xfId="0" applyFont="1" applyFill="1" applyBorder="1" applyAlignment="1" applyProtection="1">
      <alignment vertical="center" wrapText="1"/>
      <protection locked="0"/>
    </xf>
    <xf numFmtId="0" fontId="96" fillId="0" borderId="1" xfId="0" applyFont="1" applyBorder="1">
      <alignment vertical="center"/>
    </xf>
    <xf numFmtId="0" fontId="0" fillId="0" borderId="1" xfId="0" applyBorder="1">
      <alignment vertical="center"/>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77" fontId="140" fillId="3" borderId="3" xfId="0" applyNumberFormat="1" applyFont="1" applyFill="1" applyBorder="1" applyProtection="1">
      <alignment vertical="center"/>
      <protection locked="0"/>
    </xf>
    <xf numFmtId="0" fontId="274" fillId="12" borderId="0" xfId="0" applyFont="1" applyFill="1" applyProtection="1">
      <alignment vertical="center"/>
      <protection locked="0"/>
    </xf>
    <xf numFmtId="2" fontId="48" fillId="12" borderId="0" xfId="0" applyNumberFormat="1" applyFont="1" applyFill="1" applyProtection="1">
      <alignment vertical="center"/>
      <protection locked="0"/>
    </xf>
    <xf numFmtId="0" fontId="20" fillId="0" borderId="1" xfId="19"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9" fontId="20" fillId="0" borderId="2" xfId="0" applyNumberFormat="1" applyFont="1" applyBorder="1" applyAlignment="1" applyProtection="1">
      <alignment horizontal="center" vertical="center" wrapText="1"/>
      <protection locked="0"/>
    </xf>
    <xf numFmtId="14" fontId="20" fillId="0" borderId="2" xfId="0" applyNumberFormat="1" applyFont="1" applyBorder="1" applyAlignment="1" applyProtection="1">
      <alignment horizontal="center" vertical="center" wrapText="1"/>
      <protection locked="0"/>
    </xf>
    <xf numFmtId="9" fontId="20" fillId="0" borderId="1" xfId="0" applyNumberFormat="1" applyFont="1" applyBorder="1" applyAlignment="1" applyProtection="1">
      <alignment horizontal="center" vertical="center" wrapText="1"/>
      <protection locked="0"/>
    </xf>
    <xf numFmtId="14" fontId="20" fillId="0" borderId="1" xfId="0" applyNumberFormat="1" applyFont="1" applyBorder="1" applyAlignment="1" applyProtection="1">
      <alignment horizontal="center" vertical="center" wrapText="1"/>
      <protection locked="0"/>
    </xf>
    <xf numFmtId="49" fontId="20" fillId="0" borderId="15"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75" fillId="0" borderId="54" xfId="0" applyFont="1" applyBorder="1" applyAlignment="1">
      <alignment horizontal="center" vertical="center"/>
    </xf>
    <xf numFmtId="49" fontId="20" fillId="0" borderId="1" xfId="0" applyNumberFormat="1" applyFont="1" applyBorder="1" applyAlignment="1" applyProtection="1">
      <alignment horizontal="center" vertical="center" wrapText="1"/>
      <protection locked="0"/>
    </xf>
    <xf numFmtId="49" fontId="20" fillId="0" borderId="2" xfId="0" applyNumberFormat="1" applyFont="1" applyBorder="1" applyAlignment="1" applyProtection="1">
      <alignment horizontal="center" vertical="center"/>
      <protection locked="0"/>
    </xf>
    <xf numFmtId="179" fontId="20" fillId="0" borderId="2" xfId="0" applyNumberFormat="1" applyFont="1" applyBorder="1" applyAlignment="1" applyProtection="1">
      <alignment horizontal="center" vertical="center" wrapText="1"/>
      <protection locked="0"/>
    </xf>
    <xf numFmtId="179" fontId="20" fillId="0" borderId="1" xfId="0" applyNumberFormat="1"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 xfId="0" applyNumberFormat="1" applyFont="1" applyBorder="1" applyAlignment="1">
      <alignment horizontal="center" vertical="center"/>
    </xf>
    <xf numFmtId="0" fontId="20" fillId="0" borderId="1" xfId="0" applyFont="1" applyBorder="1" applyAlignment="1">
      <alignment horizontal="left" vertical="center"/>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83" fontId="20" fillId="0" borderId="1" xfId="0" applyNumberFormat="1" applyFont="1" applyBorder="1" applyAlignment="1">
      <alignment horizontal="center" vertical="center"/>
    </xf>
    <xf numFmtId="0" fontId="20" fillId="0" borderId="1" xfId="0" applyFont="1" applyBorder="1" applyAlignment="1">
      <alignment vertical="center" wrapText="1"/>
    </xf>
    <xf numFmtId="31" fontId="20"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1"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0" xfId="0" applyFont="1" applyAlignment="1">
      <alignment horizontal="center" vertical="center"/>
    </xf>
    <xf numFmtId="0" fontId="20" fillId="0" borderId="13" xfId="0" applyFont="1" applyBorder="1" applyAlignment="1">
      <alignment horizontal="center" vertical="center" wrapText="1"/>
    </xf>
    <xf numFmtId="189" fontId="20" fillId="0" borderId="13" xfId="0" applyNumberFormat="1" applyFont="1" applyBorder="1" applyAlignment="1">
      <alignment horizontal="center" vertical="center" wrapText="1"/>
    </xf>
    <xf numFmtId="0" fontId="20" fillId="9" borderId="1" xfId="0" applyFont="1" applyFill="1" applyBorder="1" applyAlignment="1">
      <alignment horizontal="center" vertical="center" wrapText="1"/>
    </xf>
    <xf numFmtId="0" fontId="20" fillId="9" borderId="1" xfId="0" applyFont="1" applyFill="1" applyBorder="1" applyAlignment="1">
      <alignment horizontal="center" vertical="center"/>
    </xf>
    <xf numFmtId="176" fontId="20" fillId="9" borderId="1" xfId="0" applyNumberFormat="1" applyFont="1" applyFill="1" applyBorder="1" applyAlignment="1">
      <alignment horizontal="center" vertical="center"/>
    </xf>
    <xf numFmtId="1" fontId="20" fillId="9" borderId="1" xfId="0" applyNumberFormat="1" applyFont="1" applyFill="1" applyBorder="1" applyAlignment="1">
      <alignment horizontal="center" vertical="center"/>
    </xf>
    <xf numFmtId="189" fontId="20" fillId="9" borderId="13" xfId="0" applyNumberFormat="1" applyFont="1" applyFill="1" applyBorder="1" applyAlignment="1">
      <alignment horizontal="center" vertical="center" wrapText="1"/>
    </xf>
    <xf numFmtId="9" fontId="20" fillId="9" borderId="1" xfId="17" applyFont="1" applyFill="1" applyBorder="1" applyAlignment="1">
      <alignment horizontal="center" vertical="center"/>
    </xf>
    <xf numFmtId="0" fontId="0" fillId="9" borderId="0" xfId="0" applyFill="1" applyAlignment="1"/>
    <xf numFmtId="0" fontId="20" fillId="5" borderId="1" xfId="0" applyFont="1" applyFill="1" applyBorder="1" applyAlignment="1">
      <alignment horizontal="center" vertical="center" wrapText="1"/>
    </xf>
    <xf numFmtId="0" fontId="20" fillId="5" borderId="1" xfId="0" applyFont="1" applyFill="1" applyBorder="1" applyAlignment="1">
      <alignment horizontal="center" vertical="center"/>
    </xf>
    <xf numFmtId="176" fontId="20" fillId="5" borderId="1" xfId="0" applyNumberFormat="1" applyFont="1" applyFill="1" applyBorder="1" applyAlignment="1">
      <alignment horizontal="center" vertical="center"/>
    </xf>
    <xf numFmtId="1" fontId="20" fillId="5" borderId="1" xfId="0" applyNumberFormat="1" applyFont="1" applyFill="1" applyBorder="1" applyAlignment="1">
      <alignment horizontal="center" vertical="center"/>
    </xf>
    <xf numFmtId="189" fontId="20" fillId="5" borderId="1" xfId="0" applyNumberFormat="1" applyFont="1" applyFill="1" applyBorder="1" applyAlignment="1">
      <alignment horizontal="center" vertical="center"/>
    </xf>
    <xf numFmtId="9" fontId="20" fillId="5" borderId="1" xfId="17" applyFont="1" applyFill="1" applyBorder="1" applyAlignment="1">
      <alignment horizontal="center" vertical="center"/>
    </xf>
    <xf numFmtId="0" fontId="0" fillId="5" borderId="0" xfId="0" applyFill="1" applyAlignment="1"/>
    <xf numFmtId="0" fontId="20" fillId="7" borderId="1" xfId="0" applyFont="1" applyFill="1" applyBorder="1" applyAlignment="1">
      <alignment horizontal="center" vertical="center"/>
    </xf>
    <xf numFmtId="176" fontId="20" fillId="7" borderId="1" xfId="0" applyNumberFormat="1" applyFont="1" applyFill="1" applyBorder="1" applyAlignment="1">
      <alignment horizontal="center" vertical="center"/>
    </xf>
    <xf numFmtId="189" fontId="20" fillId="7" borderId="1" xfId="0" applyNumberFormat="1" applyFont="1" applyFill="1" applyBorder="1" applyAlignment="1">
      <alignment horizontal="center" vertical="center"/>
    </xf>
    <xf numFmtId="0" fontId="20" fillId="7" borderId="1" xfId="0" applyFont="1" applyFill="1" applyBorder="1" applyAlignment="1">
      <alignment vertical="center" wrapText="1"/>
    </xf>
    <xf numFmtId="31" fontId="20" fillId="7" borderId="1" xfId="0" applyNumberFormat="1" applyFont="1" applyFill="1" applyBorder="1" applyAlignment="1">
      <alignment horizontal="center" vertical="center" wrapText="1"/>
    </xf>
    <xf numFmtId="4" fontId="20" fillId="0" borderId="1" xfId="0" applyNumberFormat="1" applyFont="1" applyBorder="1" applyAlignment="1">
      <alignment horizontal="center" vertical="center"/>
    </xf>
    <xf numFmtId="14" fontId="0" fillId="0" borderId="0" xfId="0" applyNumberFormat="1" applyAlignment="1"/>
    <xf numFmtId="14" fontId="0" fillId="9" borderId="0" xfId="0" applyNumberFormat="1" applyFill="1" applyAlignment="1"/>
    <xf numFmtId="0" fontId="96" fillId="5" borderId="0" xfId="0" applyFont="1" applyFill="1" applyAlignment="1"/>
    <xf numFmtId="10" fontId="0" fillId="5" borderId="0" xfId="0" applyNumberFormat="1" applyFill="1" applyAlignment="1"/>
    <xf numFmtId="0" fontId="129" fillId="0" borderId="51" xfId="0" applyFont="1" applyBorder="1" applyAlignment="1" applyProtection="1">
      <alignment horizontal="center" vertical="center" wrapText="1"/>
      <protection locked="0"/>
    </xf>
    <xf numFmtId="49" fontId="95" fillId="0" borderId="14"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129" fillId="0" borderId="7"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95" fillId="0" borderId="39" xfId="0" applyNumberFormat="1"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49" fontId="95" fillId="0" borderId="40"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8" fillId="0" borderId="14" xfId="0" applyNumberFormat="1" applyFont="1" applyBorder="1" applyAlignment="1" applyProtection="1">
      <alignment horizontal="center" vertical="center" wrapText="1"/>
      <protection locked="0"/>
    </xf>
    <xf numFmtId="0" fontId="96" fillId="5" borderId="0" xfId="10" applyFill="1">
      <alignment vertical="center"/>
    </xf>
    <xf numFmtId="49" fontId="95" fillId="2" borderId="41" xfId="0" applyNumberFormat="1" applyFont="1" applyFill="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278" fillId="0" borderId="35" xfId="0" applyNumberFormat="1" applyFont="1" applyBorder="1" applyAlignment="1" applyProtection="1">
      <alignment horizontal="center" vertical="center" wrapText="1"/>
      <protection locked="0"/>
    </xf>
    <xf numFmtId="58" fontId="45" fillId="0" borderId="44" xfId="0" applyNumberFormat="1" applyFont="1" applyBorder="1" applyAlignment="1" applyProtection="1">
      <alignment horizontal="center" vertical="center" wrapText="1"/>
      <protection locked="0"/>
    </xf>
    <xf numFmtId="58" fontId="52" fillId="0" borderId="37"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95" fillId="2" borderId="7" xfId="0" applyFont="1" applyFill="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49" fontId="167" fillId="0" borderId="11" xfId="0" applyNumberFormat="1"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11"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23"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95" fillId="0" borderId="1" xfId="19" applyFont="1" applyBorder="1" applyAlignment="1" applyProtection="1">
      <alignment horizontal="center" vertical="center" wrapText="1"/>
      <protection locked="0"/>
    </xf>
    <xf numFmtId="0" fontId="95" fillId="0" borderId="46" xfId="19" applyFont="1" applyBorder="1" applyAlignment="1" applyProtection="1">
      <alignment horizontal="center" vertical="center" wrapText="1"/>
      <protection locked="0"/>
    </xf>
    <xf numFmtId="0" fontId="95" fillId="0" borderId="178" xfId="19" applyFont="1" applyBorder="1" applyAlignment="1" applyProtection="1">
      <alignment horizontal="center" vertical="center" wrapText="1"/>
      <protection locked="0"/>
    </xf>
    <xf numFmtId="0" fontId="95" fillId="0" borderId="4" xfId="19" applyFont="1" applyBorder="1" applyAlignment="1" applyProtection="1">
      <alignment horizontal="center" vertical="center" wrapText="1"/>
      <protection locked="0"/>
    </xf>
    <xf numFmtId="0" fontId="95" fillId="0" borderId="181" xfId="19" applyFont="1" applyBorder="1" applyAlignment="1" applyProtection="1">
      <alignment horizontal="center" vertical="center" wrapText="1"/>
      <protection locked="0"/>
    </xf>
    <xf numFmtId="49" fontId="95" fillId="0" borderId="1" xfId="19" applyNumberFormat="1" applyFont="1" applyBorder="1" applyAlignment="1" applyProtection="1">
      <alignment horizontal="center" vertical="center" wrapText="1"/>
      <protection locked="0"/>
    </xf>
    <xf numFmtId="0" fontId="95" fillId="0" borderId="13" xfId="19" applyFont="1" applyBorder="1" applyAlignment="1" applyProtection="1">
      <alignment horizontal="center" vertical="center" wrapText="1"/>
      <protection locked="0"/>
    </xf>
    <xf numFmtId="0" fontId="95" fillId="0" borderId="15" xfId="19" applyFont="1" applyBorder="1" applyAlignment="1" applyProtection="1">
      <alignment horizontal="center" vertical="center" wrapText="1"/>
      <protection locked="0"/>
    </xf>
    <xf numFmtId="0" fontId="95" fillId="0" borderId="2" xfId="19" applyFont="1" applyBorder="1" applyAlignment="1" applyProtection="1">
      <alignment horizontal="center" vertical="center" wrapText="1"/>
      <protection locked="0"/>
    </xf>
    <xf numFmtId="0" fontId="95" fillId="0" borderId="176" xfId="19" applyFont="1" applyBorder="1" applyAlignment="1" applyProtection="1">
      <alignment horizontal="center" vertical="center" wrapText="1"/>
      <protection locked="0"/>
    </xf>
    <xf numFmtId="0" fontId="95" fillId="0" borderId="179" xfId="19" applyFont="1" applyBorder="1" applyAlignment="1" applyProtection="1">
      <alignment horizontal="center" vertical="center" wrapText="1"/>
      <protection locked="0"/>
    </xf>
    <xf numFmtId="0" fontId="95" fillId="0" borderId="177" xfId="19" applyFont="1" applyBorder="1" applyAlignment="1" applyProtection="1">
      <alignment horizontal="center" vertical="center" wrapText="1"/>
      <protection locked="0"/>
    </xf>
    <xf numFmtId="0" fontId="95" fillId="0" borderId="180" xfId="19" applyFont="1" applyBorder="1" applyAlignment="1" applyProtection="1">
      <alignment horizontal="center" vertical="center" wrapText="1"/>
      <protection locked="0"/>
    </xf>
    <xf numFmtId="0" fontId="279" fillId="0" borderId="11"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9" fillId="9" borderId="11" xfId="0" applyFont="1" applyFill="1" applyBorder="1" applyAlignment="1" applyProtection="1">
      <alignment horizontal="center" vertical="center" wrapText="1"/>
      <protection locked="0"/>
    </xf>
  </cellXfs>
  <cellStyles count="24">
    <cellStyle name="百分比" xfId="17" builtinId="5"/>
    <cellStyle name="百分比 2" xfId="14" xr:uid="{00000000-0005-0000-0000-000001000000}"/>
    <cellStyle name="百分比 3" xfId="21"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20" xr:uid="{00000000-0005-0000-0000-000014000000}"/>
    <cellStyle name="常规_Sheet1" xfId="19" xr:uid="{00000000-0005-0000-0000-000015000000}"/>
    <cellStyle name="千位分隔 2" xfId="23" xr:uid="{00000000-0005-0000-0000-000016000000}"/>
    <cellStyle name="千位分隔[0] 2" xfId="22" xr:uid="{00000000-0005-0000-0000-000017000000}"/>
  </cellStyles>
  <dxfs count="19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297180</xdr:colOff>
      <xdr:row>1</xdr:row>
      <xdr:rowOff>38100</xdr:rowOff>
    </xdr:from>
    <xdr:to>
      <xdr:col>25</xdr:col>
      <xdr:colOff>591580</xdr:colOff>
      <xdr:row>33</xdr:row>
      <xdr:rowOff>138321</xdr:rowOff>
    </xdr:to>
    <xdr:pic>
      <xdr:nvPicPr>
        <xdr:cNvPr id="2" name="图片 1">
          <a:extLst>
            <a:ext uri="{FF2B5EF4-FFF2-40B4-BE49-F238E27FC236}">
              <a16:creationId xmlns:a16="http://schemas.microsoft.com/office/drawing/2014/main" id="{90B00D12-539B-90AD-A02B-2901FF429772}"/>
            </a:ext>
          </a:extLst>
        </xdr:cNvPr>
        <xdr:cNvPicPr>
          <a:picLocks noChangeAspect="1"/>
        </xdr:cNvPicPr>
      </xdr:nvPicPr>
      <xdr:blipFill>
        <a:blip xmlns:r="http://schemas.openxmlformats.org/officeDocument/2006/relationships" r:embed="rId1"/>
        <a:stretch>
          <a:fillRect/>
        </a:stretch>
      </xdr:blipFill>
      <xdr:spPr>
        <a:xfrm>
          <a:off x="8831580" y="220980"/>
          <a:ext cx="7000000" cy="5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35542</xdr:colOff>
      <xdr:row>32</xdr:row>
      <xdr:rowOff>99060</xdr:rowOff>
    </xdr:from>
    <xdr:to>
      <xdr:col>14</xdr:col>
      <xdr:colOff>567909</xdr:colOff>
      <xdr:row>60</xdr:row>
      <xdr:rowOff>20075</xdr:rowOff>
    </xdr:to>
    <xdr:pic>
      <xdr:nvPicPr>
        <xdr:cNvPr id="2" name="图片 1">
          <a:extLst>
            <a:ext uri="{FF2B5EF4-FFF2-40B4-BE49-F238E27FC236}">
              <a16:creationId xmlns:a16="http://schemas.microsoft.com/office/drawing/2014/main" id="{EAEB4B3C-FE7B-FBFC-E8A8-1E6D61DABC58}"/>
            </a:ext>
          </a:extLst>
        </xdr:cNvPr>
        <xdr:cNvPicPr>
          <a:picLocks noChangeAspect="1"/>
        </xdr:cNvPicPr>
      </xdr:nvPicPr>
      <xdr:blipFill>
        <a:blip xmlns:r="http://schemas.openxmlformats.org/officeDocument/2006/relationships" r:embed="rId1"/>
        <a:stretch>
          <a:fillRect/>
        </a:stretch>
      </xdr:blipFill>
      <xdr:spPr>
        <a:xfrm>
          <a:off x="35542" y="5951220"/>
          <a:ext cx="9653507" cy="5041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522971</xdr:colOff>
      <xdr:row>43</xdr:row>
      <xdr:rowOff>107588</xdr:rowOff>
    </xdr:to>
    <xdr:pic>
      <xdr:nvPicPr>
        <xdr:cNvPr id="2" name="图片 1">
          <a:extLst>
            <a:ext uri="{FF2B5EF4-FFF2-40B4-BE49-F238E27FC236}">
              <a16:creationId xmlns:a16="http://schemas.microsoft.com/office/drawing/2014/main" id="{DF4D0D5C-F00A-B2F4-67DB-52D0C02B8F5C}"/>
            </a:ext>
          </a:extLst>
        </xdr:cNvPr>
        <xdr:cNvPicPr>
          <a:picLocks noChangeAspect="1"/>
        </xdr:cNvPicPr>
      </xdr:nvPicPr>
      <xdr:blipFill>
        <a:blip xmlns:r="http://schemas.openxmlformats.org/officeDocument/2006/relationships" r:embed="rId1"/>
        <a:stretch>
          <a:fillRect/>
        </a:stretch>
      </xdr:blipFill>
      <xdr:spPr>
        <a:xfrm>
          <a:off x="0" y="0"/>
          <a:ext cx="7228571" cy="7971428"/>
        </a:xfrm>
        <a:prstGeom prst="rect">
          <a:avLst/>
        </a:prstGeom>
      </xdr:spPr>
    </xdr:pic>
    <xdr:clientData/>
  </xdr:twoCellAnchor>
  <xdr:twoCellAnchor editAs="oneCell">
    <xdr:from>
      <xdr:col>0</xdr:col>
      <xdr:colOff>0</xdr:colOff>
      <xdr:row>44</xdr:row>
      <xdr:rowOff>0</xdr:rowOff>
    </xdr:from>
    <xdr:to>
      <xdr:col>11</xdr:col>
      <xdr:colOff>103924</xdr:colOff>
      <xdr:row>87</xdr:row>
      <xdr:rowOff>107588</xdr:rowOff>
    </xdr:to>
    <xdr:pic>
      <xdr:nvPicPr>
        <xdr:cNvPr id="3" name="图片 2">
          <a:extLst>
            <a:ext uri="{FF2B5EF4-FFF2-40B4-BE49-F238E27FC236}">
              <a16:creationId xmlns:a16="http://schemas.microsoft.com/office/drawing/2014/main" id="{BAEF430C-B77E-E3FE-799D-9935745BA936}"/>
            </a:ext>
          </a:extLst>
        </xdr:cNvPr>
        <xdr:cNvPicPr>
          <a:picLocks noChangeAspect="1"/>
        </xdr:cNvPicPr>
      </xdr:nvPicPr>
      <xdr:blipFill>
        <a:blip xmlns:r="http://schemas.openxmlformats.org/officeDocument/2006/relationships" r:embed="rId2"/>
        <a:stretch>
          <a:fillRect/>
        </a:stretch>
      </xdr:blipFill>
      <xdr:spPr>
        <a:xfrm>
          <a:off x="0" y="8046720"/>
          <a:ext cx="6809524" cy="7971428"/>
        </a:xfrm>
        <a:prstGeom prst="rect">
          <a:avLst/>
        </a:prstGeom>
      </xdr:spPr>
    </xdr:pic>
    <xdr:clientData/>
  </xdr:twoCellAnchor>
  <xdr:twoCellAnchor editAs="oneCell">
    <xdr:from>
      <xdr:col>12</xdr:col>
      <xdr:colOff>0</xdr:colOff>
      <xdr:row>1</xdr:row>
      <xdr:rowOff>0</xdr:rowOff>
    </xdr:from>
    <xdr:to>
      <xdr:col>17</xdr:col>
      <xdr:colOff>104381</xdr:colOff>
      <xdr:row>35</xdr:row>
      <xdr:rowOff>29699</xdr:rowOff>
    </xdr:to>
    <xdr:pic>
      <xdr:nvPicPr>
        <xdr:cNvPr id="4" name="图片 3">
          <a:extLst>
            <a:ext uri="{FF2B5EF4-FFF2-40B4-BE49-F238E27FC236}">
              <a16:creationId xmlns:a16="http://schemas.microsoft.com/office/drawing/2014/main" id="{500FF1BA-951D-982C-EFB5-DEB88A41AB93}"/>
            </a:ext>
          </a:extLst>
        </xdr:cNvPr>
        <xdr:cNvPicPr>
          <a:picLocks noChangeAspect="1"/>
        </xdr:cNvPicPr>
      </xdr:nvPicPr>
      <xdr:blipFill>
        <a:blip xmlns:r="http://schemas.openxmlformats.org/officeDocument/2006/relationships" r:embed="rId3"/>
        <a:stretch>
          <a:fillRect/>
        </a:stretch>
      </xdr:blipFill>
      <xdr:spPr>
        <a:xfrm>
          <a:off x="7315200" y="182880"/>
          <a:ext cx="3152381" cy="6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25</xdr:row>
      <xdr:rowOff>22860</xdr:rowOff>
    </xdr:from>
    <xdr:to>
      <xdr:col>18</xdr:col>
      <xdr:colOff>640312</xdr:colOff>
      <xdr:row>64</xdr:row>
      <xdr:rowOff>176254</xdr:rowOff>
    </xdr:to>
    <xdr:pic>
      <xdr:nvPicPr>
        <xdr:cNvPr id="2" name="图片 1">
          <a:extLst>
            <a:ext uri="{FF2B5EF4-FFF2-40B4-BE49-F238E27FC236}">
              <a16:creationId xmlns:a16="http://schemas.microsoft.com/office/drawing/2014/main" id="{10558925-B4C3-4C4F-BA37-4ED81A5D5B7F}"/>
            </a:ext>
          </a:extLst>
        </xdr:cNvPr>
        <xdr:cNvPicPr>
          <a:picLocks noChangeAspect="1"/>
        </xdr:cNvPicPr>
      </xdr:nvPicPr>
      <xdr:blipFill>
        <a:blip xmlns:r="http://schemas.openxmlformats.org/officeDocument/2006/relationships" r:embed="rId1"/>
        <a:stretch>
          <a:fillRect/>
        </a:stretch>
      </xdr:blipFill>
      <xdr:spPr>
        <a:xfrm>
          <a:off x="0" y="4594860"/>
          <a:ext cx="16566112" cy="72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138233</xdr:colOff>
      <xdr:row>74</xdr:row>
      <xdr:rowOff>91440</xdr:rowOff>
    </xdr:from>
    <xdr:to>
      <xdr:col>13</xdr:col>
      <xdr:colOff>758525</xdr:colOff>
      <xdr:row>104</xdr:row>
      <xdr:rowOff>71502</xdr:rowOff>
    </xdr:to>
    <xdr:pic>
      <xdr:nvPicPr>
        <xdr:cNvPr id="2" name="图片 1">
          <a:extLst>
            <a:ext uri="{FF2B5EF4-FFF2-40B4-BE49-F238E27FC236}">
              <a16:creationId xmlns:a16="http://schemas.microsoft.com/office/drawing/2014/main" id="{90963938-8CB7-0A4A-4D98-C70F9EB165CF}"/>
            </a:ext>
          </a:extLst>
        </xdr:cNvPr>
        <xdr:cNvPicPr>
          <a:picLocks noChangeAspect="1"/>
        </xdr:cNvPicPr>
      </xdr:nvPicPr>
      <xdr:blipFill>
        <a:blip xmlns:r="http://schemas.openxmlformats.org/officeDocument/2006/relationships" r:embed="rId1"/>
        <a:stretch>
          <a:fillRect/>
        </a:stretch>
      </xdr:blipFill>
      <xdr:spPr>
        <a:xfrm>
          <a:off x="138233" y="13990320"/>
          <a:ext cx="9665232" cy="54664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445042</xdr:colOff>
      <xdr:row>26</xdr:row>
      <xdr:rowOff>0</xdr:rowOff>
    </xdr:from>
    <xdr:to>
      <xdr:col>15</xdr:col>
      <xdr:colOff>435097</xdr:colOff>
      <xdr:row>53</xdr:row>
      <xdr:rowOff>136212</xdr:rowOff>
    </xdr:to>
    <xdr:pic>
      <xdr:nvPicPr>
        <xdr:cNvPr id="2" name="图片 1">
          <a:extLst>
            <a:ext uri="{FF2B5EF4-FFF2-40B4-BE49-F238E27FC236}">
              <a16:creationId xmlns:a16="http://schemas.microsoft.com/office/drawing/2014/main" id="{FBEA83EC-FFE6-CF6C-7523-5EFB64FAB15A}"/>
            </a:ext>
          </a:extLst>
        </xdr:cNvPr>
        <xdr:cNvPicPr>
          <a:picLocks noChangeAspect="1"/>
        </xdr:cNvPicPr>
      </xdr:nvPicPr>
      <xdr:blipFill>
        <a:blip xmlns:r="http://schemas.openxmlformats.org/officeDocument/2006/relationships" r:embed="rId1"/>
        <a:stretch>
          <a:fillRect/>
        </a:stretch>
      </xdr:blipFill>
      <xdr:spPr>
        <a:xfrm>
          <a:off x="445042" y="4754880"/>
          <a:ext cx="9370275" cy="5073972"/>
        </a:xfrm>
        <a:prstGeom prst="rect">
          <a:avLst/>
        </a:prstGeom>
      </xdr:spPr>
    </xdr:pic>
    <xdr:clientData/>
  </xdr:twoCellAnchor>
  <xdr:twoCellAnchor editAs="oneCell">
    <xdr:from>
      <xdr:col>1</xdr:col>
      <xdr:colOff>213360</xdr:colOff>
      <xdr:row>54</xdr:row>
      <xdr:rowOff>45720</xdr:rowOff>
    </xdr:from>
    <xdr:to>
      <xdr:col>10</xdr:col>
      <xdr:colOff>317436</xdr:colOff>
      <xdr:row>74</xdr:row>
      <xdr:rowOff>54787</xdr:rowOff>
    </xdr:to>
    <xdr:pic>
      <xdr:nvPicPr>
        <xdr:cNvPr id="3" name="图片 2">
          <a:extLst>
            <a:ext uri="{FF2B5EF4-FFF2-40B4-BE49-F238E27FC236}">
              <a16:creationId xmlns:a16="http://schemas.microsoft.com/office/drawing/2014/main" id="{1165C166-0A80-0F0D-3327-A609D8F52872}"/>
            </a:ext>
          </a:extLst>
        </xdr:cNvPr>
        <xdr:cNvPicPr>
          <a:picLocks noChangeAspect="1"/>
        </xdr:cNvPicPr>
      </xdr:nvPicPr>
      <xdr:blipFill>
        <a:blip xmlns:r="http://schemas.openxmlformats.org/officeDocument/2006/relationships" r:embed="rId2"/>
        <a:stretch>
          <a:fillRect/>
        </a:stretch>
      </xdr:blipFill>
      <xdr:spPr>
        <a:xfrm>
          <a:off x="1059180" y="9921240"/>
          <a:ext cx="5590476"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北京市东城区朝阳门北大街8号房地产抵押价值预评估</v>
      </c>
    </row>
    <row r="3" spans="1:2">
      <c r="A3" s="1118" t="s">
        <v>523</v>
      </c>
      <c r="B3" s="1119" t="str">
        <f>'预评函-封皮'!B40</f>
        <v>北京农商银行总行东城支行</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受贵公司委托，我公司对北京市东城区朝阳门北大街8号房地产抵押价值进行了预评估。</v>
      </c>
    </row>
    <row r="7" spans="1:2">
      <c r="A7" s="1118" t="s">
        <v>566</v>
      </c>
      <c r="B7" s="1119" t="str">
        <f>'预评函-1'!A7</f>
        <v>估价对象为北京市东城区朝阳门北大街8号房地产，为北京铜牛集团有限公司所有。根据《国有土地使用证》[]，估价对象（分摊）出让国有建设用地使用权面积为1066.21平方米，建筑面积为12000.23平方米。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2" spans="1:2">
      <c r="A12" s="1118" t="s">
        <v>528</v>
      </c>
      <c r="B12" s="1119" t="str">
        <f>'预评函-1'!A15</f>
        <v>2025年3月6日（评估专业人员实地查勘之日）</v>
      </c>
    </row>
    <row r="13" spans="1:2">
      <c r="A13" s="1118" t="s">
        <v>529</v>
      </c>
      <c r="B13" s="1119" t="str">
        <f>'预评函-1'!A18</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4" spans="1:2">
      <c r="A14" s="1118" t="s">
        <v>530</v>
      </c>
      <c r="B14" s="1119" t="str">
        <f>'预评函-1'!A19</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43142</v>
      </c>
    </row>
    <row r="21" spans="1:2">
      <c r="A21" s="1118" t="s">
        <v>537</v>
      </c>
      <c r="B21" s="1119">
        <f ca="1">'预评函-2'!D7</f>
        <v>35951</v>
      </c>
    </row>
    <row r="22" spans="1:2">
      <c r="A22" s="1118" t="s">
        <v>538</v>
      </c>
      <c r="B22" s="1119" t="str">
        <f ca="1">'预评函-2'!D6</f>
        <v>肆亿叁仟壹佰肆拾贰万元整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43142</v>
      </c>
    </row>
    <row r="31" spans="1:2">
      <c r="A31" s="1118" t="s">
        <v>576</v>
      </c>
      <c r="B31" s="1119">
        <f ca="1">'预评函-2'!D15</f>
        <v>35951</v>
      </c>
    </row>
    <row r="32" spans="1:2">
      <c r="A32" s="1118" t="s">
        <v>543</v>
      </c>
      <c r="B32" s="1119" t="str">
        <f ca="1">'预评函-2'!D14</f>
        <v>肆亿叁仟壹佰肆拾贰万元整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北京市东城区朝阳门北大街8号房地产</v>
      </c>
    </row>
    <row r="42" spans="1:2" ht="31.2">
      <c r="A42" s="1118" t="s">
        <v>590</v>
      </c>
      <c r="B42" s="1119" t="str">
        <f>'预评函-3'!B2</f>
        <v>建筑面积</v>
      </c>
    </row>
    <row r="43" spans="1:2">
      <c r="A43" s="1118" t="s">
        <v>591</v>
      </c>
      <c r="B43" s="1119">
        <f>'预评函-3'!B4</f>
        <v>12000.230000000001</v>
      </c>
    </row>
    <row r="44" spans="1:2" ht="31.2">
      <c r="A44" s="1118" t="s">
        <v>575</v>
      </c>
      <c r="B44" s="1119" t="str">
        <f>'预评函-3'!C2</f>
        <v>(分摊)土地面积</v>
      </c>
    </row>
    <row r="45" spans="1:2">
      <c r="A45" s="1118" t="s">
        <v>547</v>
      </c>
      <c r="B45" s="1119">
        <f>'预评函-3'!C4</f>
        <v>1066.21</v>
      </c>
    </row>
    <row r="46" spans="1:2">
      <c r="A46" s="1118" t="s">
        <v>573</v>
      </c>
      <c r="B46" s="1119" t="str">
        <f>'预评函-3'!D2</f>
        <v>出让国有建设用地使用权价值</v>
      </c>
    </row>
    <row r="47" spans="1:2">
      <c r="A47" s="1118" t="s">
        <v>548</v>
      </c>
      <c r="B47" s="1119">
        <f ca="1">'预评函-3'!D4</f>
        <v>35722</v>
      </c>
    </row>
    <row r="48" spans="1:2">
      <c r="A48" s="1118" t="s">
        <v>549</v>
      </c>
      <c r="B48" s="1119">
        <f ca="1">'预评函-3'!E4</f>
        <v>29768</v>
      </c>
    </row>
    <row r="49" spans="1:2">
      <c r="A49" s="1118" t="s">
        <v>550</v>
      </c>
      <c r="B49" s="1119" t="str">
        <f ca="1">'预评函-3'!D5</f>
        <v>叁亿伍仟柒佰贰拾贰万元整</v>
      </c>
    </row>
    <row r="50" spans="1:2">
      <c r="A50" s="1118" t="s">
        <v>574</v>
      </c>
      <c r="B50" s="1119" t="str">
        <f>'预评函-3'!F2</f>
        <v>在建建筑物价值</v>
      </c>
    </row>
    <row r="51" spans="1:2">
      <c r="A51" s="1118" t="s">
        <v>551</v>
      </c>
      <c r="B51" s="1119">
        <f ca="1">'预评函-3'!F4</f>
        <v>7420</v>
      </c>
    </row>
    <row r="52" spans="1:2">
      <c r="A52" s="1118" t="s">
        <v>552</v>
      </c>
      <c r="B52" s="1119">
        <f ca="1">'预评函-3'!G4</f>
        <v>6183</v>
      </c>
    </row>
    <row r="53" spans="1:2">
      <c r="A53" s="1118" t="s">
        <v>580</v>
      </c>
      <c r="B53" s="1119" t="str">
        <f ca="1">'预评函-3'!F5</f>
        <v>柒仟肆佰贰拾万元整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1" sqref="G2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4008</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写字楼土地取得方式为出让，出让国有建设用地使用权剩余土地使用年限为XX年(多用途剩余年限尾数不同时，可只体现小数点后一位)，假定未设立法定优先受偿款下的房地产市场价值。</v>
      </c>
    </row>
    <row r="54" spans="1:4">
      <c r="A54" s="3283"/>
      <c r="B54" s="1446" t="s">
        <v>385</v>
      </c>
      <c r="C54" s="1444" t="s">
        <v>583</v>
      </c>
    </row>
    <row r="55" spans="1:4">
      <c r="A55" s="3283"/>
      <c r="B55" s="1446" t="s">
        <v>386</v>
      </c>
      <c r="C55" s="1444" t="s">
        <v>584</v>
      </c>
    </row>
    <row r="56" spans="1:4">
      <c r="A56" s="3283"/>
      <c r="B56" s="1446" t="s">
        <v>387</v>
      </c>
      <c r="C56" s="1444" t="s">
        <v>588</v>
      </c>
    </row>
    <row r="57" spans="1:4">
      <c r="A57" s="328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84" t="s">
        <v>2578</v>
      </c>
      <c r="J2" s="3284"/>
      <c r="K2" s="3284"/>
      <c r="L2" s="3284"/>
      <c r="M2" s="3284"/>
      <c r="N2" s="3284"/>
      <c r="O2" s="3284"/>
      <c r="P2" s="3284"/>
      <c r="Q2" s="3284"/>
      <c r="R2" s="3284"/>
    </row>
    <row r="3" spans="1:18">
      <c r="A3" s="2758" t="s">
        <v>2499</v>
      </c>
      <c r="B3" s="2759">
        <f>项目基本情况!D3</f>
        <v>45722</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1.78</v>
      </c>
      <c r="D5" s="2763">
        <f>IF(ISERROR(ROUND(POWER(1+E5,A5-C5)*(POWER(1+E5,C5)-1)/(POWER(1+E5,A5)-1),3)),0,ROUND(POWER(1+E5,A5-C5)*(POWER(1+E5,C5)-1)/(POWER(1+E5,A5)-1),4))</f>
        <v>8.5199999999999998E-2</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11.79</v>
      </c>
      <c r="D6" s="2763">
        <f>IF(ISERROR(ROUND(POWER(1+E6,A6-C6)*(POWER(1+E6,C6)-1)/(POWER(1+E6,A6)-1),3)),0,ROUND(POWER(1+E6,A6-C6)*(POWER(1+E6,C6)-1)/(POWER(1+E6,A6)-1),4))</f>
        <v>0.43090000000000001</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31.81</v>
      </c>
      <c r="D7" s="2763">
        <f>IF(ISERROR(ROUND(POWER(1+E7,A7-C7)*(POWER(1+E7,C7)-1)/(POWER(1+E7,A7)-1),3)),0,ROUND(POWER(1+E7,A7-C7)*(POWER(1+E7,C7)-1)/(POWER(1+E7,A7)-1),4))</f>
        <v>0.76170000000000004</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4">
      <c r="A17" s="2758" t="s">
        <v>2515</v>
      </c>
      <c r="B17" s="2766">
        <v>4810</v>
      </c>
      <c r="C17" s="2760"/>
      <c r="D17" s="2756"/>
      <c r="E17" s="2756"/>
      <c r="F17" s="2757"/>
    </row>
    <row r="18" spans="1:14" ht="15" thickBot="1">
      <c r="A18" s="2768" t="s">
        <v>2514</v>
      </c>
      <c r="B18" s="2769">
        <f>ROUND(B17*F11/F12,2)</f>
        <v>5541.87</v>
      </c>
      <c r="C18" s="2769">
        <f>ROUND(F11/F12,4)</f>
        <v>1.1521999999999999</v>
      </c>
      <c r="D18" s="2770"/>
      <c r="E18" s="2770"/>
      <c r="F18" s="2771"/>
    </row>
    <row r="19" spans="1:14" ht="15" thickBot="1"/>
    <row r="20" spans="1:14" s="2804" customFormat="1" ht="15" thickTop="1">
      <c r="A20" s="2801" t="s">
        <v>2517</v>
      </c>
      <c r="B20" s="2802"/>
      <c r="C20" s="2802"/>
      <c r="D20" s="2802"/>
      <c r="E20" s="2802"/>
      <c r="F20" s="2802"/>
      <c r="G20" s="2803"/>
      <c r="I20" s="2805" t="s">
        <v>2562</v>
      </c>
      <c r="J20" s="2805" t="s">
        <v>2567</v>
      </c>
      <c r="K20" s="2805"/>
      <c r="L20" s="2805"/>
      <c r="M20" s="2805"/>
    </row>
    <row r="21" spans="1:14">
      <c r="A21" s="2772"/>
      <c r="B21" s="2773" t="s">
        <v>2518</v>
      </c>
      <c r="C21" s="2773" t="s">
        <v>2519</v>
      </c>
      <c r="D21" s="2773" t="s">
        <v>2520</v>
      </c>
      <c r="E21" s="2773" t="s">
        <v>2521</v>
      </c>
      <c r="F21" s="2773" t="s">
        <v>2522</v>
      </c>
      <c r="G21" s="2774" t="s">
        <v>2523</v>
      </c>
      <c r="I21" s="2795">
        <v>5</v>
      </c>
      <c r="J21" s="2795">
        <v>54.2</v>
      </c>
    </row>
    <row r="22" spans="1:14">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N23" s="3148" t="s">
        <v>2566</v>
      </c>
    </row>
    <row r="24" spans="1:14">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N24" s="3148">
        <v>10</v>
      </c>
    </row>
    <row r="25" spans="1:14">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N25" s="3148">
        <v>8</v>
      </c>
    </row>
    <row r="26" spans="1:14">
      <c r="A26" s="2777"/>
      <c r="B26" s="2778"/>
      <c r="C26" s="2778"/>
      <c r="D26" s="2778"/>
      <c r="E26" s="2778"/>
      <c r="F26" s="2778"/>
      <c r="G26" s="2779"/>
      <c r="I26" s="2795">
        <v>30</v>
      </c>
      <c r="J26" s="2795">
        <v>90.5</v>
      </c>
      <c r="K26" s="2795">
        <f t="shared" si="2"/>
        <v>4.2000000000000028</v>
      </c>
      <c r="L26" s="2795" t="s">
        <v>2569</v>
      </c>
      <c r="N26" s="3148">
        <v>5</v>
      </c>
    </row>
    <row r="27" spans="1:14">
      <c r="A27" s="2777" t="s">
        <v>2528</v>
      </c>
      <c r="B27" s="2778"/>
      <c r="C27" s="2778"/>
      <c r="D27" s="2778"/>
      <c r="E27" s="2778"/>
      <c r="F27" s="2778"/>
      <c r="G27" s="2779"/>
      <c r="I27" s="2795">
        <v>35</v>
      </c>
      <c r="J27" s="2795">
        <v>93.8</v>
      </c>
      <c r="K27" s="2795">
        <f t="shared" si="2"/>
        <v>3.2999999999999972</v>
      </c>
      <c r="L27" s="2795" t="s">
        <v>2570</v>
      </c>
      <c r="N27" s="3148">
        <v>3</v>
      </c>
    </row>
    <row r="28" spans="1:14">
      <c r="A28" s="2777" t="s">
        <v>2529</v>
      </c>
      <c r="B28" s="2778"/>
      <c r="C28" s="2778"/>
      <c r="D28" s="2778"/>
      <c r="E28" s="2778"/>
      <c r="F28" s="2778"/>
      <c r="G28" s="2779"/>
      <c r="I28" s="2795">
        <v>40</v>
      </c>
      <c r="J28" s="2795">
        <v>96.4</v>
      </c>
      <c r="K28" s="2795">
        <f t="shared" si="2"/>
        <v>2.6000000000000085</v>
      </c>
      <c r="L28" s="2795" t="s">
        <v>2571</v>
      </c>
      <c r="N28" s="3148">
        <v>2</v>
      </c>
    </row>
    <row r="29" spans="1:14">
      <c r="A29" s="2777" t="s">
        <v>2530</v>
      </c>
      <c r="B29" s="2778"/>
      <c r="C29" s="2778"/>
      <c r="D29" s="2778"/>
      <c r="E29" s="2778"/>
      <c r="F29" s="2778"/>
      <c r="G29" s="2779"/>
      <c r="I29" s="2795">
        <v>45</v>
      </c>
      <c r="J29" s="2795">
        <v>98.4</v>
      </c>
      <c r="K29" s="2795">
        <f t="shared" si="2"/>
        <v>2</v>
      </c>
    </row>
    <row r="30" spans="1:14">
      <c r="A30" s="2777" t="s">
        <v>2531</v>
      </c>
      <c r="B30" s="2778"/>
      <c r="C30" s="2778"/>
      <c r="D30" s="2778"/>
      <c r="E30" s="2778"/>
      <c r="F30" s="2778"/>
      <c r="G30" s="2779"/>
      <c r="I30" s="2795">
        <v>50</v>
      </c>
      <c r="J30" s="2795">
        <v>100</v>
      </c>
      <c r="K30" s="2795">
        <f t="shared" si="2"/>
        <v>1.5999999999999943</v>
      </c>
    </row>
    <row r="31" spans="1:14">
      <c r="A31" s="2777" t="s">
        <v>2532</v>
      </c>
      <c r="B31" s="2778"/>
      <c r="C31" s="2778"/>
      <c r="D31" s="2778"/>
      <c r="E31" s="2778"/>
      <c r="F31" s="2778"/>
      <c r="G31" s="2779"/>
      <c r="I31" s="2795" t="s">
        <v>2563</v>
      </c>
    </row>
    <row r="32" spans="1:14">
      <c r="A32" s="2777" t="s">
        <v>2533</v>
      </c>
      <c r="B32" s="2778"/>
      <c r="C32" s="2778"/>
      <c r="D32" s="2778"/>
      <c r="E32" s="2778"/>
      <c r="F32" s="2778"/>
      <c r="G32" s="2779"/>
    </row>
    <row r="33" spans="1:14">
      <c r="A33" s="2777" t="s">
        <v>2534</v>
      </c>
      <c r="B33" s="2778"/>
      <c r="C33" s="2778"/>
      <c r="D33" s="2778"/>
      <c r="E33" s="2778"/>
      <c r="F33" s="2778"/>
      <c r="G33" s="2779"/>
      <c r="I33" s="2795" t="s">
        <v>2562</v>
      </c>
      <c r="J33" s="2795" t="s">
        <v>2572</v>
      </c>
    </row>
    <row r="34" spans="1:14">
      <c r="A34" s="2777" t="s">
        <v>2535</v>
      </c>
      <c r="B34" s="2778"/>
      <c r="C34" s="2778"/>
      <c r="D34" s="2778"/>
      <c r="E34" s="2778"/>
      <c r="F34" s="2778"/>
      <c r="G34" s="2779"/>
      <c r="I34" s="2795">
        <v>5</v>
      </c>
      <c r="J34" s="2795">
        <v>55.1</v>
      </c>
    </row>
    <row r="35" spans="1:14">
      <c r="A35" s="2777" t="s">
        <v>2536</v>
      </c>
      <c r="B35" s="2778"/>
      <c r="C35" s="2778"/>
      <c r="D35" s="2778"/>
      <c r="E35" s="2778"/>
      <c r="F35" s="2778"/>
      <c r="G35" s="2779"/>
      <c r="I35" s="2795">
        <v>10</v>
      </c>
      <c r="J35" s="2795">
        <v>67</v>
      </c>
      <c r="K35" s="2795">
        <f>J35-J34</f>
        <v>11.899999999999999</v>
      </c>
    </row>
    <row r="36" spans="1:14">
      <c r="A36" s="2777" t="s">
        <v>2537</v>
      </c>
      <c r="B36" s="2778"/>
      <c r="C36" s="2778"/>
      <c r="D36" s="2778"/>
      <c r="E36" s="2778"/>
      <c r="F36" s="2778"/>
      <c r="G36" s="2779"/>
      <c r="I36" s="2795">
        <v>15</v>
      </c>
      <c r="J36" s="2795">
        <v>76.3</v>
      </c>
      <c r="K36" s="2795">
        <f t="shared" ref="K36:K41" si="3">J36-J35</f>
        <v>9.2999999999999972</v>
      </c>
      <c r="L36" s="2795" t="s">
        <v>2565</v>
      </c>
      <c r="N36" s="3148" t="s">
        <v>2566</v>
      </c>
    </row>
    <row r="37" spans="1:14">
      <c r="A37" s="2777" t="s">
        <v>2538</v>
      </c>
      <c r="B37" s="2778"/>
      <c r="C37" s="2778"/>
      <c r="D37" s="2778"/>
      <c r="E37" s="2778"/>
      <c r="F37" s="2778"/>
      <c r="G37" s="2779"/>
      <c r="I37" s="2795">
        <v>20</v>
      </c>
      <c r="J37" s="2795">
        <v>83.6</v>
      </c>
      <c r="K37" s="2795">
        <f t="shared" si="3"/>
        <v>7.2999999999999972</v>
      </c>
      <c r="L37" s="2795" t="s">
        <v>2564</v>
      </c>
      <c r="N37" s="3148">
        <v>10</v>
      </c>
    </row>
    <row r="38" spans="1:14">
      <c r="A38" s="2777" t="s">
        <v>2539</v>
      </c>
      <c r="B38" s="2778"/>
      <c r="C38" s="2778"/>
      <c r="D38" s="2778"/>
      <c r="E38" s="2778"/>
      <c r="F38" s="2778"/>
      <c r="G38" s="2779"/>
      <c r="I38" s="2795">
        <v>25</v>
      </c>
      <c r="J38" s="2795">
        <v>89.3</v>
      </c>
      <c r="K38" s="2795">
        <f t="shared" si="3"/>
        <v>5.7000000000000028</v>
      </c>
      <c r="L38" s="2795" t="s">
        <v>2568</v>
      </c>
      <c r="N38" s="3148">
        <v>8</v>
      </c>
    </row>
    <row r="39" spans="1:14">
      <c r="A39" s="2777"/>
      <c r="B39" s="2778"/>
      <c r="C39" s="2778"/>
      <c r="D39" s="2778"/>
      <c r="E39" s="2778"/>
      <c r="F39" s="2778"/>
      <c r="G39" s="2779"/>
      <c r="I39" s="2795">
        <v>30</v>
      </c>
      <c r="J39" s="2795">
        <v>93.8</v>
      </c>
      <c r="K39" s="2795">
        <f t="shared" si="3"/>
        <v>4.5</v>
      </c>
      <c r="L39" s="2795" t="s">
        <v>2569</v>
      </c>
      <c r="N39" s="3148">
        <v>6</v>
      </c>
    </row>
    <row r="40" spans="1:14">
      <c r="A40" s="2780" t="s">
        <v>2540</v>
      </c>
      <c r="B40" s="2781"/>
      <c r="C40" s="2781"/>
      <c r="D40" s="2781"/>
      <c r="E40" s="2781"/>
      <c r="F40" s="2781"/>
      <c r="G40" s="2782"/>
      <c r="I40" s="2795">
        <v>35</v>
      </c>
      <c r="J40" s="2795">
        <v>97.2</v>
      </c>
      <c r="K40" s="2795">
        <f t="shared" si="3"/>
        <v>3.4000000000000057</v>
      </c>
      <c r="L40" s="2795" t="s">
        <v>2570</v>
      </c>
      <c r="N40" s="3148">
        <v>3</v>
      </c>
    </row>
    <row r="41" spans="1:14">
      <c r="A41" s="2783" t="s">
        <v>2541</v>
      </c>
      <c r="B41" s="2784" t="s">
        <v>2542</v>
      </c>
      <c r="C41" s="2785" t="s">
        <v>2543</v>
      </c>
      <c r="D41" s="2785" t="s">
        <v>2544</v>
      </c>
      <c r="E41" s="2786"/>
      <c r="F41" s="2787"/>
      <c r="G41" s="2788"/>
      <c r="I41" s="2795">
        <v>40</v>
      </c>
      <c r="J41" s="2795">
        <v>100</v>
      </c>
      <c r="K41" s="2795">
        <f t="shared" si="3"/>
        <v>2.7999999999999972</v>
      </c>
    </row>
    <row r="42" spans="1:14">
      <c r="A42" s="2783" t="s">
        <v>2545</v>
      </c>
      <c r="B42" s="2784" t="s">
        <v>2546</v>
      </c>
      <c r="C42" s="2785" t="s">
        <v>2547</v>
      </c>
      <c r="D42" s="2789" t="s">
        <v>2548</v>
      </c>
      <c r="E42" s="2781" t="s">
        <v>2549</v>
      </c>
      <c r="F42" s="2781"/>
      <c r="G42" s="2782"/>
    </row>
    <row r="43" spans="1:14">
      <c r="A43" s="2783" t="s">
        <v>2550</v>
      </c>
      <c r="B43" s="2784" t="s">
        <v>2551</v>
      </c>
      <c r="C43" s="2785" t="s">
        <v>2552</v>
      </c>
      <c r="D43" s="2785" t="s">
        <v>2553</v>
      </c>
      <c r="E43" s="2786" t="s">
        <v>2554</v>
      </c>
      <c r="F43" s="2787"/>
      <c r="G43" s="2788"/>
      <c r="I43" s="2795" t="s">
        <v>2562</v>
      </c>
      <c r="J43" s="2795" t="s">
        <v>2573</v>
      </c>
    </row>
    <row r="44" spans="1:14">
      <c r="A44" s="2783" t="s">
        <v>2555</v>
      </c>
      <c r="B44" s="2784" t="s">
        <v>2556</v>
      </c>
      <c r="C44" s="2785" t="s">
        <v>2557</v>
      </c>
      <c r="D44" s="2789">
        <v>0.5</v>
      </c>
      <c r="E44" s="2786" t="s">
        <v>2558</v>
      </c>
      <c r="F44" s="2787"/>
      <c r="G44" s="2788"/>
      <c r="I44" s="2795">
        <v>30</v>
      </c>
      <c r="J44" s="2795">
        <v>81.7</v>
      </c>
    </row>
    <row r="45" spans="1:14" ht="15" thickBot="1">
      <c r="A45" s="2790" t="s">
        <v>2559</v>
      </c>
      <c r="B45" s="2791" t="s">
        <v>2546</v>
      </c>
      <c r="C45" s="2792" t="s">
        <v>2546</v>
      </c>
      <c r="D45" s="2792" t="s">
        <v>2560</v>
      </c>
      <c r="E45" s="2793" t="s">
        <v>2561</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3388</v>
      </c>
    </row>
    <row r="50" spans="1:4">
      <c r="A50" s="3140" t="s">
        <v>3389</v>
      </c>
      <c r="B50" s="3140" t="s">
        <v>3390</v>
      </c>
      <c r="C50" s="3140" t="s">
        <v>3391</v>
      </c>
      <c r="D50" s="3140" t="s">
        <v>3392</v>
      </c>
    </row>
    <row r="51" spans="1:4">
      <c r="A51" s="3140" t="s">
        <v>3393</v>
      </c>
      <c r="B51" s="2760">
        <f>B52+B53</f>
        <v>15000</v>
      </c>
      <c r="C51" s="3141">
        <f>D51/B51</f>
        <v>2666.6666666666665</v>
      </c>
      <c r="D51" s="2760">
        <f>D52+D53</f>
        <v>40000000</v>
      </c>
    </row>
    <row r="52" spans="1:4">
      <c r="A52" s="3142" t="s">
        <v>3394</v>
      </c>
      <c r="B52" s="3143">
        <v>10000</v>
      </c>
      <c r="C52" s="3143">
        <v>1500</v>
      </c>
      <c r="D52" s="3144">
        <f>C52*B52</f>
        <v>15000000</v>
      </c>
    </row>
    <row r="53" spans="1:4">
      <c r="A53" s="3142" t="s">
        <v>3395</v>
      </c>
      <c r="B53" s="3143">
        <v>5000</v>
      </c>
      <c r="C53" s="3143">
        <v>5000</v>
      </c>
      <c r="D53" s="3144">
        <f>C53*B53</f>
        <v>25000000</v>
      </c>
    </row>
    <row r="54" spans="1:4">
      <c r="A54" s="3140" t="s">
        <v>3396</v>
      </c>
      <c r="B54" s="2760">
        <f>B51</f>
        <v>15000</v>
      </c>
      <c r="C54" s="2766">
        <v>700</v>
      </c>
      <c r="D54" s="2760">
        <f t="shared" ref="D54:D55" si="5">C54*B54</f>
        <v>10500000</v>
      </c>
    </row>
    <row r="55" spans="1:4">
      <c r="A55" s="3140" t="s">
        <v>3397</v>
      </c>
      <c r="B55" s="2760">
        <f>B51</f>
        <v>15000</v>
      </c>
      <c r="C55" s="2766">
        <v>1500</v>
      </c>
      <c r="D55" s="2760">
        <f t="shared" si="5"/>
        <v>22500000</v>
      </c>
    </row>
    <row r="56" spans="1:4">
      <c r="A56" s="3140" t="s">
        <v>3398</v>
      </c>
      <c r="B56" s="2760">
        <f>B51</f>
        <v>15000</v>
      </c>
      <c r="C56" s="3145">
        <f>C51+C54+C55</f>
        <v>4866.6666666666661</v>
      </c>
      <c r="D56" s="2760">
        <f>D51+D54+D55</f>
        <v>73000000</v>
      </c>
    </row>
    <row r="58" spans="1:4">
      <c r="A58" s="3140" t="s">
        <v>3399</v>
      </c>
      <c r="B58" s="3146">
        <v>0.05</v>
      </c>
      <c r="C58" s="2760">
        <f>C56*(1+B58)</f>
        <v>5110</v>
      </c>
      <c r="D58" s="2760">
        <f>D56*B58</f>
        <v>3650000</v>
      </c>
    </row>
    <row r="60" spans="1:4">
      <c r="A60" s="3140" t="s">
        <v>3400</v>
      </c>
      <c r="B60" s="2766">
        <v>3500</v>
      </c>
      <c r="C60" s="2766">
        <f>C53</f>
        <v>5000</v>
      </c>
      <c r="D60" s="2760">
        <f>C60*B60</f>
        <v>17500000</v>
      </c>
    </row>
    <row r="62" spans="1:4">
      <c r="A62" s="3140" t="s">
        <v>3401</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H34" sqref="H3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92" t="str">
        <f>IF(B10="北京市","北京市",C10)&amp;F10&amp;IF(结果表!G1="在建","出让国有建设用地使用权及在建建筑物",IF(结果表!G1="土地","出让国有建设用地使用权",))&amp;B9&amp;"预评估"</f>
        <v>北京市东城区朝阳门北大街8号房地产抵押价值预评估</v>
      </c>
      <c r="C1" s="3293"/>
      <c r="D1" s="3293"/>
      <c r="E1" s="3293"/>
      <c r="F1" s="3293"/>
      <c r="G1" s="3293"/>
      <c r="H1" s="3293"/>
      <c r="I1" s="3294"/>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北京市东城区朝阳门北大街8号房地产抵押价值</v>
      </c>
      <c r="T1" s="1617"/>
      <c r="U1" s="1617"/>
      <c r="V1" s="1617"/>
      <c r="W1" s="1617"/>
      <c r="X1" s="1617"/>
      <c r="Y1" s="1617"/>
      <c r="Z1" s="1617"/>
      <c r="AA1" s="1617"/>
      <c r="AB1" s="1617"/>
    </row>
    <row r="2" spans="1:30">
      <c r="A2" s="2181" t="s">
        <v>2169</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北京市东城区朝阳门北大街8号房地产</v>
      </c>
      <c r="T2" s="1617"/>
      <c r="U2" s="1617"/>
      <c r="V2" s="1617"/>
      <c r="W2" s="1617"/>
      <c r="X2" s="1617"/>
      <c r="Y2" s="1617"/>
      <c r="Z2" s="1617"/>
      <c r="AA2" s="1617"/>
      <c r="AB2" s="1617"/>
    </row>
    <row r="3" spans="1:30">
      <c r="A3" s="294" t="s">
        <v>2170</v>
      </c>
      <c r="B3" s="2184">
        <v>45722</v>
      </c>
      <c r="C3" s="2185" t="s">
        <v>2171</v>
      </c>
      <c r="D3" s="2184">
        <f>B3</f>
        <v>45722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36.6" thickTop="1">
      <c r="A5" s="2189" t="s">
        <v>2173</v>
      </c>
      <c r="B5" s="3152" t="s">
        <v>3413</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2174</v>
      </c>
      <c r="B6" s="3151" t="s">
        <v>3413</v>
      </c>
      <c r="C6" s="2193"/>
      <c r="D6" s="2194"/>
      <c r="E6" s="2437"/>
      <c r="F6" s="2438"/>
      <c r="G6" s="2438"/>
      <c r="H6" s="2438"/>
      <c r="I6" s="2438"/>
      <c r="J6" s="2241"/>
      <c r="K6" s="2397" t="str">
        <f>IF(COUNTIF(B6,"*上海银行*"),"上海银行","")</f>
        <v/>
      </c>
      <c r="L6" s="2395"/>
      <c r="M6" s="2395"/>
      <c r="N6" s="2241"/>
      <c r="O6" s="1669"/>
      <c r="P6" s="2241"/>
      <c r="Q6" s="2241"/>
      <c r="R6" s="2241"/>
    </row>
    <row r="7" spans="1:30">
      <c r="A7" s="2192" t="s">
        <v>2175</v>
      </c>
      <c r="B7" s="2195"/>
      <c r="C7" s="2193"/>
      <c r="D7" s="2194"/>
      <c r="E7" s="2437"/>
      <c r="F7" s="2438"/>
      <c r="G7" s="2438"/>
      <c r="H7" s="2438"/>
      <c r="I7" s="2438"/>
      <c r="J7" s="2241"/>
      <c r="K7" s="2398"/>
      <c r="L7" s="2395"/>
      <c r="M7" s="2395"/>
      <c r="N7" s="2241"/>
      <c r="O7" s="1669"/>
      <c r="P7" s="2241"/>
      <c r="Q7" s="2241"/>
      <c r="R7" s="2241"/>
    </row>
    <row r="8" spans="1:30">
      <c r="A8" s="2196" t="s">
        <v>2176</v>
      </c>
      <c r="B8" s="2197" t="s">
        <v>3403</v>
      </c>
      <c r="C8" s="2198"/>
      <c r="D8" s="3295" t="s">
        <v>2177</v>
      </c>
      <c r="E8" s="2199" t="s">
        <v>3404</v>
      </c>
      <c r="F8" s="2200"/>
      <c r="G8" s="2438"/>
      <c r="H8" s="2438"/>
      <c r="I8" s="2438"/>
      <c r="J8" s="2241"/>
      <c r="K8" s="2396"/>
      <c r="L8" s="2395"/>
      <c r="M8" s="2395"/>
      <c r="N8" s="2241"/>
      <c r="O8" s="1669"/>
      <c r="P8" s="2241"/>
      <c r="Q8" s="2241"/>
      <c r="R8" s="2241"/>
    </row>
    <row r="9" spans="1:30" ht="13.8" thickBot="1">
      <c r="A9" s="2201" t="s">
        <v>2178</v>
      </c>
      <c r="B9" s="2202" t="s">
        <v>3404</v>
      </c>
      <c r="C9" s="2203"/>
      <c r="D9" s="3296"/>
      <c r="E9" s="2202"/>
      <c r="F9" s="2204"/>
      <c r="G9" s="2439"/>
      <c r="H9" s="2439"/>
      <c r="I9" s="2439"/>
      <c r="J9" s="2241"/>
      <c r="K9" s="2398"/>
      <c r="L9" s="2395"/>
      <c r="M9" s="2395"/>
      <c r="N9" s="2241"/>
      <c r="O9" s="1669"/>
      <c r="P9" s="2241"/>
      <c r="Q9" s="2241"/>
      <c r="R9" s="2241"/>
    </row>
    <row r="10" spans="1:30" ht="13.8" thickTop="1">
      <c r="A10" s="2205" t="s">
        <v>2179</v>
      </c>
      <c r="B10" s="2206" t="s">
        <v>3405</v>
      </c>
      <c r="C10" s="2207"/>
      <c r="D10" s="2191"/>
      <c r="E10" s="2208" t="s">
        <v>2180</v>
      </c>
      <c r="F10" s="3149" t="s">
        <v>3407</v>
      </c>
      <c r="G10" s="2440"/>
      <c r="H10" s="2441"/>
      <c r="I10" s="2442"/>
      <c r="J10" s="2241"/>
      <c r="K10" s="2398"/>
      <c r="L10" s="2395"/>
      <c r="M10" s="2395"/>
      <c r="N10" s="2241"/>
      <c r="O10" s="1669"/>
      <c r="P10" s="2241"/>
      <c r="Q10" s="2241"/>
      <c r="R10" s="2241"/>
    </row>
    <row r="11" spans="1:30" ht="24">
      <c r="A11" s="2209" t="s">
        <v>2181</v>
      </c>
      <c r="B11" s="2210" t="s">
        <v>3406</v>
      </c>
      <c r="C11" s="3150" t="s">
        <v>3408</v>
      </c>
      <c r="D11" s="2211"/>
      <c r="E11" s="2181"/>
      <c r="F11" s="2181"/>
      <c r="G11" s="2181"/>
      <c r="H11" s="2181"/>
      <c r="I11" s="2181"/>
      <c r="J11" s="2797"/>
      <c r="K11" s="2395"/>
      <c r="L11" s="2395"/>
      <c r="M11" s="2395"/>
      <c r="N11" s="2241"/>
      <c r="O11" s="1669"/>
      <c r="P11" s="2241"/>
      <c r="Q11" s="2241"/>
      <c r="R11" s="2241"/>
    </row>
    <row r="12" spans="1:30">
      <c r="A12" s="2212" t="s">
        <v>2182</v>
      </c>
      <c r="B12" s="315" t="s">
        <v>2183</v>
      </c>
      <c r="C12" s="2213" t="s">
        <v>2184</v>
      </c>
      <c r="D12" s="2213" t="s">
        <v>2185</v>
      </c>
      <c r="E12" s="2213" t="s">
        <v>2186</v>
      </c>
      <c r="F12" s="2213" t="s">
        <v>2187</v>
      </c>
      <c r="G12" s="2213" t="s">
        <v>2188</v>
      </c>
      <c r="H12" s="2213" t="s">
        <v>2189</v>
      </c>
      <c r="I12" s="2796" t="s">
        <v>2574</v>
      </c>
      <c r="J12" s="2798"/>
      <c r="K12" s="2395"/>
      <c r="L12" s="2395"/>
      <c r="M12" s="2241"/>
      <c r="N12" s="1669"/>
      <c r="O12" s="2241"/>
      <c r="P12" s="2241"/>
      <c r="Q12" s="2241"/>
      <c r="AD12" s="1617"/>
    </row>
    <row r="13" spans="1:30">
      <c r="A13" s="3117" t="s">
        <v>3330</v>
      </c>
      <c r="B13" s="2214" t="s">
        <v>2190</v>
      </c>
      <c r="C13" s="803"/>
      <c r="D13" s="803"/>
      <c r="E13" s="803">
        <v>52610</v>
      </c>
      <c r="F13" s="803"/>
      <c r="G13" s="803"/>
      <c r="H13" s="803"/>
      <c r="I13" s="803"/>
      <c r="J13" s="2798"/>
      <c r="K13" s="2395"/>
      <c r="L13" s="2395"/>
      <c r="M13" s="2241"/>
      <c r="N13" s="1669"/>
      <c r="O13" s="2241"/>
      <c r="P13" s="2241"/>
      <c r="Q13" s="2241"/>
      <c r="AD13" s="1617"/>
    </row>
    <row r="14" spans="1:30">
      <c r="A14" s="1018"/>
      <c r="B14" s="2214" t="s">
        <v>2191</v>
      </c>
      <c r="C14" s="2215"/>
      <c r="D14" s="2215"/>
      <c r="E14" s="2215">
        <v>50</v>
      </c>
      <c r="F14" s="2215"/>
      <c r="G14" s="2215"/>
      <c r="H14" s="2215"/>
      <c r="I14" s="2215"/>
      <c r="J14" s="2799"/>
      <c r="K14" s="2395"/>
      <c r="L14" s="2395"/>
      <c r="M14" s="2241"/>
      <c r="N14" s="1669"/>
      <c r="O14" s="2241"/>
      <c r="P14" s="2241"/>
      <c r="Q14" s="2241"/>
      <c r="AD14" s="1617"/>
    </row>
    <row r="15" spans="1:30">
      <c r="A15" s="312"/>
      <c r="B15" s="2216" t="s">
        <v>2192</v>
      </c>
      <c r="C15" s="2217" t="str">
        <f>IF(A13="出让",IF(C13="","",ROUNDDOWN(MIN((C13-$D$3)/365,C14),2)),C14)</f>
        <v/>
      </c>
      <c r="D15" s="2217" t="str">
        <f>IF(A13="出让",IF(D13="","",ROUNDDOWN(MIN((D13-$D$3)/365,D14),2)),D14)</f>
        <v/>
      </c>
      <c r="E15" s="2217">
        <f>IF(A13="出让",IF(E13="","",ROUNDDOWN(MIN((E13-$D$3)/365,E14),2)),E14)</f>
        <v>18.87</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2193</v>
      </c>
      <c r="B16" s="3302" t="s">
        <v>3410</v>
      </c>
      <c r="C16" s="3303"/>
      <c r="D16" s="3304"/>
      <c r="E16" s="2218" t="s">
        <v>2194</v>
      </c>
      <c r="F16" s="3305">
        <f>E15</f>
        <v>18.87</v>
      </c>
      <c r="G16" s="3306"/>
      <c r="H16" s="3306"/>
      <c r="I16" s="3307"/>
      <c r="J16" s="2241"/>
      <c r="K16" s="2399"/>
      <c r="L16" s="1669"/>
      <c r="M16" s="1669"/>
      <c r="N16" s="2241"/>
      <c r="O16" s="1669"/>
      <c r="P16" s="2241"/>
      <c r="Q16" s="2241"/>
      <c r="R16" s="2241"/>
    </row>
    <row r="17" spans="1:28">
      <c r="A17" s="305" t="s">
        <v>2195</v>
      </c>
      <c r="B17" s="294" t="s">
        <v>2196</v>
      </c>
      <c r="C17" s="8">
        <f>'数据-汇总表'!E3</f>
        <v>12000.230000000001</v>
      </c>
      <c r="D17" s="1255" t="s">
        <v>2197</v>
      </c>
      <c r="E17" s="3308" t="s">
        <v>2198</v>
      </c>
      <c r="F17" s="3309"/>
      <c r="G17" s="3309"/>
      <c r="H17" s="3309"/>
      <c r="I17" s="3310"/>
      <c r="J17" s="2241"/>
      <c r="K17" s="2400"/>
      <c r="L17" s="1669"/>
      <c r="M17" s="1669"/>
      <c r="N17" s="2241"/>
      <c r="O17" s="1669"/>
      <c r="P17" s="2241"/>
      <c r="Q17" s="2241"/>
      <c r="R17" s="2241"/>
      <c r="S17" s="2241"/>
      <c r="T17" s="2241"/>
      <c r="U17" s="2241"/>
      <c r="V17" s="2241"/>
    </row>
    <row r="18" spans="1:28" ht="24.6" thickBot="1">
      <c r="A18" s="2219" t="s">
        <v>2199</v>
      </c>
      <c r="B18" s="1027" t="s">
        <v>2200</v>
      </c>
      <c r="C18" s="2220">
        <f>'数据-汇总表'!D3</f>
        <v>1066.21</v>
      </c>
      <c r="D18" s="1029" t="s">
        <v>2201</v>
      </c>
      <c r="E18" s="3311" t="s">
        <v>2202</v>
      </c>
      <c r="F18" s="3312"/>
      <c r="G18" s="3312"/>
      <c r="H18" s="3312"/>
      <c r="I18" s="3313"/>
      <c r="J18" s="2241"/>
      <c r="K18" s="2400"/>
      <c r="L18" s="1669"/>
      <c r="M18" s="1669"/>
      <c r="N18" s="2241"/>
      <c r="O18" s="1669"/>
      <c r="P18" s="2241"/>
      <c r="Q18" s="2241"/>
      <c r="R18" s="2241"/>
      <c r="S18" s="2241"/>
      <c r="T18" s="2241"/>
      <c r="U18" s="2241"/>
      <c r="V18" s="2241"/>
    </row>
    <row r="19" spans="1:28" ht="54" thickTop="1" thickBot="1">
      <c r="A19" s="319" t="s">
        <v>1055</v>
      </c>
      <c r="B19" s="299" t="s">
        <v>2203</v>
      </c>
      <c r="C19" s="1454" t="s">
        <v>3411</v>
      </c>
      <c r="D19" s="1455" t="s">
        <v>2204</v>
      </c>
      <c r="E19" s="1456" t="s">
        <v>3412</v>
      </c>
      <c r="F19" s="1457" t="str">
        <f>IF(AND(C19="是",E19="否"),"是否提供他项权证或相关说明","")</f>
        <v>是否提供他项权证或相关说明</v>
      </c>
      <c r="G19" s="1458" t="s">
        <v>3412</v>
      </c>
      <c r="H19" s="2438"/>
      <c r="I19" s="2438"/>
      <c r="J19" s="2241"/>
      <c r="K19" s="2398"/>
      <c r="L19" s="2395"/>
      <c r="M19" s="2395"/>
      <c r="N19" s="2241"/>
      <c r="O19" s="1669"/>
      <c r="P19" s="2241"/>
      <c r="Q19" s="2241"/>
      <c r="R19" s="2241"/>
      <c r="S19" s="2241"/>
      <c r="T19" s="2241"/>
      <c r="U19" s="2241"/>
      <c r="V19" s="2241"/>
    </row>
    <row r="20" spans="1:28">
      <c r="A20" s="2413" t="s">
        <v>2205</v>
      </c>
      <c r="B20" s="3298" t="s">
        <v>2206</v>
      </c>
      <c r="C20" s="3299"/>
      <c r="D20" s="3300" t="s">
        <v>2207</v>
      </c>
      <c r="E20" s="3301"/>
      <c r="F20" s="2426" t="s">
        <v>1056</v>
      </c>
      <c r="G20" s="2438"/>
      <c r="H20" s="2438"/>
      <c r="I20" s="2438"/>
      <c r="J20" s="2241"/>
      <c r="K20" s="32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86" t="s">
        <v>2214</v>
      </c>
      <c r="B27" s="312" t="s">
        <v>2215</v>
      </c>
      <c r="C27" s="2221" t="s">
        <v>3414</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86"/>
      <c r="B28" s="294"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86"/>
      <c r="B29" s="294"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87"/>
      <c r="B30" s="294" t="s">
        <v>2218</v>
      </c>
      <c r="C30" s="3288"/>
      <c r="D30" s="3289"/>
      <c r="E30" s="2438"/>
      <c r="F30" s="2438"/>
      <c r="G30" s="2438"/>
      <c r="H30" s="2438"/>
      <c r="I30" s="2438"/>
      <c r="J30" s="2241"/>
      <c r="K30" s="2398"/>
      <c r="L30" s="2395"/>
      <c r="M30" s="2395"/>
      <c r="N30" s="2241"/>
      <c r="O30" s="1669"/>
      <c r="P30" s="2241"/>
      <c r="Q30" s="2241"/>
      <c r="R30" s="2241"/>
      <c r="S30" s="2241"/>
      <c r="T30" s="2241"/>
      <c r="U30" s="2241"/>
      <c r="V30" s="2241"/>
    </row>
    <row r="31" spans="1:28">
      <c r="A31" s="3290" t="s">
        <v>2219</v>
      </c>
      <c r="B31" s="2227" t="s">
        <v>3415</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91"/>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91"/>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2220</v>
      </c>
      <c r="B34" s="1869"/>
      <c r="C34" s="1869"/>
      <c r="D34" s="1869"/>
      <c r="E34" s="1869"/>
      <c r="F34" s="1869"/>
      <c r="G34" s="1869"/>
      <c r="H34" s="1869"/>
      <c r="I34" s="2438"/>
      <c r="J34" s="2241"/>
      <c r="K34" s="8">
        <f>COUNTIF(B34:H34,"——")</f>
        <v>0</v>
      </c>
      <c r="L34" s="315" t="s">
        <v>2221</v>
      </c>
      <c r="M34" s="315" t="s">
        <v>2222</v>
      </c>
      <c r="N34" s="315" t="s">
        <v>2223</v>
      </c>
      <c r="O34" s="315" t="s">
        <v>2224</v>
      </c>
      <c r="P34" s="315" t="s">
        <v>2225</v>
      </c>
      <c r="Q34" s="315" t="s">
        <v>2226</v>
      </c>
      <c r="R34" s="315" t="s">
        <v>2227</v>
      </c>
      <c r="S34" s="3285" t="s">
        <v>2228</v>
      </c>
      <c r="T34" s="315" t="str">
        <f>NUMBERSTRING(7-K34,1)&amp;"通"</f>
        <v>七通</v>
      </c>
      <c r="U34" s="2241"/>
      <c r="V34" s="2241"/>
    </row>
    <row r="35" spans="1:30">
      <c r="A35" s="2232"/>
      <c r="B35" s="3285" t="s">
        <v>2229</v>
      </c>
      <c r="C35" s="3285"/>
      <c r="D35" s="3285"/>
      <c r="E35" s="3285"/>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5"/>
      <c r="T35" s="138" t="str">
        <f>IF(T34="一通",L35,IF(T34="二通",M35,IF(T34="三通",N35,IF(T34="四通",O35,IF(T34="五通",P35,IF(T34="六通",Q35,R35))))))</f>
        <v>、、、、、、</v>
      </c>
      <c r="U35" s="2241"/>
      <c r="V35" s="2241"/>
    </row>
    <row r="36" spans="1:30">
      <c r="A36" s="2182"/>
      <c r="B36" s="8" t="s">
        <v>2185</v>
      </c>
      <c r="C36" s="8" t="s">
        <v>2186</v>
      </c>
      <c r="D36" s="8" t="s">
        <v>2184</v>
      </c>
      <c r="E36" s="8" t="s">
        <v>2189</v>
      </c>
      <c r="F36" s="2796" t="s">
        <v>2577</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t="s">
        <v>184</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t="s">
        <v>235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2233</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1066.21</v>
      </c>
      <c r="B3" s="11">
        <f>IF(C3="否",G5-AT5,G5)</f>
        <v>12000.230000000001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12000.230000000001</v>
      </c>
      <c r="H5" s="13">
        <f t="shared" ref="H5:AT5" si="0">SUM(H13:H656)</f>
        <v>12000.230000000001</v>
      </c>
      <c r="I5" s="13">
        <f t="shared" si="0"/>
        <v>9775.8700000000008</v>
      </c>
      <c r="J5" s="13">
        <f t="shared" si="0"/>
        <v>0</v>
      </c>
      <c r="K5" s="13">
        <f t="shared" si="0"/>
        <v>1306.8499999999999</v>
      </c>
      <c r="L5" s="13">
        <f t="shared" si="0"/>
        <v>0</v>
      </c>
      <c r="M5" s="13">
        <f t="shared" si="0"/>
        <v>917.51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12000.230000000001</v>
      </c>
      <c r="BA5" s="15">
        <f t="shared" si="1"/>
        <v>12000.230000000001</v>
      </c>
      <c r="BB5" s="15">
        <f t="shared" si="1"/>
        <v>9775.8700000000008</v>
      </c>
      <c r="BC5" s="15">
        <f t="shared" si="1"/>
        <v>1306.8499999999999</v>
      </c>
      <c r="BD5" s="15">
        <f t="shared" si="1"/>
        <v>917.51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1066.21</v>
      </c>
      <c r="F6" s="13" t="s">
        <v>0</v>
      </c>
      <c r="G6" s="13" t="s">
        <v>1</v>
      </c>
      <c r="H6" s="17">
        <f>SUMIF(I$12:AB$12,"总值",I6:AB6)</f>
        <v>1066.21</v>
      </c>
      <c r="I6" s="13">
        <f t="shared" ref="I6:AB6" si="2">ROUND($A$3*I5/$B$3,2)</f>
        <v>868.58</v>
      </c>
      <c r="J6" s="13">
        <f t="shared" si="2"/>
        <v>0</v>
      </c>
      <c r="K6" s="13">
        <f t="shared" si="2"/>
        <v>116.11</v>
      </c>
      <c r="L6" s="13">
        <f t="shared" si="2"/>
        <v>0</v>
      </c>
      <c r="M6" s="13">
        <f t="shared" si="2"/>
        <v>81.52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1066.21</v>
      </c>
      <c r="AZ6" s="13" t="s">
        <v>2</v>
      </c>
      <c r="BA6" s="13">
        <f>ROUND($AY$6*BA5/$AZ$5,2)</f>
        <v>1066.21</v>
      </c>
      <c r="BB6" s="13">
        <f>ROUND($AY$6*BB5/$AZ$5,2)</f>
        <v>868.58</v>
      </c>
      <c r="BC6" s="13">
        <f t="shared" ref="BC6:BH6" si="4">ROUND($AY$6*BC5/$AZ$5,2)</f>
        <v>116.11</v>
      </c>
      <c r="BD6" s="13">
        <f t="shared" si="4"/>
        <v>81.52</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3445</v>
      </c>
      <c r="J9" s="761"/>
      <c r="K9" s="1490" t="s">
        <v>3446</v>
      </c>
      <c r="L9" s="761"/>
      <c r="M9" s="1490" t="s">
        <v>3446</v>
      </c>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t="s">
        <v>21</v>
      </c>
      <c r="L10" s="761"/>
      <c r="M10" s="1496" t="s">
        <v>3331</v>
      </c>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t="str">
        <f>K10</f>
        <v>办公</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c r="D13" s="1512" t="s">
        <v>3411</v>
      </c>
      <c r="E13" s="13">
        <f>IF($C$3="是",ROUND($A$3*G13/$B$3,2),ROUND($A$3*(G13-AT13)/$B$3,2))</f>
        <v>1066.21</v>
      </c>
      <c r="F13" s="29"/>
      <c r="G13" s="30">
        <f>H13+AC13+AT13</f>
        <v>12000.230000000001</v>
      </c>
      <c r="H13" s="17">
        <f>SUMIF(I$12:AB$12,"总值",I13:AB13)</f>
        <v>12000.230000000001</v>
      </c>
      <c r="I13" s="1513">
        <f>信息!C15</f>
        <v>9775.8700000000008</v>
      </c>
      <c r="J13" s="1513"/>
      <c r="K13" s="1513">
        <f>信息!F8+信息!F10</f>
        <v>1306.8499999999999</v>
      </c>
      <c r="L13" s="1513"/>
      <c r="M13" s="1513">
        <f>信息!F9</f>
        <v>917.51</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1066.21</v>
      </c>
      <c r="AZ13" s="13">
        <f>BA13+BL13</f>
        <v>12000.230000000001</v>
      </c>
      <c r="BA13" s="13">
        <f>SUM(BB13:BK13)</f>
        <v>12000.230000000001</v>
      </c>
      <c r="BB13" s="13">
        <f>IF($D13="是",I13-J13,0)</f>
        <v>9775.8700000000008</v>
      </c>
      <c r="BC13" s="13">
        <f>IF($D13="是",K13-L13,0)</f>
        <v>1306.8499999999999</v>
      </c>
      <c r="BD13" s="13">
        <f>IF($D13="是",M13-N13,0)</f>
        <v>917.51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zoomScale="70" zoomScaleNormal="100" zoomScaleSheetLayoutView="70" workbookViewId="0">
      <selection activeCell="F36" sqref="F36"/>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23" t="s">
        <v>1131</v>
      </c>
      <c r="B2" s="3323"/>
      <c r="C2" s="3323"/>
      <c r="D2" s="748" t="s">
        <v>1107</v>
      </c>
      <c r="E2" s="1522" t="s">
        <v>1108</v>
      </c>
      <c r="F2" s="2435"/>
      <c r="G2" s="2428"/>
      <c r="H2" s="2429"/>
      <c r="I2" s="2145" t="s">
        <v>1132</v>
      </c>
      <c r="J2" s="2435"/>
      <c r="K2" s="2435"/>
      <c r="L2" s="2435"/>
      <c r="M2" s="2435"/>
      <c r="N2" s="2436"/>
      <c r="O2" s="2435"/>
      <c r="P2" s="2435"/>
    </row>
    <row r="3" spans="1:16" ht="15" thickBot="1">
      <c r="A3" s="3324" t="s">
        <v>1105</v>
      </c>
      <c r="B3" s="3324"/>
      <c r="C3" s="3324"/>
      <c r="D3" s="41">
        <f>'数据-基础表'!AY6</f>
        <v>1066.21</v>
      </c>
      <c r="E3" s="41">
        <f>'数据-基础表'!AZ5</f>
        <v>12000.230000000001</v>
      </c>
      <c r="F3" s="2435"/>
      <c r="G3" s="42"/>
      <c r="H3" s="43" t="s">
        <v>1106</v>
      </c>
      <c r="I3" s="802">
        <f>ROUND('数据-基础表'!B3/'数据-基础表'!A3,2)</f>
        <v>11.26</v>
      </c>
      <c r="J3" s="2435"/>
      <c r="K3" s="2435"/>
      <c r="L3" s="2435"/>
      <c r="M3" s="2435"/>
      <c r="N3" s="2436"/>
      <c r="O3" s="2435"/>
      <c r="P3" s="2435"/>
    </row>
    <row r="4" spans="1:16" ht="14.4">
      <c r="A4" s="3325"/>
      <c r="B4" s="3326"/>
      <c r="C4" s="3327"/>
      <c r="D4" s="1523" t="s">
        <v>1107</v>
      </c>
      <c r="E4" s="1524" t="s">
        <v>1108</v>
      </c>
      <c r="F4" s="2435"/>
      <c r="G4" s="2430" t="s">
        <v>1133</v>
      </c>
      <c r="H4" s="43" t="s">
        <v>1113</v>
      </c>
      <c r="I4" s="802">
        <f>ROUND(SUMIF('数据-基础表'!I9:AS9,"地上",'数据-基础表'!I5:AS5)/'数据-基础表'!A3,2)</f>
        <v>9.17</v>
      </c>
      <c r="J4" s="2435"/>
      <c r="K4" s="2435"/>
      <c r="L4" s="2435"/>
      <c r="M4" s="2435"/>
      <c r="N4" s="2436"/>
      <c r="O4" s="2435"/>
      <c r="P4" s="2435"/>
    </row>
    <row r="5" spans="1:16" ht="14.4">
      <c r="A5" s="42" t="s">
        <v>1109</v>
      </c>
      <c r="B5" s="3328" t="s">
        <v>1110</v>
      </c>
      <c r="C5" s="3328"/>
      <c r="D5" s="43">
        <f>ROUND($D$3*E5/$E$3,2)</f>
        <v>0</v>
      </c>
      <c r="E5" s="44">
        <f>SUMIF('数据-基础表'!$11:$11,"住宅",'数据-基础表'!$5:$5)</f>
        <v>0</v>
      </c>
      <c r="F5" s="2435"/>
      <c r="G5" s="42"/>
      <c r="H5" s="43" t="s">
        <v>1106</v>
      </c>
      <c r="I5" s="802">
        <f>ROUND(E31/D31,2)</f>
        <v>11.26</v>
      </c>
      <c r="J5" s="2435"/>
      <c r="K5" s="2435"/>
      <c r="L5" s="2435"/>
      <c r="M5" s="2435"/>
      <c r="N5" s="2435"/>
      <c r="O5" s="2435"/>
      <c r="P5" s="2435"/>
    </row>
    <row r="6" spans="1:16" ht="15" thickBot="1">
      <c r="A6" s="1526"/>
      <c r="B6" s="3328" t="s">
        <v>1111</v>
      </c>
      <c r="C6" s="3328"/>
      <c r="D6" s="43">
        <f>ROUND($D$3*E6/$E$3,2)</f>
        <v>1066.21</v>
      </c>
      <c r="E6" s="44">
        <f>E3-E5</f>
        <v>12000.230000000001</v>
      </c>
      <c r="F6" s="2435"/>
      <c r="G6" s="1528" t="s">
        <v>1112</v>
      </c>
      <c r="H6" s="45" t="s">
        <v>1113</v>
      </c>
      <c r="I6" s="2431">
        <f>ROUND(F31/D31,2)</f>
        <v>9.17</v>
      </c>
      <c r="J6" s="2435"/>
      <c r="K6" s="2435"/>
      <c r="L6" s="2435"/>
      <c r="M6" s="2435"/>
      <c r="N6" s="2435"/>
      <c r="O6" s="2435"/>
      <c r="P6" s="2435"/>
    </row>
    <row r="7" spans="1:16" ht="15" thickBot="1">
      <c r="A7" s="3320"/>
      <c r="B7" s="3321"/>
      <c r="C7" s="3322"/>
      <c r="D7" s="1523" t="s">
        <v>1107</v>
      </c>
      <c r="E7" s="1527"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868.58</v>
      </c>
      <c r="E8" s="46">
        <f>SUMIF('数据-基础表'!BB10:BK10,"地上",'数据-基础表'!BB5:BK5)</f>
        <v>9775.8700000000008</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116.11</v>
      </c>
      <c r="E11" s="46">
        <f>SUMPRODUCT(('数据-基础表'!BB10:BK10="地下")*('数据-基础表'!BB11:BK11="办公")*('数据-基础表'!BB5:BK5))+'数据-基础表'!BP5</f>
        <v>1306.8499999999999</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81.52</v>
      </c>
      <c r="E13" s="46">
        <f>SUMPRODUCT(('数据-基础表'!BB10:BK10="地下")*('数据-基础表'!BB11:BK11="车库")*('数据-基础表'!BB5:BK5))</f>
        <v>917.51</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1066.21</v>
      </c>
      <c r="E16" s="48">
        <f>SUM(E8:E15)</f>
        <v>12000.230000000001</v>
      </c>
      <c r="F16" s="2435"/>
      <c r="G16" s="2435"/>
      <c r="H16" s="1530" t="s">
        <v>1135</v>
      </c>
      <c r="I16" s="1531"/>
      <c r="J16" s="1070"/>
      <c r="K16" s="3317" t="s">
        <v>1135</v>
      </c>
      <c r="L16" s="3318"/>
      <c r="M16" s="3318"/>
      <c r="N16" s="3318"/>
      <c r="O16" s="3318"/>
      <c r="P16" s="3319"/>
    </row>
    <row r="17" spans="1:19" ht="14.4">
      <c r="A17" s="1532" t="s">
        <v>1136</v>
      </c>
      <c r="B17" s="1533" t="s">
        <v>1137</v>
      </c>
      <c r="C17" s="1534" t="s">
        <v>1138</v>
      </c>
      <c r="D17" s="1535" t="s">
        <v>1126</v>
      </c>
      <c r="E17" s="1536" t="s">
        <v>1127</v>
      </c>
      <c r="F17" s="1537"/>
      <c r="G17" s="1538"/>
      <c r="H17" s="1539" t="s">
        <v>1139</v>
      </c>
      <c r="I17" s="1540" t="s">
        <v>1124</v>
      </c>
      <c r="J17" s="1070"/>
      <c r="K17" s="3314" t="s">
        <v>1140</v>
      </c>
      <c r="L17" s="3315"/>
      <c r="M17" s="3316"/>
      <c r="N17" s="3314" t="s">
        <v>1141</v>
      </c>
      <c r="O17" s="3315"/>
      <c r="P17" s="3316"/>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1" t="s">
        <v>3464</v>
      </c>
      <c r="D19" s="43">
        <f>ROUND($D$3*E19/$E$3,2)</f>
        <v>1066.21</v>
      </c>
      <c r="E19" s="51">
        <f t="shared" ref="E19:E26" si="1">SUM(F19:G19)</f>
        <v>12000.23</v>
      </c>
      <c r="F19" s="2553">
        <f>'数据-基础表'!I13</f>
        <v>9775.8700000000008</v>
      </c>
      <c r="G19" s="1242">
        <f>'数据-基础表'!K13+'数据-基础表'!M13</f>
        <v>2224.3599999999997</v>
      </c>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1066.21</v>
      </c>
      <c r="S19" s="51">
        <f t="shared" si="5"/>
        <v>12000.23</v>
      </c>
    </row>
    <row r="20" spans="1:19" ht="14.4">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1066.21</v>
      </c>
      <c r="E27" s="1072">
        <f>IF(SUM(E19:E26)='数据-基础表'!BA5,SUM(E19:E26),IF(F27="地上面积有误","面积有误","地下面积有误"))</f>
        <v>12000.23</v>
      </c>
      <c r="F27" s="1071">
        <f>IF(SUM(F19:F26)=E8,SUM(F19:F26),"地上面积有误")</f>
        <v>9775.8700000000008</v>
      </c>
      <c r="G27" s="1073">
        <f>SUM(G19:G26)</f>
        <v>2224.3599999999997</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1066.21</v>
      </c>
      <c r="S27" s="43">
        <f>IF(SUM(S19:S26)=$E$3,SUM(S19:S26),SUM(S19:S26)&amp;"误差"&amp;ROUND(SUM(S19:S26)-E3,2))</f>
        <v>12000.23</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5" t="s">
        <v>1158</v>
      </c>
      <c r="D31" s="643">
        <f>D27+D30</f>
        <v>1066.21</v>
      </c>
      <c r="E31" s="643">
        <f>E27+E30</f>
        <v>12000.23</v>
      </c>
      <c r="F31" s="644">
        <f>F27+F30</f>
        <v>9775.8700000000008</v>
      </c>
      <c r="G31" s="645">
        <f>G27+G30</f>
        <v>2224.3599999999997</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7">
      <c r="D33" s="1557"/>
    </row>
    <row r="35" spans="4:7">
      <c r="F35" s="1521">
        <v>4</v>
      </c>
      <c r="G35" s="1521">
        <f ca="1">G36/G31</f>
        <v>1.8155874049164691</v>
      </c>
    </row>
    <row r="36" spans="4:7">
      <c r="E36" s="1521">
        <f ca="1">系统读取表!D14</f>
        <v>43142</v>
      </c>
      <c r="F36" s="1521">
        <f>F35*F31</f>
        <v>39103.480000000003</v>
      </c>
      <c r="G36" s="1521">
        <f ca="1">E36-F36</f>
        <v>4038.5199999999968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24" activePane="bottomRight" state="frozen"/>
      <selection activeCell="C50" sqref="C50"/>
      <selection pane="topRight" activeCell="C50" sqref="C50"/>
      <selection pane="bottomLeft" activeCell="C50" sqref="C50"/>
      <selection pane="bottomRight" activeCell="B37" sqref="B3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7.77734375" style="1560" customWidth="1"/>
    <col min="23" max="23" width="8.77734375" style="1560" customWidth="1"/>
    <col min="24"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45722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3457</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办公</v>
      </c>
      <c r="B6" s="1586" t="str">
        <f>IF(A6=0,"","经营性")</f>
        <v>经营性</v>
      </c>
      <c r="C6" s="1587" t="s">
        <v>21</v>
      </c>
      <c r="D6" s="805">
        <f>SUMIF(项目基本情况!C$12:I$12,C6,项目基本情况!C$14:I$14)</f>
        <v>50</v>
      </c>
      <c r="E6" s="804">
        <f>IF(B6="","",SUMIF(项目基本情况!C$12:I$12,C6,项目基本情况!C$13:I$13))</f>
        <v>52610</v>
      </c>
      <c r="F6" s="61">
        <f>SUMIF(项目基本情况!C$12:I$12,C6,项目基本情况!C$15:I$15)</f>
        <v>18.87</v>
      </c>
      <c r="G6" s="62">
        <f>IF(ISERROR(ROUND(POWER(1+H6,D6-F6)*(POWER(1+H6,F6)-1)/(POWER(1+H6,D6)-1),3)),0,ROUND(POWER(1+H6,D6-F6)*(POWER(1+H6,F6)-1)/(POWER(1+H6,D6)-1),3))</f>
        <v>0.65900000000000003</v>
      </c>
      <c r="H6" s="691">
        <v>0.05</v>
      </c>
      <c r="I6" s="691">
        <v>5.5E-2</v>
      </c>
      <c r="J6" s="63">
        <v>7.0000000000000007E-2</v>
      </c>
      <c r="K6" s="970">
        <f>SUMIF('数据-汇总表'!C$19:C$33,A6,'数据-汇总表'!E$19:E$33)</f>
        <v>12000.23</v>
      </c>
      <c r="L6" s="692">
        <v>4800</v>
      </c>
      <c r="M6" s="64">
        <f t="shared" ref="M6:M14" si="0">ROUND(K6*L6/10000,0)</f>
        <v>5760</v>
      </c>
      <c r="N6" s="690">
        <f>N21</f>
        <v>0.71</v>
      </c>
      <c r="O6" s="64" t="str">
        <f>IF($N$5="成新度","——",ROUND(M6*N6,0))</f>
        <v>——</v>
      </c>
      <c r="P6" s="65" t="str">
        <f>IF($N$5="成新度","——",M6-O6)</f>
        <v>——</v>
      </c>
      <c r="Q6" s="693">
        <v>0.2</v>
      </c>
      <c r="R6" s="66">
        <f ca="1">SUMIF('数据-汇总表'!C$19:C$33,A6,'数据-汇总表'!R$19:R$27)</f>
        <v>1066.21</v>
      </c>
      <c r="S6" s="49">
        <f>IF('数据-汇总表'!$I$17="按面积比例",SUMIF('数据-汇总表'!C$19:C$33,A6,'数据-汇总表'!K$19:K$33),SUMIF('数据-汇总表'!C$19:C$33,A6,'数据-汇总表'!N$19:N$33))</f>
        <v>0</v>
      </c>
      <c r="T6" s="1091">
        <f>ROUND($L$14*S6/10000,0)</f>
        <v>0</v>
      </c>
      <c r="U6" s="3122">
        <f>X26</f>
        <v>3.44</v>
      </c>
      <c r="V6" s="67">
        <v>0.02</v>
      </c>
      <c r="W6" s="67">
        <v>0.1</v>
      </c>
      <c r="X6" s="979"/>
      <c r="Y6" s="68">
        <f>N6</f>
        <v>0.71</v>
      </c>
      <c r="Z6" s="69"/>
      <c r="AA6" s="63"/>
      <c r="AB6" s="63"/>
      <c r="AC6" s="979"/>
      <c r="AD6" s="70"/>
      <c r="AE6" s="980">
        <f ca="1">IF(AN6="",0,SUMIF(INDIRECT("'"&amp;AN6&amp;"'"&amp;"!E:E"),$AE$5,INDIRECT("'"&amp;AN6&amp;"'"&amp;"!F:F")))</f>
        <v>18.87</v>
      </c>
      <c r="AF6" s="74"/>
      <c r="AG6" s="130">
        <f>IF(AF6="",0,AE6-AF6)</f>
        <v>0</v>
      </c>
      <c r="AH6" s="71"/>
      <c r="AI6" s="73">
        <v>365</v>
      </c>
      <c r="AJ6" s="74"/>
      <c r="AK6" s="75">
        <v>0.01</v>
      </c>
      <c r="AL6" s="76">
        <v>1E-3</v>
      </c>
      <c r="AM6" s="77">
        <v>0.01</v>
      </c>
      <c r="AN6" s="1588" t="s">
        <v>3465</v>
      </c>
      <c r="AO6" s="50">
        <f ca="1">SUMIF(INDIRECT("'"&amp;AN6&amp;"'"&amp;"!A:A"),"总价",INDIRECT("'"&amp;AN6&amp;"'"&amp;"!B:B"))</f>
        <v>14635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0.65900000000000003</v>
      </c>
      <c r="H16" s="84">
        <f>ROUND(SUMPRODUCT(H6:H13,K6:K13)/SUMPRODUCT((H6:H13&gt;0)*(K6:K13)),3)</f>
        <v>0.05</v>
      </c>
      <c r="I16" s="85"/>
      <c r="J16" s="85"/>
      <c r="K16" s="86">
        <f>SUM(K6:K15)</f>
        <v>12000.23</v>
      </c>
      <c r="L16" s="87">
        <f>ROUND(M16*10000/SUM(K6:K14),0)</f>
        <v>4800</v>
      </c>
      <c r="M16" s="87">
        <f>SUM(M6:M14)</f>
        <v>5760</v>
      </c>
      <c r="N16" s="88">
        <f>ROUND(SUMPRODUCT(M6:M14,N6:N14)/M16,3)</f>
        <v>0.71</v>
      </c>
      <c r="O16" s="87">
        <f>SUM(O6:O14)</f>
        <v>0</v>
      </c>
      <c r="P16" s="87">
        <f>SUM(P6:P14)</f>
        <v>0</v>
      </c>
      <c r="Q16" s="89">
        <f>ROUND(SUMPRODUCT(Q6:Q13,K6:K13)/SUMPRODUCT((Q6:Q13&gt;0)*(K6:K13)),2)</f>
        <v>0.2</v>
      </c>
      <c r="R16" s="974">
        <f ca="1">SUM(R6:R13)</f>
        <v>1066.21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5" t="s">
        <v>3458</v>
      </c>
      <c r="N18" s="2444">
        <v>1995</v>
      </c>
      <c r="O18" s="3155" t="s">
        <v>3459</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2300</v>
      </c>
      <c r="D19" s="2447"/>
      <c r="E19" s="2435"/>
      <c r="F19" s="2435"/>
      <c r="G19" s="2435"/>
      <c r="H19" s="2435"/>
      <c r="I19" s="2435"/>
      <c r="J19" s="2435"/>
      <c r="K19" s="2445"/>
      <c r="L19" s="2445"/>
      <c r="M19" s="3155" t="s">
        <v>3460</v>
      </c>
      <c r="N19" s="2444">
        <f>ROUND(1-(1-0)*(2025-N18)/60,2)</f>
        <v>0.5</v>
      </c>
      <c r="O19" s="2444">
        <v>0.4</v>
      </c>
      <c r="P19" s="2444"/>
      <c r="Q19" s="2444"/>
      <c r="R19" s="2444"/>
      <c r="S19" s="2444"/>
      <c r="T19" s="3155" t="s">
        <v>3471</v>
      </c>
      <c r="U19" s="2444">
        <v>5.8</v>
      </c>
      <c r="V19" s="3155" t="s">
        <v>3472</v>
      </c>
      <c r="W19" s="3155" t="s">
        <v>3473</v>
      </c>
      <c r="X19" s="2444">
        <v>1</v>
      </c>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2.5</v>
      </c>
      <c r="C20" s="2557" t="s">
        <v>2298</v>
      </c>
      <c r="D20" s="2447"/>
      <c r="E20" s="2435"/>
      <c r="F20" s="2435"/>
      <c r="G20" s="2435"/>
      <c r="H20" s="2435"/>
      <c r="I20" s="2435"/>
      <c r="J20" s="2435"/>
      <c r="K20" s="2445"/>
      <c r="L20" s="2445"/>
      <c r="M20" s="3155" t="s">
        <v>3461</v>
      </c>
      <c r="N20" s="2444">
        <v>0.85</v>
      </c>
      <c r="O20" s="2444">
        <v>0.6</v>
      </c>
      <c r="P20" s="2444"/>
      <c r="Q20" s="2444"/>
      <c r="R20" s="2444"/>
      <c r="S20" s="2444"/>
      <c r="T20" s="3155" t="s">
        <v>3477</v>
      </c>
      <c r="U20" s="2444">
        <v>3.99</v>
      </c>
      <c r="V20" s="3155" t="s">
        <v>3472</v>
      </c>
      <c r="W20" s="3155" t="s">
        <v>3478</v>
      </c>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2.5</v>
      </c>
      <c r="C21" s="2435"/>
      <c r="D21" s="2447"/>
      <c r="E21" s="2435"/>
      <c r="F21" s="2435"/>
      <c r="G21" s="2435"/>
      <c r="H21" s="2435"/>
      <c r="I21" s="2435"/>
      <c r="J21" s="2435"/>
      <c r="K21" s="2445"/>
      <c r="L21" s="2445"/>
      <c r="M21" s="3155" t="s">
        <v>3462</v>
      </c>
      <c r="N21" s="2444">
        <f>ROUND((N19*O19+N20*O20),2)</f>
        <v>0.71</v>
      </c>
      <c r="O21" s="2444"/>
      <c r="P21" s="2444"/>
      <c r="Q21" s="2444"/>
      <c r="R21" s="2444"/>
      <c r="S21" s="2444"/>
      <c r="T21" s="2444"/>
      <c r="U21" s="2444"/>
      <c r="V21" s="2444"/>
      <c r="W21" s="3155" t="s">
        <v>3480</v>
      </c>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2.5</v>
      </c>
      <c r="C22" s="2435"/>
      <c r="D22" s="2447"/>
      <c r="E22" s="2435"/>
      <c r="F22" s="2435"/>
      <c r="G22" s="2435"/>
      <c r="H22" s="2435"/>
      <c r="I22" s="2435"/>
      <c r="J22" s="2435"/>
      <c r="K22" s="2445"/>
      <c r="L22" s="2445"/>
      <c r="M22" s="2444"/>
      <c r="N22" s="2444"/>
      <c r="O22" s="2444"/>
      <c r="P22" s="2444"/>
      <c r="Q22" s="2444"/>
      <c r="R22" s="2444"/>
      <c r="S22" s="2444"/>
      <c r="T22" s="3155" t="s">
        <v>3479</v>
      </c>
      <c r="U22" s="2444">
        <v>4</v>
      </c>
      <c r="V22" s="2444">
        <v>1</v>
      </c>
      <c r="W22" s="2444">
        <f>信息!C15</f>
        <v>9775.8700000000008</v>
      </c>
      <c r="X22" s="2444">
        <f>U22*W22</f>
        <v>39103.480000000003</v>
      </c>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2.5</v>
      </c>
      <c r="C23" s="2435"/>
      <c r="D23" s="2447"/>
      <c r="E23" s="2435"/>
      <c r="F23" s="2435"/>
      <c r="G23" s="2435"/>
      <c r="H23" s="2435"/>
      <c r="I23" s="2435"/>
      <c r="J23" s="2435"/>
      <c r="K23" s="2445"/>
      <c r="L23" s="2445"/>
      <c r="M23" s="2444"/>
      <c r="N23" s="2444"/>
      <c r="O23" s="2444"/>
      <c r="P23" s="2444"/>
      <c r="Q23" s="2444"/>
      <c r="R23" s="2444"/>
      <c r="S23" s="2444"/>
      <c r="T23" s="3155" t="s">
        <v>3481</v>
      </c>
      <c r="U23" s="2444">
        <f>U22*V23</f>
        <v>1.6</v>
      </c>
      <c r="V23" s="2444">
        <v>0.4</v>
      </c>
      <c r="W23" s="2452">
        <f>信息!F8+信息!F10</f>
        <v>1306.8499999999999</v>
      </c>
      <c r="X23" s="2444">
        <f>U23*W23</f>
        <v>2090.96</v>
      </c>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3155" t="s">
        <v>3482</v>
      </c>
      <c r="U24" s="2452">
        <f>ROUND(R25/30/W24,2)</f>
        <v>0.04</v>
      </c>
      <c r="V24" s="2452"/>
      <c r="W24" s="2452">
        <f>信息!F9</f>
        <v>917.51</v>
      </c>
      <c r="X24" s="2444">
        <f>U24*W24</f>
        <v>36.700400000000002</v>
      </c>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3155" t="s">
        <v>3483</v>
      </c>
      <c r="R25" s="2444">
        <v>1200</v>
      </c>
      <c r="S25" s="3158" t="s">
        <v>3484</v>
      </c>
      <c r="T25" s="3155"/>
      <c r="U25" s="2444"/>
      <c r="V25" s="2444"/>
      <c r="W25" s="3159">
        <f>ROUND(W22+W23+W24,2)</f>
        <v>12000.23</v>
      </c>
      <c r="X25" s="2444">
        <f>X22+X23+X24</f>
        <v>41231.140400000004</v>
      </c>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f>ROUND(X25/W25,2)</f>
        <v>3.44</v>
      </c>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2302</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240</v>
      </c>
      <c r="C29" s="2559" t="s">
        <v>2292</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3384</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2293</v>
      </c>
      <c r="D34" s="2455" t="s">
        <v>2299</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2294</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3402</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3385</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3386</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2308</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3156" t="s">
        <v>3463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3387</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2295</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2296</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2295</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24</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184</v>
      </c>
      <c r="C53" s="2436" t="s">
        <v>1246</v>
      </c>
      <c r="D53" s="2561" t="s">
        <v>2301</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f>C55</f>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4"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329" t="s">
        <v>2284</v>
      </c>
      <c r="B1" s="3330"/>
      <c r="C1" s="3330"/>
      <c r="D1" s="3330"/>
      <c r="E1" s="3330"/>
      <c r="F1" s="3330"/>
      <c r="G1" s="333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2279</v>
      </c>
      <c r="D2" s="1594"/>
      <c r="E2" s="2256"/>
      <c r="F2" s="2259"/>
      <c r="G2" s="2258" t="s">
        <v>2280</v>
      </c>
      <c r="H2" s="751"/>
      <c r="I2" s="751"/>
      <c r="J2" s="751"/>
      <c r="K2" s="751"/>
      <c r="L2" s="751"/>
      <c r="M2" s="751"/>
      <c r="N2" s="751"/>
      <c r="O2" s="751"/>
      <c r="P2" s="751"/>
      <c r="Q2" s="751"/>
    </row>
    <row r="3" spans="1:29" ht="48">
      <c r="A3" s="2243" t="s">
        <v>2281</v>
      </c>
      <c r="B3" s="2260" t="s">
        <v>2252</v>
      </c>
      <c r="C3" s="2261" t="s">
        <v>2282</v>
      </c>
      <c r="D3" s="2262"/>
      <c r="E3" s="2244" t="s">
        <v>2281</v>
      </c>
      <c r="F3" s="2263" t="s">
        <v>2253</v>
      </c>
      <c r="G3" s="2264" t="s">
        <v>2283</v>
      </c>
      <c r="H3" s="751"/>
      <c r="I3" s="751"/>
      <c r="J3" s="751"/>
      <c r="K3" s="751"/>
      <c r="L3" s="751"/>
      <c r="M3" s="751"/>
      <c r="N3" s="751"/>
      <c r="O3" s="751"/>
      <c r="P3" s="751"/>
      <c r="Q3" s="751"/>
    </row>
    <row r="4" spans="1:29" ht="37.200000000000003">
      <c r="A4" s="2244"/>
      <c r="B4" s="315" t="s">
        <v>2254</v>
      </c>
      <c r="C4" s="2265" t="s">
        <v>2255</v>
      </c>
      <c r="D4" s="2262"/>
      <c r="E4" s="2266"/>
      <c r="F4" s="1280" t="s">
        <v>2256</v>
      </c>
      <c r="G4" s="2267" t="s">
        <v>2257</v>
      </c>
      <c r="H4" s="751"/>
      <c r="I4" s="751"/>
      <c r="J4" s="751"/>
      <c r="K4" s="751"/>
      <c r="L4" s="751"/>
      <c r="M4" s="751"/>
      <c r="N4" s="751"/>
      <c r="O4" s="751"/>
      <c r="P4" s="751"/>
      <c r="Q4" s="751"/>
    </row>
    <row r="5" spans="1:29" ht="72">
      <c r="A5" s="2244"/>
      <c r="B5" s="315" t="s">
        <v>2258</v>
      </c>
      <c r="C5" s="3240" t="s">
        <v>4043</v>
      </c>
      <c r="D5" s="2262"/>
      <c r="E5" s="2266"/>
      <c r="F5" s="315" t="s">
        <v>2259</v>
      </c>
      <c r="G5" s="2267" t="s">
        <v>2260</v>
      </c>
      <c r="H5" s="751"/>
      <c r="I5" s="751"/>
      <c r="J5" s="751"/>
      <c r="K5" s="751"/>
      <c r="L5" s="751"/>
      <c r="M5" s="751"/>
      <c r="N5" s="751"/>
      <c r="O5" s="751"/>
      <c r="P5" s="751"/>
      <c r="Q5" s="751"/>
    </row>
    <row r="6" spans="1:29" ht="84">
      <c r="A6" s="2244"/>
      <c r="B6" s="315" t="s">
        <v>2261</v>
      </c>
      <c r="C6" s="3242" t="s">
        <v>4042</v>
      </c>
      <c r="D6" s="2262"/>
      <c r="E6" s="2266"/>
      <c r="F6" s="315" t="s">
        <v>2262</v>
      </c>
      <c r="G6" s="2267" t="s">
        <v>2263</v>
      </c>
      <c r="H6" s="751"/>
      <c r="I6" s="751"/>
      <c r="J6" s="751"/>
      <c r="K6" s="751"/>
      <c r="L6" s="751"/>
      <c r="M6" s="751"/>
      <c r="N6" s="751"/>
      <c r="O6" s="751"/>
      <c r="P6" s="751"/>
      <c r="Q6" s="751"/>
    </row>
    <row r="7" spans="1:29" ht="36.6" thickBot="1">
      <c r="A7" s="2244"/>
      <c r="B7" s="315" t="s">
        <v>2259</v>
      </c>
      <c r="C7" s="3242" t="s">
        <v>4045</v>
      </c>
      <c r="D7" s="2241"/>
      <c r="E7" s="2268"/>
      <c r="F7" s="2269" t="s">
        <v>2264</v>
      </c>
      <c r="G7" s="2270" t="s">
        <v>2265</v>
      </c>
      <c r="H7" s="751"/>
      <c r="I7" s="751"/>
      <c r="J7" s="751"/>
      <c r="K7" s="751"/>
      <c r="L7" s="751"/>
      <c r="M7" s="751"/>
      <c r="N7" s="751"/>
      <c r="O7" s="751"/>
      <c r="P7" s="751"/>
      <c r="Q7" s="751"/>
    </row>
    <row r="8" spans="1:29" ht="24">
      <c r="A8" s="2244"/>
      <c r="B8" s="315" t="s">
        <v>2262</v>
      </c>
      <c r="C8" s="2267" t="s">
        <v>2263</v>
      </c>
      <c r="D8" s="2241"/>
      <c r="E8" s="2241"/>
      <c r="F8" s="121"/>
      <c r="G8" s="121"/>
      <c r="H8" s="751"/>
      <c r="I8" s="751"/>
      <c r="J8" s="751"/>
      <c r="K8" s="751"/>
      <c r="L8" s="751"/>
      <c r="M8" s="751"/>
      <c r="N8" s="751"/>
      <c r="O8" s="751"/>
      <c r="P8" s="751"/>
      <c r="Q8" s="751"/>
    </row>
    <row r="9" spans="1:29" ht="108">
      <c r="A9" s="2244"/>
      <c r="B9" s="315" t="s">
        <v>2266</v>
      </c>
      <c r="C9" s="3240" t="s">
        <v>4044</v>
      </c>
      <c r="D9" s="2262"/>
      <c r="E9" s="2241"/>
      <c r="F9" s="121"/>
      <c r="G9" s="121"/>
      <c r="H9" s="751"/>
      <c r="I9" s="751"/>
      <c r="J9" s="751"/>
      <c r="K9" s="751"/>
      <c r="L9" s="751"/>
      <c r="M9" s="751"/>
      <c r="N9" s="751"/>
      <c r="O9" s="751"/>
      <c r="P9" s="751"/>
      <c r="Q9" s="751"/>
    </row>
    <row r="10" spans="1:29" ht="14.4" thickBot="1">
      <c r="A10" s="2245"/>
      <c r="B10" s="2271" t="s">
        <v>2267</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2285</v>
      </c>
      <c r="B13" s="2276"/>
      <c r="C13" s="2276"/>
      <c r="D13" s="2275"/>
      <c r="E13" s="2276"/>
      <c r="F13" s="2276"/>
      <c r="G13" s="2276"/>
    </row>
    <row r="14" spans="1:29" ht="14.4" thickBot="1">
      <c r="A14" s="2281"/>
      <c r="B14" s="2281"/>
      <c r="C14" s="2282" t="s">
        <v>2268</v>
      </c>
      <c r="D14" s="2262"/>
      <c r="E14" s="2283"/>
      <c r="F14" s="2283"/>
      <c r="G14" s="2258" t="s">
        <v>2269</v>
      </c>
    </row>
    <row r="15" spans="1:29" ht="52.8">
      <c r="A15" s="2246" t="s">
        <v>2270</v>
      </c>
      <c r="B15" s="2284" t="s">
        <v>2252</v>
      </c>
      <c r="C15" s="2285" t="str">
        <f>C3</f>
        <v>估价对象周边居住用地比例、居住小区规模和社区发展完善程度，综合评价居住社区成熟度一般</v>
      </c>
      <c r="D15" s="2262"/>
      <c r="E15" s="2247" t="s">
        <v>2271</v>
      </c>
      <c r="F15" s="2284" t="s">
        <v>2272</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79.2">
      <c r="A17" s="2248"/>
      <c r="B17" s="2287" t="s">
        <v>2258</v>
      </c>
      <c r="C17" s="2288" t="str">
        <f>C5</f>
        <v>估价对象位于东二环至东三环，周边有首创大厦、鸿晟国际中心、美惠大厦、港澳中心、五矿大厦等办公楼项目较多，入驻率高，办公集聚程度较好</v>
      </c>
      <c r="D17" s="2241"/>
      <c r="E17" s="2249"/>
      <c r="F17" s="2289" t="s">
        <v>2273</v>
      </c>
      <c r="G17" s="2291"/>
    </row>
    <row r="18" spans="1:17" ht="92.4">
      <c r="A18" s="2248"/>
      <c r="B18" s="2289" t="s">
        <v>2261</v>
      </c>
      <c r="C18" s="2290" t="str">
        <f>C6</f>
        <v>估价对象临城市快速路——东二环，公交：44、75、142、200，距地铁2号线、3号线东四十条站约352米，项目内部有停车位，停车便捷程度较好，综合评价交通便捷度较好</v>
      </c>
      <c r="D18" s="2241"/>
      <c r="E18" s="2249"/>
      <c r="F18" s="2289" t="s">
        <v>2264</v>
      </c>
      <c r="G18" s="2290" t="str">
        <f>G7</f>
        <v>该园区内是否有污染型企业，绿化情况，卫生条件，整体环境状况判断</v>
      </c>
    </row>
    <row r="19" spans="1:17" ht="26.4">
      <c r="A19" s="2248"/>
      <c r="B19" s="2289" t="s">
        <v>2274</v>
      </c>
      <c r="C19" s="2291"/>
      <c r="D19" s="2262"/>
      <c r="E19" s="2249"/>
      <c r="F19" s="315" t="s">
        <v>2259</v>
      </c>
      <c r="G19" s="2290" t="str">
        <f>G5</f>
        <v>估价对象所在区域公共配套设施齐备情况</v>
      </c>
    </row>
    <row r="20" spans="1:17" ht="118.8">
      <c r="A20" s="2248"/>
      <c r="B20" s="2289" t="s">
        <v>2275</v>
      </c>
      <c r="C20" s="2288" t="str">
        <f>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2241"/>
      <c r="E20" s="2249"/>
      <c r="F20" s="315" t="s">
        <v>2262</v>
      </c>
      <c r="G20" s="2290" t="str">
        <f>G6</f>
        <v>估价对象所在区域基础设施水平</v>
      </c>
    </row>
    <row r="21" spans="1:17" ht="39.6">
      <c r="A21" s="2248"/>
      <c r="B21" s="315" t="s">
        <v>2259</v>
      </c>
      <c r="C21" s="2290" t="str">
        <f>C7</f>
        <v>估价对象所在区域公共配套设施齐备情况：商场（东环广场、</v>
      </c>
      <c r="D21" s="2262"/>
      <c r="E21" s="2249"/>
      <c r="F21" s="2289" t="s">
        <v>2276</v>
      </c>
      <c r="G21" s="2292"/>
    </row>
    <row r="22" spans="1:17" ht="13.5" customHeight="1">
      <c r="A22" s="2248"/>
      <c r="B22" s="315" t="s">
        <v>2262</v>
      </c>
      <c r="C22" s="2290" t="str">
        <f>C8</f>
        <v>估价对象所在区域基础设施水平</v>
      </c>
      <c r="D22" s="2262"/>
      <c r="E22" s="2249"/>
      <c r="F22" s="2289" t="s">
        <v>2267</v>
      </c>
      <c r="G22" s="2291"/>
    </row>
    <row r="23" spans="1:17" s="751" customFormat="1" ht="14.4" thickBot="1">
      <c r="A23" s="2248"/>
      <c r="B23" s="2289" t="s">
        <v>2276</v>
      </c>
      <c r="C23" s="2292"/>
      <c r="D23" s="1613"/>
      <c r="E23" s="2250"/>
      <c r="F23" s="2293" t="s">
        <v>2277</v>
      </c>
      <c r="G23" s="2294"/>
      <c r="H23" s="2273"/>
      <c r="I23" s="2273"/>
      <c r="J23" s="2273"/>
      <c r="K23" s="2273"/>
      <c r="L23" s="2273"/>
      <c r="M23" s="2273"/>
      <c r="N23" s="2273"/>
      <c r="O23" s="2273"/>
      <c r="P23" s="2273"/>
      <c r="Q23" s="2273"/>
    </row>
    <row r="24" spans="1:17" s="751" customFormat="1" ht="14.4" thickBot="1">
      <c r="A24" s="2251"/>
      <c r="B24" s="2293" t="s">
        <v>2278</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12000.230000000001</v>
      </c>
      <c r="C1" s="2457"/>
      <c r="D1" s="2457"/>
      <c r="E1" s="2457"/>
      <c r="F1" s="2457"/>
      <c r="G1" s="2458"/>
      <c r="H1" s="2458"/>
      <c r="I1" s="2458"/>
      <c r="J1" s="2458"/>
      <c r="K1" s="2458"/>
    </row>
    <row r="2" spans="1:11" ht="16.2">
      <c r="A2" s="2296" t="s">
        <v>653</v>
      </c>
      <c r="B2" s="2296">
        <f>SUM(C14:C23)</f>
        <v>1066.21</v>
      </c>
      <c r="C2" s="2457"/>
      <c r="D2" s="2457"/>
      <c r="E2" s="2457"/>
      <c r="F2" s="2457"/>
      <c r="G2" s="2458"/>
      <c r="H2" s="2458"/>
      <c r="I2" s="2458"/>
      <c r="J2" s="2458"/>
      <c r="K2" s="2458"/>
    </row>
    <row r="3" spans="1:11" ht="15.6">
      <c r="A3" s="2296" t="s">
        <v>662</v>
      </c>
      <c r="B3" s="2298">
        <f>项目基本情况!D3</f>
        <v>45722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43142</v>
      </c>
      <c r="C5" s="2296">
        <f ca="1">IF(B5=D14,结果表!H102,ROUND(B5*10000/$B$1,0))</f>
        <v>35951</v>
      </c>
      <c r="D5" s="2296">
        <f ca="1">ROUND(B5*10000/$B$2,0)</f>
        <v>404629</v>
      </c>
      <c r="E5" s="2457"/>
      <c r="F5" s="2458"/>
      <c r="G5" s="2458"/>
      <c r="H5" s="2458"/>
      <c r="I5" s="2458"/>
      <c r="J5" s="2458"/>
      <c r="K5" s="2458"/>
    </row>
    <row r="6" spans="1:11" ht="15.6">
      <c r="A6" s="2296" t="s">
        <v>656</v>
      </c>
      <c r="B6" s="2296">
        <f ca="1">SUM(G14:G23)</f>
        <v>43142</v>
      </c>
      <c r="C6" s="2296">
        <f ca="1">IF(B6=G14,结果表!H108,ROUND(B6*10000/$B$1,0))</f>
        <v>35951</v>
      </c>
      <c r="D6" s="2296">
        <f ca="1">ROUND(B6*10000/$B$2,0)</f>
        <v>404629</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3354</v>
      </c>
      <c r="D10" s="2296" t="s">
        <v>3355</v>
      </c>
      <c r="E10" s="3132"/>
      <c r="F10" s="3136" t="s">
        <v>3356</v>
      </c>
      <c r="G10" s="3133"/>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'数据-汇总表'!E3</f>
        <v>12000.230000000001</v>
      </c>
      <c r="C14" s="2302">
        <f>'数据-汇总表'!D3</f>
        <v>1066.21</v>
      </c>
      <c r="D14" s="2302">
        <f ca="1">结果表!H101</f>
        <v>43142</v>
      </c>
      <c r="E14" s="2302">
        <f ca="1">结果表!H102</f>
        <v>35951</v>
      </c>
      <c r="F14" s="2302">
        <f ca="1">ROUND(D14*10000/C14,0)</f>
        <v>404629</v>
      </c>
      <c r="G14" s="2302">
        <f ca="1">结果表!H107</f>
        <v>43142</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 zoomScaleNormal="100" zoomScaleSheetLayoutView="100" zoomScalePageLayoutView="80" workbookViewId="0">
      <selection activeCell="E14" sqref="E14"/>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65" t="str">
        <f>项目基本情况!S2</f>
        <v>北京市东城区朝阳门北大街8号房地产</v>
      </c>
      <c r="B2" s="3366"/>
      <c r="C2" s="3366"/>
      <c r="D2" s="3366"/>
      <c r="E2" s="3366"/>
      <c r="F2" s="3366"/>
      <c r="G2" s="3366"/>
      <c r="H2" s="3366"/>
      <c r="I2" s="3367"/>
    </row>
    <row r="3" spans="1:12" ht="13.2">
      <c r="A3" s="3369" t="s">
        <v>1264</v>
      </c>
      <c r="B3" s="3370"/>
      <c r="C3" s="3370"/>
      <c r="D3" s="3370"/>
      <c r="E3" s="3370"/>
      <c r="F3" s="3370"/>
      <c r="G3" s="3370"/>
      <c r="H3" s="3370"/>
      <c r="I3" s="3370"/>
    </row>
    <row r="4" spans="1:12" ht="14.4">
      <c r="A4" s="1623" t="s">
        <v>1265</v>
      </c>
      <c r="B4" s="1624" t="s">
        <v>1266</v>
      </c>
      <c r="C4" s="1625" t="s">
        <v>3994</v>
      </c>
      <c r="D4" s="1625" t="s">
        <v>3993</v>
      </c>
      <c r="E4" s="3371" t="s">
        <v>1267</v>
      </c>
      <c r="F4" s="3372"/>
      <c r="G4" s="3372"/>
      <c r="H4" s="3372"/>
      <c r="I4" s="337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345" t="s">
        <v>1268</v>
      </c>
      <c r="B5" s="3332">
        <v>25</v>
      </c>
      <c r="C5" s="3348"/>
      <c r="D5" s="3368"/>
      <c r="E5" s="123" t="s">
        <v>1269</v>
      </c>
      <c r="F5" s="1626"/>
      <c r="G5" s="1626"/>
      <c r="H5" s="1626"/>
      <c r="I5" s="1280"/>
    </row>
    <row r="6" spans="1:12" ht="13.2">
      <c r="A6" s="3345"/>
      <c r="B6" s="3332"/>
      <c r="C6" s="3349"/>
      <c r="D6" s="3368"/>
      <c r="E6" s="123" t="s">
        <v>1270</v>
      </c>
      <c r="F6" s="1626"/>
      <c r="G6" s="1626"/>
      <c r="H6" s="1626"/>
      <c r="I6" s="1280"/>
    </row>
    <row r="7" spans="1:12" ht="13.2">
      <c r="A7" s="3345"/>
      <c r="B7" s="3332"/>
      <c r="C7" s="3350"/>
      <c r="D7" s="3368"/>
      <c r="E7" s="123" t="s">
        <v>1271</v>
      </c>
      <c r="F7" s="1626"/>
      <c r="G7" s="1626"/>
      <c r="H7" s="1626"/>
      <c r="I7" s="1280"/>
    </row>
    <row r="8" spans="1:12" ht="13.2">
      <c r="A8" s="3345" t="s">
        <v>1272</v>
      </c>
      <c r="B8" s="3332">
        <v>15</v>
      </c>
      <c r="C8" s="3348"/>
      <c r="D8" s="3368"/>
      <c r="E8" s="123" t="s">
        <v>1273</v>
      </c>
      <c r="F8" s="1626"/>
      <c r="G8" s="1626"/>
      <c r="H8" s="1626"/>
      <c r="I8" s="1280"/>
    </row>
    <row r="9" spans="1:12" ht="13.2">
      <c r="A9" s="3345"/>
      <c r="B9" s="3332"/>
      <c r="C9" s="3350"/>
      <c r="D9" s="3368"/>
      <c r="E9" s="123" t="s">
        <v>1274</v>
      </c>
      <c r="F9" s="1626"/>
      <c r="G9" s="1626"/>
      <c r="H9" s="1626"/>
      <c r="I9" s="1280"/>
    </row>
    <row r="10" spans="1:12" ht="13.2">
      <c r="A10" s="3345" t="s">
        <v>1275</v>
      </c>
      <c r="B10" s="3332">
        <v>15</v>
      </c>
      <c r="C10" s="3348"/>
      <c r="D10" s="3368"/>
      <c r="E10" s="123" t="s">
        <v>1276</v>
      </c>
      <c r="F10" s="1626"/>
      <c r="G10" s="1626"/>
      <c r="H10" s="1626"/>
      <c r="I10" s="1280"/>
    </row>
    <row r="11" spans="1:12" ht="13.2">
      <c r="A11" s="3345"/>
      <c r="B11" s="3332"/>
      <c r="C11" s="3350"/>
      <c r="D11" s="3368"/>
      <c r="E11" s="123" t="s">
        <v>1277</v>
      </c>
      <c r="F11" s="1626"/>
      <c r="G11" s="1626"/>
      <c r="H11" s="1626"/>
      <c r="I11" s="1280"/>
    </row>
    <row r="12" spans="1:12" ht="13.2">
      <c r="A12" s="3345" t="s">
        <v>1278</v>
      </c>
      <c r="B12" s="3332">
        <v>15</v>
      </c>
      <c r="C12" s="3348"/>
      <c r="D12" s="3368"/>
      <c r="E12" s="123" t="s">
        <v>1279</v>
      </c>
      <c r="F12" s="1626"/>
      <c r="G12" s="1626"/>
      <c r="H12" s="1626"/>
      <c r="I12" s="1280"/>
    </row>
    <row r="13" spans="1:12" ht="13.2">
      <c r="A13" s="3345"/>
      <c r="B13" s="3332"/>
      <c r="C13" s="3350"/>
      <c r="D13" s="3368"/>
      <c r="E13" s="123" t="s">
        <v>1280</v>
      </c>
      <c r="F13" s="1626"/>
      <c r="G13" s="1626"/>
      <c r="H13" s="1626"/>
      <c r="I13" s="1280"/>
    </row>
    <row r="14" spans="1:12" ht="13.2">
      <c r="A14" s="3345" t="s">
        <v>1281</v>
      </c>
      <c r="B14" s="3332">
        <v>30</v>
      </c>
      <c r="C14" s="3348">
        <v>6</v>
      </c>
      <c r="D14" s="3368">
        <v>4</v>
      </c>
      <c r="E14" s="123" t="s">
        <v>1282</v>
      </c>
      <c r="F14" s="1626"/>
      <c r="G14" s="1626"/>
      <c r="H14" s="1626"/>
      <c r="I14" s="1280"/>
    </row>
    <row r="15" spans="1:12" ht="13.2">
      <c r="A15" s="3345"/>
      <c r="B15" s="3332"/>
      <c r="C15" s="3349"/>
      <c r="D15" s="3368"/>
      <c r="E15" s="123" t="s">
        <v>1283</v>
      </c>
      <c r="F15" s="1626"/>
      <c r="G15" s="1626"/>
      <c r="H15" s="1626"/>
      <c r="I15" s="1280"/>
    </row>
    <row r="16" spans="1:12" ht="13.2">
      <c r="A16" s="3345"/>
      <c r="B16" s="3332"/>
      <c r="C16" s="3350"/>
      <c r="D16" s="3368"/>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355" t="s">
        <v>2131</v>
      </c>
      <c r="F18" s="3356"/>
      <c r="G18" s="3356"/>
      <c r="H18" s="3356"/>
      <c r="I18" s="3356"/>
      <c r="K18" s="294" t="s">
        <v>1289</v>
      </c>
      <c r="L18" s="294">
        <f>IF(C1="",'数据-汇总表'!E3,SUMIF(项目类型,C1,'数据-汇总表'!E17:E26)+SUMIF(项目类型,C1,'数据-汇总表'!I17:I26))</f>
        <v>12000.230000000001</v>
      </c>
      <c r="M18" s="294">
        <f>IF(C1="",'数据-汇总表'!E3,SUMIF(项目类型,C1,'数据-汇总表'!E17:E26))</f>
        <v>12000.230000000001</v>
      </c>
    </row>
    <row r="19" spans="1:36" ht="14.4">
      <c r="A19" s="1629" t="s">
        <v>1290</v>
      </c>
      <c r="B19" s="1630" t="s">
        <v>1291</v>
      </c>
      <c r="C19" s="126">
        <f ca="1">SUMIF(INDIRECT("'"&amp;C4&amp;"'"&amp;"!A:A"),结果表!B19,INDIRECT("'"&amp;C4&amp;"'"&amp;"!B:B"))</f>
        <v>47769</v>
      </c>
      <c r="D19" s="127">
        <f ca="1">SUMIF(INDIRECT("'"&amp;D4&amp;"'"&amp;"!A:A"),结果表!B19,INDIRECT("'"&amp;D4&amp;"'"&amp;"!B:B"))</f>
        <v>36202</v>
      </c>
      <c r="E19" s="1629" t="s">
        <v>1292</v>
      </c>
      <c r="F19" s="1630" t="s">
        <v>1291</v>
      </c>
      <c r="G19" s="128">
        <f ca="1">ROUND(C19*$C$18+D19*$D$18,0)</f>
        <v>43142</v>
      </c>
      <c r="H19" s="1631" t="s">
        <v>1293</v>
      </c>
      <c r="I19" s="121"/>
      <c r="K19" s="294" t="s">
        <v>1294</v>
      </c>
      <c r="L19" s="294">
        <f>IF(C1="",'数据-汇总表'!D3,SUMIF(项目类型,C1,'数据-汇总表'!D17:D26)+SUMIF(项目类型,C1,'数据-汇总表'!H17:H27))</f>
        <v>1066.21</v>
      </c>
      <c r="M19" s="294">
        <f>IF(C1="",'数据-汇总表'!D3,SUMIF(项目类型,C1,'数据-汇总表'!D17:D26))</f>
        <v>1066.21</v>
      </c>
    </row>
    <row r="20" spans="1:36" ht="14.4">
      <c r="A20" s="1632"/>
      <c r="B20" s="43" t="s">
        <v>1295</v>
      </c>
      <c r="C20" s="129">
        <f ca="1">SUMIF(INDIRECT("'"&amp;C4&amp;"'"&amp;"!A:A"),结果表!B20,INDIRECT("'"&amp;C4&amp;"'"&amp;"!B:B"))</f>
        <v>39807</v>
      </c>
      <c r="D20" s="130">
        <f ca="1">SUMIF(INDIRECT("'"&amp;D4&amp;"'"&amp;"!A:A"),结果表!B20,INDIRECT("'"&amp;D4&amp;"'"&amp;"!B:B"))</f>
        <v>30168</v>
      </c>
      <c r="E20" s="1632"/>
      <c r="F20" s="43" t="s">
        <v>1295</v>
      </c>
      <c r="G20" s="131">
        <f ca="1">ROUND(C20*$C$18+D20*$D$18,0)</f>
        <v>35951</v>
      </c>
      <c r="H20" s="760" t="s">
        <v>1296</v>
      </c>
      <c r="I20" s="121"/>
    </row>
    <row r="21" spans="1:36" ht="15" customHeight="1" thickBot="1">
      <c r="A21" s="449"/>
      <c r="B21" s="93" t="s">
        <v>1297</v>
      </c>
      <c r="C21" s="678">
        <f ca="1">ROUND(C19*10000/L19,0)</f>
        <v>448026</v>
      </c>
      <c r="D21" s="679">
        <f ca="1">ROUND(D19*10000/L19,0)</f>
        <v>339539</v>
      </c>
      <c r="E21" s="449"/>
      <c r="F21" s="93" t="s">
        <v>1297</v>
      </c>
      <c r="G21" s="132">
        <f ca="1">ROUND(G19*10000/L19,0)</f>
        <v>404629</v>
      </c>
      <c r="H21" s="1633" t="s">
        <v>1296</v>
      </c>
      <c r="I21" s="121"/>
    </row>
    <row r="22" spans="1:36" ht="15" thickBot="1">
      <c r="A22" s="1563" t="s">
        <v>1298</v>
      </c>
      <c r="B22" s="1634"/>
      <c r="C22" s="1635"/>
      <c r="D22" s="680">
        <f ca="1">IF(C19&lt;D19,D19/C19-1,C19/D19-1)</f>
        <v>0.31951273410308834</v>
      </c>
      <c r="E22" s="121"/>
      <c r="F22" s="121"/>
      <c r="G22" s="121"/>
      <c r="H22" s="121"/>
      <c r="I22" s="121"/>
    </row>
    <row r="23" spans="1:36" ht="13.8" thickBot="1">
      <c r="A23" s="646"/>
      <c r="B23" s="646"/>
      <c r="C23" s="646"/>
      <c r="D23" s="646"/>
      <c r="E23" s="121"/>
      <c r="F23" s="121"/>
      <c r="G23" s="121"/>
      <c r="H23" s="121"/>
      <c r="I23" s="121"/>
    </row>
    <row r="24" spans="1:36" ht="14.4">
      <c r="A24" s="3339" t="s">
        <v>1299</v>
      </c>
      <c r="B24" s="1630" t="s">
        <v>1291</v>
      </c>
      <c r="C24" s="128">
        <f>IF(B30=0,0,D30)</f>
        <v>0</v>
      </c>
      <c r="D24" s="1636"/>
      <c r="E24" s="121"/>
      <c r="F24" s="121"/>
      <c r="G24" s="121"/>
      <c r="H24" s="121"/>
      <c r="I24" s="121"/>
    </row>
    <row r="25" spans="1:36" ht="14.4">
      <c r="A25" s="334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43142</v>
      </c>
      <c r="D32" s="1640" t="s">
        <v>4014</v>
      </c>
      <c r="E32" s="121"/>
      <c r="F32" s="121"/>
      <c r="G32" s="121"/>
      <c r="H32" s="121"/>
      <c r="I32" s="121"/>
    </row>
    <row r="33" spans="1:15" ht="14.4">
      <c r="A33" s="740" t="s">
        <v>1306</v>
      </c>
      <c r="B33" s="123"/>
      <c r="C33" s="1641" t="s">
        <v>4015</v>
      </c>
      <c r="D33" s="1642" t="s">
        <v>3993</v>
      </c>
      <c r="E33" s="1643" t="s">
        <v>1307</v>
      </c>
      <c r="F33" s="1644" t="str">
        <f>IF(D32="楼面单价","取值（单价）","取值（总价）")</f>
        <v>取值（总价）</v>
      </c>
      <c r="G33" s="121"/>
      <c r="H33" s="121"/>
      <c r="I33" s="121"/>
    </row>
    <row r="34" spans="1:15" ht="14.4">
      <c r="A34" s="1645"/>
      <c r="B34" s="1646" t="s">
        <v>1308</v>
      </c>
      <c r="C34" s="140">
        <f ca="1">IF(C33="自定义",F34,C32-C35)</f>
        <v>35722</v>
      </c>
      <c r="D34" s="808">
        <f ca="1">IF(C33="自定义",ROUND(C34/C32,3),IF(C33="收益比率",SUMIF(INDIRECT("'"&amp;D33&amp;"'"&amp;"!b:b"),"土地收益比率",INDIRECT("'"&amp;D33&amp;"'"&amp;"!c:c")),SUMIF(INDIRECT("'"&amp;D33&amp;"'"&amp;"!b:b"),"土地成本比率",INDIRECT("'"&amp;D33&amp;"'"&amp;"!c:c"))))</f>
        <v>0.82800000000000007</v>
      </c>
      <c r="E34" s="1647" t="s">
        <v>1309</v>
      </c>
      <c r="F34" s="1242"/>
      <c r="G34" s="121"/>
      <c r="H34" s="121"/>
      <c r="I34" s="121"/>
    </row>
    <row r="35" spans="1:15" ht="15" thickBot="1">
      <c r="A35" s="1648"/>
      <c r="B35" s="1649" t="s">
        <v>1310</v>
      </c>
      <c r="C35" s="1089">
        <f ca="1">IF(C33="自定义",F35,ROUND(C32*D35,0))</f>
        <v>7420</v>
      </c>
      <c r="D35" s="1090">
        <f ca="1">IF(C33="自定义",ROUND(C35/C32,3),IF(C33="收益比率",SUMIF(INDIRECT("'"&amp;D33&amp;"'"&amp;"!b:b"),"建筑物收益比率",INDIRECT("'"&amp;D33&amp;"'"&amp;"!c:c")),SUMIF(INDIRECT("'"&amp;D33&amp;"'"&amp;"!b:b"),"建筑物成本比率",INDIRECT("'"&amp;D33&amp;"'"&amp;"!c:c"))))</f>
        <v>0.17199999999999999</v>
      </c>
      <c r="E35" s="1650" t="s">
        <v>1311</v>
      </c>
      <c r="F35" s="146"/>
      <c r="G35" s="121"/>
      <c r="H35" s="121"/>
      <c r="I35" s="121"/>
    </row>
    <row r="36" spans="1:15" ht="15" thickBot="1">
      <c r="A36" s="3359" t="s">
        <v>1312</v>
      </c>
      <c r="B36" s="1651" t="s">
        <v>1313</v>
      </c>
      <c r="C36" s="137"/>
      <c r="D36" s="1652"/>
      <c r="E36" s="1566"/>
      <c r="F36" s="1653"/>
      <c r="G36" s="121"/>
      <c r="H36" s="121"/>
      <c r="I36" s="121"/>
    </row>
    <row r="37" spans="1:15" ht="15" thickBot="1">
      <c r="A37" s="3360"/>
      <c r="B37" s="1554" t="s">
        <v>1314</v>
      </c>
      <c r="C37" s="139"/>
      <c r="D37" s="1070"/>
      <c r="E37" s="1070"/>
      <c r="F37" s="1653"/>
      <c r="G37" s="121"/>
      <c r="H37" s="121"/>
      <c r="I37" s="121"/>
    </row>
    <row r="38" spans="1:15" ht="15" thickBot="1">
      <c r="A38" s="3361"/>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6" t="s">
        <v>1326</v>
      </c>
      <c r="B45" s="3337"/>
      <c r="C45" s="3338"/>
      <c r="D45" s="147">
        <f ca="1">ROUND(H101*F45,0)</f>
        <v>43142</v>
      </c>
      <c r="E45" s="148" t="s">
        <v>1327</v>
      </c>
      <c r="F45" s="149">
        <v>1</v>
      </c>
      <c r="G45" s="150" t="s">
        <v>1328</v>
      </c>
      <c r="H45" s="121"/>
      <c r="I45" s="121"/>
      <c r="J45" s="3414" t="s">
        <v>1329</v>
      </c>
      <c r="K45" s="3414"/>
      <c r="L45" s="3414"/>
      <c r="M45" s="3414"/>
      <c r="N45" s="3414"/>
      <c r="O45" s="3414"/>
    </row>
    <row r="46" spans="1:15" ht="14.25" customHeight="1">
      <c r="A46" s="3333" t="s">
        <v>1330</v>
      </c>
      <c r="B46" s="3334"/>
      <c r="C46" s="3334"/>
      <c r="D46" s="3334"/>
      <c r="E46" s="3334"/>
      <c r="F46" s="3334"/>
      <c r="G46" s="3335"/>
      <c r="H46" s="1667"/>
      <c r="I46" s="151"/>
      <c r="J46" s="2306">
        <v>1</v>
      </c>
      <c r="K46" s="3395" t="s">
        <v>1331</v>
      </c>
      <c r="L46" s="3395"/>
      <c r="M46" s="3415"/>
      <c r="N46" s="3415"/>
      <c r="O46" s="3415"/>
    </row>
    <row r="47" spans="1:15" ht="12" customHeight="1">
      <c r="A47" s="152" t="s">
        <v>1332</v>
      </c>
      <c r="B47" s="153"/>
      <c r="C47" s="154"/>
      <c r="D47" s="1024" t="s">
        <v>1333</v>
      </c>
      <c r="E47" s="294" t="s">
        <v>1334</v>
      </c>
      <c r="F47" s="155" t="s">
        <v>1335</v>
      </c>
      <c r="G47" s="2329" t="s">
        <v>1336</v>
      </c>
      <c r="H47" s="2330"/>
      <c r="I47" s="151"/>
      <c r="J47" s="2306">
        <v>2</v>
      </c>
      <c r="K47" s="3395" t="s">
        <v>1337</v>
      </c>
      <c r="L47" s="3395"/>
      <c r="M47" s="3416">
        <f>'数据-取费表'!B2</f>
        <v>45722</v>
      </c>
      <c r="N47" s="3416"/>
      <c r="O47" s="3416"/>
    </row>
    <row r="48" spans="1:15" ht="26.4">
      <c r="A48" s="3364" t="s">
        <v>1338</v>
      </c>
      <c r="B48" s="3347"/>
      <c r="C48" s="3347"/>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95" t="s">
        <v>1340</v>
      </c>
      <c r="L48" s="3395"/>
      <c r="M48" s="3417">
        <f ca="1">H101</f>
        <v>43142</v>
      </c>
      <c r="N48" s="3417"/>
      <c r="O48" s="3417"/>
    </row>
    <row r="49" spans="1:35" ht="25.5" customHeight="1">
      <c r="A49" s="2151" t="s">
        <v>1341</v>
      </c>
      <c r="B49" s="3331" t="s">
        <v>1342</v>
      </c>
      <c r="C49" s="3331"/>
      <c r="D49" s="1477">
        <v>0</v>
      </c>
      <c r="E49" s="316" t="s">
        <v>1343</v>
      </c>
      <c r="F49" s="2229" t="s">
        <v>28</v>
      </c>
      <c r="G49" s="3401"/>
      <c r="H49" s="2133" t="s">
        <v>2134</v>
      </c>
      <c r="I49" s="2134"/>
      <c r="J49" s="2306">
        <v>4</v>
      </c>
      <c r="K49" s="3395" t="str">
        <f>IF(项目基本情况!E8="房地产抵押价值","房地产抵押价值","抵押担保权已注销时的房地产抵押价值")</f>
        <v>房地产抵押价值</v>
      </c>
      <c r="L49" s="3395"/>
      <c r="M49" s="3417">
        <f ca="1">IF(项目基本情况!E8="房地产抵押价值",H107,H109)</f>
        <v>43142</v>
      </c>
      <c r="N49" s="3417"/>
      <c r="O49" s="3417"/>
    </row>
    <row r="50" spans="1:35" ht="25.5" customHeight="1">
      <c r="A50" s="2334"/>
      <c r="B50" s="3331" t="s">
        <v>1344</v>
      </c>
      <c r="C50" s="3331"/>
      <c r="D50" s="2188"/>
      <c r="E50" s="323"/>
      <c r="F50" s="2229"/>
      <c r="G50" s="3402"/>
      <c r="H50" s="2135" t="s">
        <v>2135</v>
      </c>
      <c r="I50" s="2134"/>
      <c r="J50" s="3414" t="s">
        <v>1345</v>
      </c>
      <c r="K50" s="3414"/>
      <c r="L50" s="3414"/>
      <c r="M50" s="3414"/>
      <c r="N50" s="3414"/>
      <c r="O50" s="3414"/>
    </row>
    <row r="51" spans="1:35" ht="20.399999999999999" customHeight="1">
      <c r="A51" s="2335"/>
      <c r="B51" s="3331" t="s">
        <v>1346</v>
      </c>
      <c r="C51" s="3331"/>
      <c r="D51" s="1024"/>
      <c r="E51" s="319"/>
      <c r="F51" s="2229"/>
      <c r="G51" s="3403"/>
      <c r="H51" s="2135" t="s">
        <v>2136</v>
      </c>
      <c r="I51" s="2134"/>
      <c r="J51" s="2307" t="s">
        <v>1347</v>
      </c>
      <c r="K51" s="3395" t="s">
        <v>1348</v>
      </c>
      <c r="L51" s="3395"/>
      <c r="M51" s="2307" t="s">
        <v>1349</v>
      </c>
      <c r="N51" s="2307" t="s">
        <v>1350</v>
      </c>
      <c r="O51" s="2307" t="s">
        <v>1351</v>
      </c>
    </row>
    <row r="52" spans="1:35" ht="24" customHeight="1">
      <c r="A52" s="2152" t="s">
        <v>1352</v>
      </c>
      <c r="B52" s="3331" t="s">
        <v>1353</v>
      </c>
      <c r="C52" s="3331"/>
      <c r="D52" s="1024">
        <f ca="1">ROUND(D45*'数据-取费表'!B41/(1+'数据-取费表'!C42),0)</f>
        <v>2301</v>
      </c>
      <c r="E52" s="1255" t="s">
        <v>1354</v>
      </c>
      <c r="F52" s="2336">
        <f>'数据-取费表'!B41</f>
        <v>5.6000000000000001E-2</v>
      </c>
      <c r="G52" s="2337"/>
      <c r="H52" s="2327"/>
      <c r="I52" s="1668"/>
      <c r="J52" s="2306">
        <v>1</v>
      </c>
      <c r="K52" s="3396" t="s">
        <v>1355</v>
      </c>
      <c r="L52" s="3396"/>
      <c r="M52" s="2308" t="b">
        <f>D48</f>
        <v>0</v>
      </c>
      <c r="N52" s="2306" t="str">
        <f>E48</f>
        <v>销售额×税（费）率</v>
      </c>
      <c r="O52" s="2309">
        <f>F48</f>
        <v>5.6000000000000001E-2</v>
      </c>
    </row>
    <row r="53" spans="1:35" ht="12" customHeight="1">
      <c r="A53" s="2152" t="s">
        <v>1356</v>
      </c>
      <c r="B53" s="3357" t="s">
        <v>2289</v>
      </c>
      <c r="C53" s="3358"/>
      <c r="D53" s="1024">
        <f ca="1">ROUND(D45*'数据-取费表'!B41/(1+'数据-取费表'!C42),0)</f>
        <v>2301</v>
      </c>
      <c r="E53" s="1255" t="s">
        <v>1354</v>
      </c>
      <c r="F53" s="2336">
        <f>'数据-取费表'!B41</f>
        <v>5.6000000000000001E-2</v>
      </c>
      <c r="G53" s="2337"/>
      <c r="H53" s="2327"/>
      <c r="I53" s="1668"/>
      <c r="J53" s="2306">
        <v>2</v>
      </c>
      <c r="K53" s="3396" t="s">
        <v>1357</v>
      </c>
      <c r="L53" s="3396"/>
      <c r="M53" s="2308">
        <f t="shared" ref="M53:O54" ca="1" si="0">D55</f>
        <v>22</v>
      </c>
      <c r="N53" s="2306" t="str">
        <f t="shared" si="0"/>
        <v>销售额×税（费）率</v>
      </c>
      <c r="O53" s="2309" t="str">
        <f t="shared" si="0"/>
        <v>免征</v>
      </c>
    </row>
    <row r="54" spans="1:35" ht="12" customHeight="1">
      <c r="A54" s="2152" t="s">
        <v>1358</v>
      </c>
      <c r="B54" s="3357" t="s">
        <v>2290</v>
      </c>
      <c r="C54" s="3358"/>
      <c r="D54" s="1024">
        <f ca="1">C68</f>
        <v>2301</v>
      </c>
      <c r="E54" s="319" t="s">
        <v>1359</v>
      </c>
      <c r="F54" s="2336">
        <f>'数据-取费表'!B41</f>
        <v>5.6000000000000001E-2</v>
      </c>
      <c r="G54" s="2337"/>
      <c r="H54" s="2338"/>
      <c r="I54" s="1668"/>
      <c r="J54" s="2306">
        <v>3</v>
      </c>
      <c r="K54" s="3396" t="s">
        <v>1360</v>
      </c>
      <c r="L54" s="3396"/>
      <c r="M54" s="2308">
        <f t="shared" ca="1" si="0"/>
        <v>24418</v>
      </c>
      <c r="N54" s="2306" t="str">
        <f t="shared" si="0"/>
        <v>增值额×税（费）率</v>
      </c>
      <c r="O54" s="2310" t="str">
        <f t="shared" si="0"/>
        <v>免征</v>
      </c>
    </row>
    <row r="55" spans="1:35" ht="24" customHeight="1">
      <c r="A55" s="3346" t="s">
        <v>1361</v>
      </c>
      <c r="B55" s="3347"/>
      <c r="C55" s="3347"/>
      <c r="D55" s="12">
        <f ca="1">IF(H55="个人住宅",0,ROUND(D45*I55,0))</f>
        <v>22</v>
      </c>
      <c r="E55" s="1255" t="s">
        <v>1362</v>
      </c>
      <c r="F55" s="2336" t="str">
        <f>IF(H55="正常",I55,"免征")</f>
        <v>免征</v>
      </c>
      <c r="G55" s="2337"/>
      <c r="H55" s="2333"/>
      <c r="I55" s="157">
        <f>'数据-取费表'!B49</f>
        <v>5.0000000000000001E-4</v>
      </c>
      <c r="J55" s="2306">
        <f>IF(H59="非个人房产","",4)</f>
        <v>4</v>
      </c>
      <c r="K55" s="3396" t="str">
        <f>IF(H59="非个人房产","——","个人所得税")</f>
        <v>个人所得税</v>
      </c>
      <c r="L55" s="3396"/>
      <c r="M55" s="2311">
        <f ca="1">D59</f>
        <v>411</v>
      </c>
      <c r="N55" s="1882" t="str">
        <f>E59</f>
        <v>差额计税</v>
      </c>
      <c r="O55" s="2312">
        <f>F59</f>
        <v>0.01</v>
      </c>
    </row>
    <row r="56" spans="1:35" ht="25.2">
      <c r="A56" s="3346" t="s">
        <v>1363</v>
      </c>
      <c r="B56" s="3347"/>
      <c r="C56" s="3347"/>
      <c r="D56" s="12">
        <f ca="1">IF(H56="个人住宅",D57,D58)</f>
        <v>24418</v>
      </c>
      <c r="E56" s="1255" t="s">
        <v>1364</v>
      </c>
      <c r="F56" s="2336" t="str">
        <f>IF(H56="正常",F58,"免征")</f>
        <v>免征</v>
      </c>
      <c r="G56" s="2339" t="s">
        <v>1365</v>
      </c>
      <c r="H56" s="2340"/>
      <c r="I56" s="1669"/>
      <c r="J56" s="2306" t="str">
        <f>IF(项目基本情况!K6="上海银行",IF(J55="",4,J55+1),"")</f>
        <v/>
      </c>
      <c r="K56" s="3419" t="str">
        <f>IF(项目基本情况!K6="上海银行","其他处置费用","")</f>
        <v/>
      </c>
      <c r="L56" s="3420"/>
      <c r="M56" s="2308" t="str">
        <f>IF(项目基本情况!K6="上海银行",M69,"")</f>
        <v/>
      </c>
      <c r="N56" s="3419" t="str">
        <f>IF(项目基本情况!K6="上海银行","包含处置中涉及的律师、诉讼、拍卖、评估等费用","")</f>
        <v/>
      </c>
      <c r="O56" s="3422"/>
    </row>
    <row r="57" spans="1:35" ht="13.2">
      <c r="A57" s="2152" t="s">
        <v>1341</v>
      </c>
      <c r="B57" s="3357" t="s">
        <v>1366</v>
      </c>
      <c r="C57" s="3358"/>
      <c r="D57" s="1477">
        <v>0</v>
      </c>
      <c r="E57" s="316" t="s">
        <v>1343</v>
      </c>
      <c r="F57" s="294"/>
      <c r="G57" s="2337"/>
      <c r="H57" s="2341"/>
      <c r="I57" s="1669"/>
      <c r="J57" s="3396">
        <f>IF(AND(J55="",J56=""),4,IF(项目基本情况!K6="上海银行",结果表!J56+1,结果表!J55+1))</f>
        <v>5</v>
      </c>
      <c r="K57" s="3396" t="s">
        <v>1367</v>
      </c>
      <c r="L57" s="2313" t="s">
        <v>1368</v>
      </c>
      <c r="M57" s="2314"/>
      <c r="N57" s="2315">
        <f ca="1">SUMIF(M52:M56,"&lt;9e307")</f>
        <v>24851</v>
      </c>
      <c r="O57" s="2316"/>
      <c r="P57" s="2460">
        <f ca="1">N57/M49</f>
        <v>0.57602800055630243</v>
      </c>
    </row>
    <row r="58" spans="1:35" ht="25.2">
      <c r="A58" s="2152" t="s">
        <v>1352</v>
      </c>
      <c r="B58" s="3357" t="s">
        <v>1369</v>
      </c>
      <c r="C58" s="3331"/>
      <c r="D58" s="12">
        <f ca="1">IF(H58="转让取得",C81,C97)</f>
        <v>24418</v>
      </c>
      <c r="E58" s="1255" t="s">
        <v>1364</v>
      </c>
      <c r="F58" s="294" t="s">
        <v>28</v>
      </c>
      <c r="G58" s="2337"/>
      <c r="H58" s="2340"/>
      <c r="I58" s="1669"/>
      <c r="J58" s="3396"/>
      <c r="K58" s="3396"/>
      <c r="L58" s="2313" t="s">
        <v>1370</v>
      </c>
      <c r="M58" s="2317"/>
      <c r="N58" s="2318" t="str">
        <f ca="1">NUMBERSTRING(INT(N57*10000),2)&amp;"元整"</f>
        <v>贰亿肆仟捌佰伍拾壹万元整</v>
      </c>
      <c r="O58" s="2319"/>
    </row>
    <row r="59" spans="1:35" ht="24.6" thickBot="1">
      <c r="A59" s="3399" t="s">
        <v>1371</v>
      </c>
      <c r="B59" s="3400"/>
      <c r="C59" s="3400"/>
      <c r="D59" s="2342">
        <f ca="1">IF(H59="非个人房产","——",IF(H59="个人住宅（满五唯一有凭证）",0,IF(H59="个人其他（无凭证）",ROUND(D45*F59,0),ROUND(C67*F59,0))))</f>
        <v>411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2137</v>
      </c>
      <c r="J59" s="3397">
        <f>J57+1</f>
        <v>6</v>
      </c>
      <c r="K59" s="3396" t="s">
        <v>1372</v>
      </c>
      <c r="L59" s="2306" t="s">
        <v>1368</v>
      </c>
      <c r="M59" s="2320"/>
      <c r="N59" s="2321">
        <f ca="1">M49-N57</f>
        <v>18291</v>
      </c>
      <c r="O59" s="2322"/>
    </row>
    <row r="60" spans="1:35" ht="12" customHeight="1">
      <c r="A60" s="1670"/>
      <c r="B60" s="646"/>
      <c r="C60" s="646"/>
      <c r="D60" s="646"/>
      <c r="E60" s="1465"/>
      <c r="F60" s="1669"/>
      <c r="G60" s="1669"/>
      <c r="H60" s="151"/>
      <c r="I60" s="121"/>
      <c r="J60" s="3398"/>
      <c r="K60" s="3396"/>
      <c r="L60" s="2313" t="s">
        <v>1370</v>
      </c>
      <c r="M60" s="2317"/>
      <c r="N60" s="2318" t="str">
        <f ca="1">NUMBERSTRING(INT(N59*10000),2)&amp;"元整"</f>
        <v>壹亿捌仟贰佰玖拾壹万元整</v>
      </c>
      <c r="O60" s="2319"/>
    </row>
    <row r="61" spans="1:35" ht="13.8" thickBot="1">
      <c r="A61" s="3344" t="s">
        <v>1373</v>
      </c>
      <c r="B61" s="3344"/>
      <c r="C61" s="3344"/>
      <c r="D61" s="3344"/>
      <c r="E61" s="3344"/>
      <c r="F61" s="1669"/>
      <c r="G61" s="1669"/>
      <c r="H61" s="151"/>
      <c r="I61" s="121"/>
      <c r="J61" s="2306">
        <f>J59+1</f>
        <v>7</v>
      </c>
      <c r="K61" s="3396" t="s">
        <v>1374</v>
      </c>
      <c r="L61" s="3396"/>
      <c r="M61" s="2323"/>
      <c r="N61" s="2324">
        <f ca="1">ROUND(N59*10000/'数据-汇总表'!E3,0)</f>
        <v>15242</v>
      </c>
      <c r="O61" s="2325"/>
    </row>
    <row r="62" spans="1:35" ht="13.2">
      <c r="A62" s="3362" t="s">
        <v>1375</v>
      </c>
      <c r="B62" s="3363"/>
      <c r="C62" s="1864"/>
      <c r="D62" s="1864" t="s">
        <v>1376</v>
      </c>
      <c r="E62" s="158" t="s">
        <v>1377</v>
      </c>
      <c r="F62" s="1669"/>
      <c r="G62" s="1669"/>
      <c r="H62" s="151"/>
      <c r="I62" s="121"/>
    </row>
    <row r="63" spans="1:35" ht="13.2">
      <c r="A63" s="165" t="s">
        <v>330</v>
      </c>
      <c r="B63" s="159" t="s">
        <v>1378</v>
      </c>
      <c r="C63" s="2346">
        <f ca="1">ROUND((C64+C65)/(1+'数据-取费表'!C42),0)</f>
        <v>41088</v>
      </c>
      <c r="D63" s="159"/>
      <c r="E63" s="160"/>
      <c r="F63" s="1669"/>
      <c r="G63" s="1669"/>
      <c r="H63" s="151"/>
      <c r="I63" s="121"/>
      <c r="J63" s="3421" t="s">
        <v>1379</v>
      </c>
      <c r="K63" s="1244" t="s">
        <v>1380</v>
      </c>
      <c r="L63" s="1244">
        <f ca="1">IF(M49&gt;10000,M49*0.5%,IF(AND(M49&gt;1000,M49&lt;=10000),M49*1%,IF(AND(M49&gt;100,M49&lt;=1000),M49*3%,IF(AND(M49&gt;10,M49&lt;=100),M49*5%,M49*8%))))</f>
        <v>215.71</v>
      </c>
      <c r="M63" s="294">
        <f ca="1">ROUND(L63,1)</f>
        <v>215.7</v>
      </c>
      <c r="N63" s="2326"/>
      <c r="Z63" s="1622"/>
      <c r="AI63" s="1560"/>
    </row>
    <row r="64" spans="1:35" ht="14.25" customHeight="1">
      <c r="A64" s="161" t="s">
        <v>325</v>
      </c>
      <c r="B64" s="162" t="s">
        <v>1381</v>
      </c>
      <c r="C64" s="2347">
        <f ca="1">D45</f>
        <v>43142</v>
      </c>
      <c r="D64" s="162" t="s">
        <v>26</v>
      </c>
      <c r="E64" s="164"/>
      <c r="F64" s="1669"/>
      <c r="G64" s="1669"/>
      <c r="H64" s="151"/>
      <c r="I64" s="121"/>
      <c r="J64" s="3421"/>
      <c r="K64" s="1244" t="s">
        <v>1382</v>
      </c>
      <c r="L64" s="1244">
        <f ca="1">IF(M49&gt;2000,M49*0.5%,IF(AND(M49&gt;1000,M49&lt;=2000),M49*0.6%,IF(AND(M49&gt;500,M49&lt;=1000),M49*0.7%,IF(AND(M49&gt;200,M49&lt;=500),M49*0.8%,IF(AND(M49&gt;100,M49&lt;=200),M49*0.9%,IF(AND(M49&gt;50,M49&lt;=100),M49*1%,IF(AND(M49&gt;20,M49&lt;=50),M49*1.5%,IF(AND(M49&gt;10,M49&lt;=20),M49*2%,IF(AND(M49&gt;1,M49&lt;=10),M49*2.5%)))))))))</f>
        <v>215.71</v>
      </c>
      <c r="M64" s="294">
        <f t="shared" ref="M64:M65" ca="1" si="1">ROUND(L64,1)</f>
        <v>215.7</v>
      </c>
      <c r="N64" s="2327" t="s">
        <v>1383</v>
      </c>
      <c r="Z64" s="1622"/>
      <c r="AI64" s="1560"/>
    </row>
    <row r="65" spans="1:35" ht="14.25" customHeight="1">
      <c r="A65" s="161" t="s">
        <v>326</v>
      </c>
      <c r="B65" s="162" t="s">
        <v>1384</v>
      </c>
      <c r="C65" s="2348"/>
      <c r="D65" s="162"/>
      <c r="E65" s="164"/>
      <c r="F65" s="1669"/>
      <c r="G65" s="1669"/>
      <c r="H65" s="151"/>
      <c r="I65" s="121"/>
      <c r="J65" s="3421"/>
      <c r="K65" s="1244" t="s">
        <v>1385</v>
      </c>
      <c r="L65" s="1244">
        <f ca="1">IF(M49&gt;1000,M49*0.1%,IF(AND(M49&gt;500,M49&lt;=1000),M49*0.5%,IF(AND(M49&gt;50,M49&lt;=500),M49*1%,IF(AND(M49&gt;1,M49&lt;=50),M49*1.5%))))</f>
        <v>43.142000000000003</v>
      </c>
      <c r="M65" s="294">
        <f t="shared" ca="1" si="1"/>
        <v>43.1</v>
      </c>
      <c r="N65" s="2327" t="s">
        <v>1383</v>
      </c>
      <c r="Z65" s="1622"/>
      <c r="AI65" s="1560"/>
    </row>
    <row r="66" spans="1:35" ht="14.25" customHeight="1">
      <c r="A66" s="165" t="s">
        <v>327</v>
      </c>
      <c r="B66" s="166" t="s">
        <v>1386</v>
      </c>
      <c r="C66" s="2349"/>
      <c r="D66" s="166" t="s">
        <v>26</v>
      </c>
      <c r="E66" s="1250" t="s">
        <v>671</v>
      </c>
      <c r="F66" s="1669"/>
      <c r="G66" s="1669"/>
      <c r="H66" s="151"/>
      <c r="I66" s="121"/>
      <c r="J66" s="3421"/>
      <c r="K66" s="1244" t="s">
        <v>1387</v>
      </c>
      <c r="L66" s="1244">
        <f ca="1">M49*0.5%</f>
        <v>215.71</v>
      </c>
      <c r="M66" s="294">
        <f ca="1">IF(L66&gt;0.5,0.5,ROUND(L66,0))</f>
        <v>0.5</v>
      </c>
      <c r="N66" s="2327" t="s">
        <v>1388</v>
      </c>
      <c r="Z66" s="1622"/>
      <c r="AI66" s="1560"/>
    </row>
    <row r="67" spans="1:35" ht="14.25" customHeight="1">
      <c r="A67" s="165" t="s">
        <v>328</v>
      </c>
      <c r="B67" s="166" t="s">
        <v>1389</v>
      </c>
      <c r="C67" s="2350">
        <f ca="1">C63-C66</f>
        <v>41088</v>
      </c>
      <c r="D67" s="162" t="s">
        <v>26</v>
      </c>
      <c r="E67" s="164"/>
      <c r="F67" s="1669"/>
      <c r="G67" s="1669"/>
      <c r="H67" s="151"/>
      <c r="I67" s="121"/>
      <c r="J67" s="3421"/>
      <c r="K67" s="1244" t="s">
        <v>1390</v>
      </c>
      <c r="L67" s="1244">
        <f ca="1">IF(M49&gt;=10000,(8.25+(M49-10000)*0.01%),IF(AND(M49&gt;=8000,M49&lt;10000),(7.85+(M49-8000)*0.02%),IF(AND(M49&gt;=5000,M49&lt;8000),(6.65+(M49-5000)*0.04%),IF(AND(M49&gt;=2000,M49&lt;5000),(4.25+(PM49-2000)*0.08%),IF(AND(M49&gt;=1000,M49&lt;2000),(2.75+(M49-1000)*0.15%),IF(AND(M49&gt;=100,M49&lt;1000),(0.5+(M49-100)*0.25%),IF(AND(M49&gt;0,M49&lt;100),M49*0.5%)))))))</f>
        <v>11.5642</v>
      </c>
      <c r="M67" s="294">
        <f ca="1">ROUND(L67*0.9,1)</f>
        <v>10.4</v>
      </c>
      <c r="N67" s="2326"/>
      <c r="Z67" s="1622"/>
      <c r="AI67" s="1560"/>
    </row>
    <row r="68" spans="1:35" ht="14.25" customHeight="1" thickBot="1">
      <c r="A68" s="168" t="s">
        <v>329</v>
      </c>
      <c r="B68" s="169" t="s">
        <v>1391</v>
      </c>
      <c r="C68" s="2351">
        <f ca="1">IF(C67&lt;=0,0,ROUND(C67*D68,0))</f>
        <v>2301</v>
      </c>
      <c r="D68" s="2352">
        <f>'数据-取费表'!B41</f>
        <v>5.6000000000000001E-2</v>
      </c>
      <c r="E68" s="170"/>
      <c r="F68" s="1669"/>
      <c r="G68" s="1669"/>
      <c r="H68" s="151"/>
      <c r="I68" s="121"/>
      <c r="J68" s="3421"/>
      <c r="K68" s="1244" t="s">
        <v>1392</v>
      </c>
      <c r="L68" s="1244">
        <f ca="1">IF(M49&gt;10000,M49*0.5%,IF(AND(M49&gt;5000,M49&lt;=10000),M49*1%,IF(AND(M49&gt;1000,M49&lt;=5000),M49*2%,IF(AND(M49&gt;200,M49&lt;=1000),M49*3%,M49*5%))))</f>
        <v>215.71</v>
      </c>
      <c r="M68" s="294">
        <f ca="1">ROUND(L68,1)</f>
        <v>215.7</v>
      </c>
      <c r="N68" s="2326"/>
      <c r="Z68" s="1622"/>
      <c r="AI68" s="1560"/>
    </row>
    <row r="69" spans="1:35" ht="16.5" customHeight="1">
      <c r="A69" s="1671"/>
      <c r="B69" s="1672"/>
      <c r="C69" s="1673"/>
      <c r="D69" s="1674"/>
      <c r="E69" s="1675"/>
      <c r="F69" s="1465"/>
      <c r="G69" s="1465"/>
      <c r="H69" s="1466"/>
      <c r="I69" s="646"/>
      <c r="J69" s="3421"/>
      <c r="K69" s="1244" t="s">
        <v>1393</v>
      </c>
      <c r="L69" s="1244"/>
      <c r="M69" s="294">
        <f ca="1">ROUND(SUM(M63:M68),0)</f>
        <v>701</v>
      </c>
      <c r="N69" s="2328">
        <f ca="1">M69/M49</f>
        <v>1.6248667192063419E-2</v>
      </c>
      <c r="Z69" s="1622"/>
      <c r="AI69" s="1560"/>
    </row>
    <row r="70" spans="1:35" s="642" customFormat="1" ht="14.4" thickBot="1">
      <c r="A70" s="3383" t="s">
        <v>1394</v>
      </c>
      <c r="B70" s="3384"/>
      <c r="C70" s="3384"/>
      <c r="D70" s="3384"/>
      <c r="E70" s="3384"/>
      <c r="F70" s="3384"/>
      <c r="G70" s="3384"/>
      <c r="H70" s="338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62" t="s">
        <v>1375</v>
      </c>
      <c r="B71" s="336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41088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247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57" t="s">
        <v>1402</v>
      </c>
      <c r="F76" s="3331"/>
      <c r="G76" s="3331"/>
      <c r="H76" s="338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247</v>
      </c>
      <c r="D78" s="2359">
        <f>'数据-取费表'!B43</f>
        <v>6.000000000000001E-3</v>
      </c>
      <c r="E78" s="3341" t="s">
        <v>1406</v>
      </c>
      <c r="F78" s="3342"/>
      <c r="G78" s="3342"/>
      <c r="H78" s="335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40841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165.34817813765181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24418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83" t="s">
        <v>1410</v>
      </c>
      <c r="B83" s="3384"/>
      <c r="C83" s="3384"/>
      <c r="D83" s="3384"/>
      <c r="E83" s="3384"/>
      <c r="F83" s="3384"/>
      <c r="G83" s="3384"/>
      <c r="H83" s="338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62" t="s">
        <v>1375</v>
      </c>
      <c r="B84" s="336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41088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247</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423" t="s">
        <v>2129</v>
      </c>
      <c r="H90" s="3424"/>
      <c r="I90" s="1680"/>
      <c r="J90" s="2304"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341" t="s">
        <v>1419</v>
      </c>
      <c r="F91" s="3342"/>
      <c r="G91" s="334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341" t="s">
        <v>1422</v>
      </c>
      <c r="F92" s="3342"/>
      <c r="G92" s="3342"/>
      <c r="H92" s="3351"/>
      <c r="I92" s="1680"/>
      <c r="J92" s="2305"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247</v>
      </c>
      <c r="D93" s="2359">
        <f>'数据-取费表'!B43</f>
        <v>6.000000000000001E-3</v>
      </c>
      <c r="E93" s="3341" t="s">
        <v>1406</v>
      </c>
      <c r="F93" s="3342"/>
      <c r="G93" s="3342"/>
      <c r="H93" s="335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52" t="s">
        <v>1426</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40841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165.34817813765181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24418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25" t="s">
        <v>1428</v>
      </c>
      <c r="B100" s="3326"/>
      <c r="C100" s="3326"/>
      <c r="D100" s="3343"/>
      <c r="E100" s="3326" t="s">
        <v>1429</v>
      </c>
      <c r="F100" s="3326"/>
      <c r="G100" s="3326"/>
      <c r="H100" s="3343"/>
      <c r="I100" s="121"/>
    </row>
    <row r="101" spans="1:35" ht="18.75" customHeight="1">
      <c r="A101" s="3404" t="s">
        <v>1430</v>
      </c>
      <c r="B101" s="3405"/>
      <c r="C101" s="2367" t="str">
        <f>C4</f>
        <v>比较法-办公</v>
      </c>
      <c r="D101" s="2368" t="str">
        <f>D4</f>
        <v>成本法</v>
      </c>
      <c r="E101" s="3418" t="s">
        <v>1431</v>
      </c>
      <c r="F101" s="3375"/>
      <c r="G101" s="1686" t="s">
        <v>1432</v>
      </c>
      <c r="H101" s="2377">
        <f ca="1">H118</f>
        <v>43142</v>
      </c>
      <c r="I101" s="121"/>
    </row>
    <row r="102" spans="1:35" ht="18.75" customHeight="1">
      <c r="A102" s="3377" t="s">
        <v>1433</v>
      </c>
      <c r="B102" s="2366" t="s">
        <v>1432</v>
      </c>
      <c r="C102" s="2367">
        <f ca="1">IF(D32="楼面单价",ROUND(C19,0),C19)</f>
        <v>47769</v>
      </c>
      <c r="D102" s="2368">
        <f ca="1">IF(D32="楼面单价",ROUND(D19,0),D19)</f>
        <v>36202</v>
      </c>
      <c r="E102" s="3418"/>
      <c r="F102" s="3375"/>
      <c r="G102" s="1686" t="s">
        <v>1434</v>
      </c>
      <c r="H102" s="2337">
        <f ca="1">I118</f>
        <v>35951</v>
      </c>
      <c r="I102" s="121"/>
    </row>
    <row r="103" spans="1:35" ht="42.75" customHeight="1">
      <c r="A103" s="3377"/>
      <c r="B103" s="2366" t="s">
        <v>1434</v>
      </c>
      <c r="C103" s="2369">
        <f ca="1">C20</f>
        <v>39807</v>
      </c>
      <c r="D103" s="2370">
        <f ca="1">D20</f>
        <v>30168</v>
      </c>
      <c r="E103" s="3412" t="s">
        <v>1435</v>
      </c>
      <c r="F103" s="3413"/>
      <c r="G103" s="1687" t="s">
        <v>1436</v>
      </c>
      <c r="H103" s="2377">
        <f>IF(D36="正常操作",H104+H105+H106,H105+H106)</f>
        <v>0</v>
      </c>
      <c r="I103" s="121"/>
    </row>
    <row r="104" spans="1:35" ht="18.75" customHeight="1">
      <c r="A104" s="3377" t="s">
        <v>1437</v>
      </c>
      <c r="B104" s="2371" t="s">
        <v>1432</v>
      </c>
      <c r="C104" s="2372">
        <f ca="1">H118</f>
        <v>43142</v>
      </c>
      <c r="D104" s="2373"/>
      <c r="E104" s="1554" t="s">
        <v>1438</v>
      </c>
      <c r="F104" s="1547"/>
      <c r="G104" s="1687" t="s">
        <v>1436</v>
      </c>
      <c r="H104" s="2378">
        <f>IF(D36="同一抵押权人同一抵押物续贷",C36&amp;"（续贷，未扣减，详见特别提示）",C36)</f>
        <v>0</v>
      </c>
      <c r="I104" s="121"/>
    </row>
    <row r="105" spans="1:35" ht="18.75" customHeight="1" thickBot="1">
      <c r="A105" s="3378"/>
      <c r="B105" s="2374" t="s">
        <v>1434</v>
      </c>
      <c r="C105" s="2375">
        <f ca="1">I118</f>
        <v>35951</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74" t="str">
        <f>IF(项目基本情况!E8="已注销","——","3.房地产抵押价值")</f>
        <v>3.房地产抵押价值</v>
      </c>
      <c r="F107" s="3375"/>
      <c r="G107" s="1686" t="s">
        <v>1432</v>
      </c>
      <c r="H107" s="2377">
        <f ca="1">IF(E107="——","——",H101-H103)</f>
        <v>43142</v>
      </c>
      <c r="I107" s="121"/>
    </row>
    <row r="108" spans="1:35" ht="18.75" customHeight="1">
      <c r="A108" s="121"/>
      <c r="B108" s="121"/>
      <c r="C108" s="121"/>
      <c r="D108" s="121"/>
      <c r="E108" s="3374"/>
      <c r="F108" s="3375"/>
      <c r="G108" s="1686" t="s">
        <v>1434</v>
      </c>
      <c r="H108" s="2337">
        <f ca="1">IF(H107=H101,H102,ROUND(H107*10000/'数据-汇总表'!E3,0))</f>
        <v>35951</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75"/>
      <c r="G109" s="1686" t="s">
        <v>1432</v>
      </c>
      <c r="H109" s="2380" t="str">
        <f>IF(E109="——","——",H101-H105-H106)</f>
        <v>——</v>
      </c>
      <c r="I109" s="121"/>
    </row>
    <row r="110" spans="1:35" ht="18.75" customHeight="1">
      <c r="A110" s="121"/>
      <c r="B110" s="121"/>
      <c r="C110" s="121"/>
      <c r="D110" s="121"/>
      <c r="E110" s="3374"/>
      <c r="F110" s="3375"/>
      <c r="G110" s="1686" t="s">
        <v>1434</v>
      </c>
      <c r="H110" s="2337" t="str">
        <f>IF(H109="——","——",ROUND(H109*10000/'数据-汇总表'!E3,0))</f>
        <v>——</v>
      </c>
      <c r="I110" s="121"/>
    </row>
    <row r="111" spans="1:35" ht="18.75" customHeight="1">
      <c r="A111" s="121"/>
      <c r="B111" s="121"/>
      <c r="C111" s="121"/>
      <c r="D111" s="121"/>
      <c r="E111" s="3406" t="str">
        <f>IF(项目基本情况!E9="抵押净值",IF(OR(项目基本情况!E8="已注销",项目基本情况!E8="房地产抵押价值"),"4.抵押净值","5.抵押净值"),"——")</f>
        <v>——</v>
      </c>
      <c r="F111" s="3376"/>
      <c r="G111" s="1686" t="s">
        <v>1432</v>
      </c>
      <c r="H111" s="2377" t="str">
        <f>IF(E111="——","——",N59)</f>
        <v>——</v>
      </c>
      <c r="I111" s="121"/>
    </row>
    <row r="112" spans="1:35" ht="18.75" customHeight="1" thickBot="1">
      <c r="A112" s="121"/>
      <c r="B112" s="121"/>
      <c r="C112" s="121"/>
      <c r="D112" s="121"/>
      <c r="E112" s="3407"/>
      <c r="F112" s="3408"/>
      <c r="G112" s="1689" t="s">
        <v>1434</v>
      </c>
      <c r="H112" s="2381" t="str">
        <f>IF(E111="——","——",N61)</f>
        <v>——</v>
      </c>
      <c r="I112" s="121"/>
    </row>
    <row r="113" spans="1:27" ht="18.75" customHeight="1">
      <c r="A113" s="121"/>
      <c r="B113" s="121"/>
      <c r="C113" s="121"/>
      <c r="D113" s="121"/>
      <c r="E113" s="3379" t="s">
        <v>1440</v>
      </c>
      <c r="F113" s="3379"/>
      <c r="G113" s="3379"/>
      <c r="H113" s="3379"/>
      <c r="I113" s="121"/>
    </row>
    <row r="114" spans="1:27" ht="3.75" customHeight="1">
      <c r="A114" s="646"/>
      <c r="B114" s="646"/>
      <c r="C114" s="646"/>
      <c r="D114" s="646"/>
      <c r="E114" s="1670"/>
      <c r="F114" s="1670"/>
      <c r="G114" s="1670"/>
      <c r="H114" s="1670"/>
      <c r="I114" s="646"/>
    </row>
    <row r="115" spans="1:27" ht="18.75" customHeight="1">
      <c r="A115" s="3389" t="s">
        <v>1442</v>
      </c>
      <c r="B115" s="3390"/>
      <c r="C115" s="3390"/>
      <c r="D115" s="3390"/>
      <c r="E115" s="3390"/>
      <c r="F115" s="3390"/>
      <c r="G115" s="3390"/>
      <c r="H115" s="3390"/>
      <c r="I115" s="3391"/>
    </row>
    <row r="116" spans="1:27" ht="27" customHeight="1">
      <c r="A116" s="3345" t="s">
        <v>1443</v>
      </c>
      <c r="B116" s="3380" t="s">
        <v>1444</v>
      </c>
      <c r="C116" s="3380" t="s">
        <v>1445</v>
      </c>
      <c r="D116" s="3393" t="s">
        <v>1446</v>
      </c>
      <c r="E116" s="3394"/>
      <c r="F116" s="3388" t="s">
        <v>1447</v>
      </c>
      <c r="G116" s="3388"/>
      <c r="H116" s="3345" t="s">
        <v>1448</v>
      </c>
      <c r="I116" s="3345"/>
    </row>
    <row r="117" spans="1:27" ht="18.75" customHeight="1">
      <c r="A117" s="3345"/>
      <c r="B117" s="3381"/>
      <c r="C117" s="3381"/>
      <c r="D117" s="2149" t="s">
        <v>1449</v>
      </c>
      <c r="E117" s="2149" t="s">
        <v>1450</v>
      </c>
      <c r="F117" s="2149" t="s">
        <v>1449</v>
      </c>
      <c r="G117" s="2149" t="s">
        <v>1451</v>
      </c>
      <c r="H117" s="2149" t="s">
        <v>1449</v>
      </c>
      <c r="I117" s="2149" t="s">
        <v>1451</v>
      </c>
    </row>
    <row r="118" spans="1:27" ht="24.75" customHeight="1">
      <c r="A118" s="2382" t="str">
        <f>项目基本情况!S2</f>
        <v>北京市东城区朝阳门北大街8号房地产</v>
      </c>
      <c r="B118" s="2149">
        <f>M18</f>
        <v>12000.230000000001</v>
      </c>
      <c r="C118" s="2149">
        <f>M19</f>
        <v>1066.21</v>
      </c>
      <c r="D118" s="2149">
        <f ca="1">ROUND(IF(D32="总价",C34,E118*B118/10000),0)</f>
        <v>35722</v>
      </c>
      <c r="E118" s="2149">
        <f ca="1">ROUND(IF(C33="自定义",IF(D32="楼面单价",C34,D118*10000/B118),I118-G118),0)</f>
        <v>29768</v>
      </c>
      <c r="F118" s="2149">
        <f ca="1">ROUND(IF(D32="总价",C35,G118*B118/10000),0)</f>
        <v>7420</v>
      </c>
      <c r="G118" s="2149">
        <f ca="1">ROUND(IF(D32="楼面单价",C35,F118*10000/B118),0)</f>
        <v>6183</v>
      </c>
      <c r="H118" s="2149">
        <f ca="1">ROUND(IF(D32="总价",C32,I118*B118/10000),0)</f>
        <v>43142</v>
      </c>
      <c r="I118" s="2149">
        <f ca="1">ROUND(IF(D32="楼面单价",C32,H118*10000/B118),0)</f>
        <v>35951</v>
      </c>
    </row>
    <row r="119" spans="1:27" ht="18.75" customHeight="1">
      <c r="A119" s="3345" t="s">
        <v>1452</v>
      </c>
      <c r="B119" s="3345"/>
      <c r="C119" s="3345"/>
      <c r="D119" s="3385" t="str">
        <f ca="1">NUMBERSTRING(INT(D118*10000),2)&amp;"元整"</f>
        <v>叁亿伍仟柒佰贰拾贰万元整</v>
      </c>
      <c r="E119" s="3387"/>
      <c r="F119" s="3385" t="str">
        <f ca="1">NUMBERSTRING(INT(F118*10000),2)&amp;"元整"</f>
        <v>柒仟肆佰贰拾万元整</v>
      </c>
      <c r="G119" s="3387"/>
      <c r="H119" s="3385" t="str">
        <f ca="1">NUMBERSTRING(INT(H118*10000),2)&amp;"元整"</f>
        <v>肆亿叁仟壹佰肆拾贰万元整</v>
      </c>
      <c r="I119" s="3387"/>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85" t="s">
        <v>1452</v>
      </c>
      <c r="B121" s="3386"/>
      <c r="C121" s="3387"/>
      <c r="D121" s="3385" t="str">
        <f>IF(D120=0,"零元整",NUMBERSTRING(INT(D120*10000),2)&amp;"元整")</f>
        <v>零元整</v>
      </c>
      <c r="E121" s="3386"/>
      <c r="F121" s="3386"/>
      <c r="G121" s="3386"/>
      <c r="H121" s="3386"/>
      <c r="I121" s="3387"/>
      <c r="AA121" s="684"/>
    </row>
    <row r="122" spans="1:27" ht="18.75" customHeight="1">
      <c r="A122" s="3376" t="str">
        <f>IF(项目基本情况!B9="房地产市场价值","",MID(E107,3,LEN(E107)-2))</f>
        <v>房地产抵押价值</v>
      </c>
      <c r="B122" s="3376"/>
      <c r="C122" s="3376"/>
      <c r="D122" s="3409">
        <f ca="1">H107</f>
        <v>43142</v>
      </c>
      <c r="E122" s="3410"/>
      <c r="F122" s="3410"/>
      <c r="G122" s="3410"/>
      <c r="H122" s="3410"/>
      <c r="I122" s="3411"/>
      <c r="AA122" s="684"/>
    </row>
    <row r="123" spans="1:27" ht="18.75" customHeight="1">
      <c r="A123" s="3345" t="s">
        <v>1452</v>
      </c>
      <c r="B123" s="3345"/>
      <c r="C123" s="3345"/>
      <c r="D123" s="3385" t="str">
        <f ca="1">NUMBERSTRING(INT(D122*10000),2)&amp;"元整"</f>
        <v>肆亿叁仟壹佰肆拾贰万元整</v>
      </c>
      <c r="E123" s="3386"/>
      <c r="F123" s="3386"/>
      <c r="G123" s="3386"/>
      <c r="H123" s="3386"/>
      <c r="I123" s="3387"/>
      <c r="AA123" s="684"/>
    </row>
    <row r="124" spans="1:27" ht="18.75" customHeight="1">
      <c r="A124" s="3376" t="str">
        <f>IF(项目基本情况!B9="房地产市场价值","",MID(E109,3,LEN(E109)-2))</f>
        <v/>
      </c>
      <c r="B124" s="3376"/>
      <c r="C124" s="3376"/>
      <c r="D124" s="3409" t="str">
        <f>H109</f>
        <v>——</v>
      </c>
      <c r="E124" s="3410"/>
      <c r="F124" s="3410"/>
      <c r="G124" s="3410"/>
      <c r="H124" s="3410"/>
      <c r="I124" s="3411"/>
      <c r="AA124" s="684"/>
    </row>
    <row r="125" spans="1:27" ht="18.75" customHeight="1">
      <c r="A125" s="3345" t="s">
        <v>1452</v>
      </c>
      <c r="B125" s="3345"/>
      <c r="C125" s="3345"/>
      <c r="D125" s="3385" t="e">
        <f>NUMBERSTRING(INT(D124*10000),2)&amp;"元整"</f>
        <v>#VALUE!</v>
      </c>
      <c r="E125" s="3386"/>
      <c r="F125" s="3386"/>
      <c r="G125" s="3386"/>
      <c r="H125" s="3386"/>
      <c r="I125" s="3387"/>
      <c r="AA125" s="684"/>
    </row>
    <row r="126" spans="1:27" ht="18.75" customHeight="1">
      <c r="A126" s="3376" t="str">
        <f>IF(项目基本情况!B9="房地产市场价值","",MID(E111,3,LEN(E111)-2))</f>
        <v/>
      </c>
      <c r="B126" s="3376"/>
      <c r="C126" s="3376"/>
      <c r="D126" s="3409" t="str">
        <f>H111</f>
        <v>——</v>
      </c>
      <c r="E126" s="3410"/>
      <c r="F126" s="3410"/>
      <c r="G126" s="3410"/>
      <c r="H126" s="3410"/>
      <c r="I126" s="3411"/>
      <c r="AA126" s="684"/>
    </row>
    <row r="127" spans="1:27" ht="18.75" customHeight="1">
      <c r="A127" s="3345" t="s">
        <v>1452</v>
      </c>
      <c r="B127" s="3345"/>
      <c r="C127" s="3345"/>
      <c r="D127" s="3385" t="e">
        <f>NUMBERSTRING(INT(D126*10000),2)&amp;"元整"</f>
        <v>#VALUE!</v>
      </c>
      <c r="E127" s="3386"/>
      <c r="F127" s="3386"/>
      <c r="G127" s="3386"/>
      <c r="H127" s="3386"/>
      <c r="I127" s="3387"/>
      <c r="AA127" s="684"/>
    </row>
    <row r="128" spans="1:27" ht="21.75" customHeight="1">
      <c r="A128" s="3392" t="s">
        <v>1453</v>
      </c>
      <c r="B128" s="3392"/>
      <c r="C128" s="3392"/>
      <c r="D128" s="3392"/>
      <c r="E128" s="3392"/>
      <c r="F128" s="3392"/>
      <c r="G128" s="3392"/>
      <c r="H128" s="3392"/>
      <c r="I128" s="339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I132"/>
  <sheetViews>
    <sheetView tabSelected="1" view="pageBreakPreview" zoomScale="70" zoomScaleNormal="70" zoomScaleSheetLayoutView="70" workbookViewId="0">
      <selection activeCell="K15" sqref="K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2.44140625" style="347" customWidth="1"/>
    <col min="6" max="6" width="12.21875" style="347" customWidth="1"/>
    <col min="7" max="7" width="24.6640625" style="347" customWidth="1"/>
    <col min="8" max="8" width="12.21875" style="347" customWidth="1"/>
    <col min="9" max="9" width="24.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47769</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39807</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1666</v>
      </c>
      <c r="B4" s="346"/>
      <c r="C4" s="3431" t="s">
        <v>1667</v>
      </c>
      <c r="D4" s="3432"/>
      <c r="E4" s="3433" t="s">
        <v>1668</v>
      </c>
      <c r="F4" s="3434"/>
      <c r="G4" s="3431" t="s">
        <v>1669</v>
      </c>
      <c r="H4" s="3432"/>
      <c r="I4" s="3431" t="s">
        <v>1670</v>
      </c>
      <c r="J4" s="3432"/>
      <c r="K4" s="537" t="s">
        <v>1671</v>
      </c>
      <c r="L4" s="2482"/>
      <c r="M4" s="2483"/>
      <c r="N4" s="2483"/>
      <c r="O4" s="2483"/>
      <c r="P4" s="3435" t="s">
        <v>1672</v>
      </c>
      <c r="Q4" s="3436"/>
      <c r="R4" s="3441" t="s">
        <v>1668</v>
      </c>
      <c r="S4" s="3442"/>
      <c r="T4" s="3441" t="s">
        <v>1669</v>
      </c>
      <c r="U4" s="3442"/>
      <c r="V4" s="3454" t="s">
        <v>1670</v>
      </c>
      <c r="W4" s="3454"/>
      <c r="X4" s="1808"/>
      <c r="Y4" s="3441" t="s">
        <v>1672</v>
      </c>
      <c r="Z4" s="3442"/>
      <c r="AA4" s="3425" t="s">
        <v>1668</v>
      </c>
      <c r="AB4" s="3425" t="s">
        <v>1669</v>
      </c>
      <c r="AC4" s="3428" t="s">
        <v>1670</v>
      </c>
    </row>
    <row r="5" spans="1:29">
      <c r="A5" s="348"/>
      <c r="B5" s="349"/>
      <c r="C5" s="3445" t="s">
        <v>4016</v>
      </c>
      <c r="D5" s="3446"/>
      <c r="E5" s="3447" t="str">
        <f>案例比较法!A3</f>
        <v>华远中心</v>
      </c>
      <c r="F5" s="3448"/>
      <c r="G5" s="3449" t="str">
        <f>案例比较法!A4</f>
        <v>丰台大悦春风里</v>
      </c>
      <c r="H5" s="3446"/>
      <c r="I5" s="3449" t="str">
        <f>案例比较法!A5</f>
        <v>华樾北京</v>
      </c>
      <c r="J5" s="3446"/>
      <c r="K5" s="537"/>
      <c r="L5" s="2482"/>
      <c r="M5" s="2483">
        <f>B2/D3</f>
        <v>3.9806737037540114</v>
      </c>
      <c r="N5" s="2483"/>
      <c r="O5" s="2483"/>
      <c r="P5" s="3437"/>
      <c r="Q5" s="3438"/>
      <c r="R5" s="3443"/>
      <c r="S5" s="3444"/>
      <c r="T5" s="3443"/>
      <c r="U5" s="3444"/>
      <c r="V5" s="3455"/>
      <c r="W5" s="3455"/>
      <c r="X5" s="1264"/>
      <c r="Y5" s="3443"/>
      <c r="Z5" s="3444"/>
      <c r="AA5" s="3426"/>
      <c r="AB5" s="3426"/>
      <c r="AC5" s="3429"/>
    </row>
    <row r="6" spans="1:29" ht="15" thickBot="1">
      <c r="A6" s="350"/>
      <c r="B6" s="351"/>
      <c r="C6" s="3456" t="str">
        <f>项目基本情况!F10</f>
        <v>东城区朝阳门北大街8号</v>
      </c>
      <c r="D6" s="3457"/>
      <c r="E6" s="3458" t="s">
        <v>4032</v>
      </c>
      <c r="F6" s="3459"/>
      <c r="G6" s="3460" t="s">
        <v>4012</v>
      </c>
      <c r="H6" s="3457"/>
      <c r="I6" s="3460" t="s">
        <v>4017</v>
      </c>
      <c r="J6" s="3457"/>
      <c r="K6" s="537" t="s">
        <v>1678</v>
      </c>
      <c r="L6" s="2482"/>
      <c r="M6" s="2483"/>
      <c r="N6" s="2483"/>
      <c r="O6" s="2483"/>
      <c r="P6" s="3439"/>
      <c r="Q6" s="3440"/>
      <c r="R6" s="3443"/>
      <c r="S6" s="3444"/>
      <c r="T6" s="3452"/>
      <c r="U6" s="3453"/>
      <c r="V6" s="3455"/>
      <c r="W6" s="3455"/>
      <c r="X6" s="1264"/>
      <c r="Y6" s="3452"/>
      <c r="Z6" s="3453"/>
      <c r="AA6" s="3427"/>
      <c r="AB6" s="3427"/>
      <c r="AC6" s="3430"/>
    </row>
    <row r="7" spans="1:29" s="102" customFormat="1" ht="15" thickBot="1">
      <c r="A7" s="352" t="s">
        <v>1679</v>
      </c>
      <c r="B7" s="353"/>
      <c r="C7" s="354">
        <f>'数据-取费表'!B2</f>
        <v>45722</v>
      </c>
      <c r="D7" s="355">
        <v>100</v>
      </c>
      <c r="E7" s="356">
        <f>案例比较法!C3</f>
        <v>44958.333831018521</v>
      </c>
      <c r="F7" s="357">
        <f>SUMIF(59:59,YEAR(E7)&amp;"-"&amp;MONTH(E7),60:60)</f>
        <v>100</v>
      </c>
      <c r="G7" s="356">
        <f>案例比较法!C4</f>
        <v>45308.333831018521</v>
      </c>
      <c r="H7" s="355">
        <f>SUMIF(59:59,YEAR(G7)&amp;"-"&amp;MONTH(G7),60:60)</f>
        <v>100</v>
      </c>
      <c r="I7" s="356">
        <f>案例比较法!C5</f>
        <v>45602</v>
      </c>
      <c r="J7" s="355">
        <f>SUMIF(59:59,YEAR(I7)&amp;"-"&amp;MONTH(I7),60:60)</f>
        <v>100</v>
      </c>
      <c r="K7" s="38"/>
      <c r="L7" s="2484"/>
      <c r="M7" s="2436"/>
      <c r="N7" s="2436"/>
      <c r="O7" s="2436"/>
      <c r="P7" s="3461" t="s">
        <v>1680</v>
      </c>
      <c r="Q7" s="3462"/>
      <c r="R7" s="664" t="s">
        <v>14</v>
      </c>
      <c r="S7" s="665">
        <f t="shared" ref="S7:S15" si="0">F7</f>
        <v>100</v>
      </c>
      <c r="T7" s="664" t="s">
        <v>14</v>
      </c>
      <c r="U7" s="665">
        <f t="shared" ref="U7:U15" si="1">H7</f>
        <v>100</v>
      </c>
      <c r="V7" s="664" t="s">
        <v>14</v>
      </c>
      <c r="W7" s="665">
        <f t="shared" ref="W7:W15" si="2">J7</f>
        <v>100</v>
      </c>
      <c r="X7" s="666"/>
      <c r="Y7" s="3450" t="s">
        <v>1680</v>
      </c>
      <c r="Z7" s="3451"/>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61" t="s">
        <v>1683</v>
      </c>
      <c r="Q8" s="3451"/>
      <c r="R8" s="664" t="s">
        <v>14</v>
      </c>
      <c r="S8" s="665">
        <f t="shared" si="0"/>
        <v>100</v>
      </c>
      <c r="T8" s="664" t="s">
        <v>14</v>
      </c>
      <c r="U8" s="665">
        <f t="shared" si="1"/>
        <v>100</v>
      </c>
      <c r="V8" s="664" t="s">
        <v>14</v>
      </c>
      <c r="W8" s="665">
        <f t="shared" si="2"/>
        <v>100</v>
      </c>
      <c r="X8" s="666"/>
      <c r="Y8" s="3450" t="s">
        <v>1683</v>
      </c>
      <c r="Z8" s="3451"/>
      <c r="AA8" s="50">
        <f t="shared" ref="AA8:AA47" si="3">D8/F8</f>
        <v>1</v>
      </c>
      <c r="AB8" s="50">
        <f t="shared" ref="AB8:AB47" si="4">D8/H8</f>
        <v>1</v>
      </c>
      <c r="AC8" s="802">
        <f t="shared" ref="AC8:AC47" si="5">D8/J8</f>
        <v>1</v>
      </c>
    </row>
    <row r="9" spans="1:29" s="102" customFormat="1" ht="14.4">
      <c r="A9" s="359" t="s">
        <v>1684</v>
      </c>
      <c r="B9" s="60" t="s">
        <v>1685</v>
      </c>
      <c r="C9" s="3219"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6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106</v>
      </c>
      <c r="G10" s="3128" t="s">
        <v>3991</v>
      </c>
      <c r="H10" s="119">
        <f>SUMIF(66:66,G10,67:67)-SUMIF(66:66,C10,67:67)+100</f>
        <v>106</v>
      </c>
      <c r="I10" s="3128" t="s">
        <v>3991</v>
      </c>
      <c r="J10" s="119">
        <f>SUMIF(66:66,I10,67:67)-SUMIF(66:66,C10,67:67)+100</f>
        <v>106</v>
      </c>
      <c r="K10" s="38"/>
      <c r="L10" s="2485"/>
      <c r="M10" s="2486"/>
      <c r="N10" s="2486"/>
      <c r="O10" s="2486"/>
      <c r="P10" s="3463"/>
      <c r="Q10" s="530" t="str">
        <f t="shared" si="6"/>
        <v>土地使用年限（年）</v>
      </c>
      <c r="R10" s="664" t="s">
        <v>14</v>
      </c>
      <c r="S10" s="665">
        <f t="shared" si="0"/>
        <v>106</v>
      </c>
      <c r="T10" s="664" t="s">
        <v>14</v>
      </c>
      <c r="U10" s="665">
        <f t="shared" si="1"/>
        <v>106</v>
      </c>
      <c r="V10" s="664" t="s">
        <v>14</v>
      </c>
      <c r="W10" s="665">
        <f t="shared" si="2"/>
        <v>106</v>
      </c>
      <c r="X10" s="666"/>
      <c r="Y10" s="3332"/>
      <c r="Z10" s="50" t="str">
        <f t="shared" si="7"/>
        <v>土地使用年限（年）</v>
      </c>
      <c r="AA10" s="50">
        <f t="shared" si="3"/>
        <v>0.94339622641509435</v>
      </c>
      <c r="AB10" s="50">
        <f t="shared" si="4"/>
        <v>0.94339622641509435</v>
      </c>
      <c r="AC10" s="802">
        <f t="shared" si="5"/>
        <v>0.94339622641509435</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63"/>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227"/>
      <c r="D12" s="372">
        <v>100</v>
      </c>
      <c r="E12" s="3227" t="s">
        <v>4026</v>
      </c>
      <c r="F12" s="119">
        <f>SUMIF(71:71,E12,72:72)-SUMIF(71:71,C12,72:72)+100</f>
        <v>100</v>
      </c>
      <c r="G12" s="3227" t="s">
        <v>4026</v>
      </c>
      <c r="H12" s="119">
        <f>SUMIF(71:71,G12,72:72)-SUMIF(71:71,C12,72:72)+100</f>
        <v>100</v>
      </c>
      <c r="I12" s="3227" t="s">
        <v>4026</v>
      </c>
      <c r="J12" s="119">
        <f>SUMIF(71:71,I12,72:72)-SUMIF(71:71,C12,72:72)+100</f>
        <v>100</v>
      </c>
      <c r="K12" s="539"/>
      <c r="L12" s="2484"/>
      <c r="M12" s="2436"/>
      <c r="N12" s="2436"/>
      <c r="O12" s="2436"/>
      <c r="P12" s="346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6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6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38">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28" t="s">
        <v>4028</v>
      </c>
      <c r="F15" s="380">
        <f>SUMIF(77:77,E16,78:78)-SUMIF(77:77,C16,78:78)+100</f>
        <v>95</v>
      </c>
      <c r="G15" s="3226" t="s">
        <v>4037</v>
      </c>
      <c r="H15" s="380">
        <f>SUMIF(77:77,G16,78:78)-SUMIF(77:77,C16,78:78)+100</f>
        <v>95</v>
      </c>
      <c r="I15" s="3226" t="s">
        <v>4038</v>
      </c>
      <c r="J15" s="380">
        <f>SUMIF(77:77,I16,78:78)-SUMIF(77:77,C16,78:78)+100</f>
        <v>95</v>
      </c>
      <c r="K15" s="3596">
        <v>5</v>
      </c>
      <c r="L15" s="2488"/>
      <c r="M15" s="2483"/>
      <c r="N15" s="2483"/>
      <c r="O15" s="2483"/>
      <c r="P15" s="3464" t="s">
        <v>1691</v>
      </c>
      <c r="Q15" s="1262" t="str">
        <f t="shared" si="6"/>
        <v>办公集聚程度</v>
      </c>
      <c r="R15" s="667" t="s">
        <v>14</v>
      </c>
      <c r="S15" s="668">
        <f t="shared" si="0"/>
        <v>95</v>
      </c>
      <c r="T15" s="667" t="s">
        <v>14</v>
      </c>
      <c r="U15" s="668">
        <f t="shared" si="1"/>
        <v>95</v>
      </c>
      <c r="V15" s="667" t="s">
        <v>14</v>
      </c>
      <c r="W15" s="668">
        <f t="shared" si="2"/>
        <v>95</v>
      </c>
      <c r="X15" s="1264"/>
      <c r="Y15" s="3466" t="s">
        <v>1691</v>
      </c>
      <c r="Z15" s="1263" t="str">
        <f t="shared" si="7"/>
        <v>办公集聚程度</v>
      </c>
      <c r="AA15" s="1263">
        <f t="shared" si="3"/>
        <v>1.0526315789473684</v>
      </c>
      <c r="AB15" s="1263">
        <f t="shared" si="4"/>
        <v>1.0526315789473684</v>
      </c>
      <c r="AC15" s="1811">
        <f t="shared" si="5"/>
        <v>1.0526315789473684</v>
      </c>
    </row>
    <row r="16" spans="1:29" ht="15">
      <c r="A16" s="367"/>
      <c r="B16" s="555"/>
      <c r="C16" s="1757" t="s">
        <v>3454</v>
      </c>
      <c r="D16" s="387"/>
      <c r="E16" s="386" t="s">
        <v>3949</v>
      </c>
      <c r="F16" s="387"/>
      <c r="G16" s="1757" t="s">
        <v>3949</v>
      </c>
      <c r="H16" s="389"/>
      <c r="I16" s="3241" t="s">
        <v>3949</v>
      </c>
      <c r="J16" s="387"/>
      <c r="K16" s="541"/>
      <c r="L16" s="2488"/>
      <c r="M16" s="2483"/>
      <c r="N16" s="2483"/>
      <c r="O16" s="2483"/>
      <c r="P16" s="3465"/>
      <c r="Q16" s="1262"/>
      <c r="R16" s="667"/>
      <c r="S16" s="668"/>
      <c r="T16" s="667"/>
      <c r="U16" s="668"/>
      <c r="V16" s="667"/>
      <c r="W16" s="668"/>
      <c r="X16" s="1264"/>
      <c r="Y16" s="3467"/>
      <c r="Z16" s="1263"/>
      <c r="AA16" s="1263">
        <v>1</v>
      </c>
      <c r="AB16" s="1263">
        <v>1</v>
      </c>
      <c r="AC16" s="1811">
        <v>1</v>
      </c>
    </row>
    <row r="17" spans="1:29" ht="151.80000000000001">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3" t="s">
        <v>4029</v>
      </c>
      <c r="F17" s="389">
        <f>SUMIF(79:79,E18,80:80)-SUMIF(79:79,C18,80:80)+100</f>
        <v>97</v>
      </c>
      <c r="G17" s="3232" t="s">
        <v>4034</v>
      </c>
      <c r="H17" s="394">
        <f>SUMIF(79:79,G18,80:80)-SUMIF(79:79,C18,80:80)+100</f>
        <v>97</v>
      </c>
      <c r="I17" s="3232" t="s">
        <v>4039</v>
      </c>
      <c r="J17" s="394">
        <f>SUMIF(79:79,I18,80:80)-SUMIF(79:79,C18,80:80)+100</f>
        <v>97</v>
      </c>
      <c r="K17" s="3596">
        <v>3</v>
      </c>
      <c r="L17" s="2488"/>
      <c r="M17" s="2483"/>
      <c r="N17" s="2483"/>
      <c r="O17" s="2483"/>
      <c r="P17" s="3465"/>
      <c r="Q17" s="1262" t="str">
        <f>B17</f>
        <v>交通便捷度</v>
      </c>
      <c r="R17" s="667" t="s">
        <v>14</v>
      </c>
      <c r="S17" s="668">
        <f>F17</f>
        <v>97</v>
      </c>
      <c r="T17" s="667" t="s">
        <v>14</v>
      </c>
      <c r="U17" s="668">
        <f>H17</f>
        <v>97</v>
      </c>
      <c r="V17" s="667" t="s">
        <v>14</v>
      </c>
      <c r="W17" s="668">
        <f>J17</f>
        <v>97</v>
      </c>
      <c r="X17" s="1264"/>
      <c r="Y17" s="3467"/>
      <c r="Z17" s="1263" t="str">
        <f>Q17</f>
        <v>交通便捷度</v>
      </c>
      <c r="AA17" s="1263">
        <f t="shared" si="3"/>
        <v>1.0309278350515463</v>
      </c>
      <c r="AB17" s="1263">
        <f t="shared" si="4"/>
        <v>1.0309278350515463</v>
      </c>
      <c r="AC17" s="1811">
        <f t="shared" si="5"/>
        <v>1.0309278350515463</v>
      </c>
    </row>
    <row r="18" spans="1:29" ht="15">
      <c r="A18" s="367"/>
      <c r="B18" s="401"/>
      <c r="C18" s="1813" t="s">
        <v>3454</v>
      </c>
      <c r="D18" s="389"/>
      <c r="E18" s="1755" t="s">
        <v>3949</v>
      </c>
      <c r="F18" s="389"/>
      <c r="G18" s="1757" t="s">
        <v>3949</v>
      </c>
      <c r="H18" s="387"/>
      <c r="I18" s="1757" t="s">
        <v>3949</v>
      </c>
      <c r="J18" s="387"/>
      <c r="K18" s="541"/>
      <c r="L18" s="2488"/>
      <c r="M18" s="2483"/>
      <c r="N18" s="2483"/>
      <c r="O18" s="2483"/>
      <c r="P18" s="3465"/>
      <c r="Q18" s="1262"/>
      <c r="R18" s="667"/>
      <c r="S18" s="668"/>
      <c r="T18" s="667"/>
      <c r="U18" s="668"/>
      <c r="V18" s="667"/>
      <c r="W18" s="668"/>
      <c r="X18" s="1264"/>
      <c r="Y18" s="3467"/>
      <c r="Z18" s="1263"/>
      <c r="AA18" s="1263">
        <v>1</v>
      </c>
      <c r="AB18" s="1263">
        <v>1</v>
      </c>
      <c r="AC18" s="1811">
        <v>1</v>
      </c>
    </row>
    <row r="19" spans="1:29" ht="100.8">
      <c r="A19" s="367"/>
      <c r="B19" s="556" t="s">
        <v>1812</v>
      </c>
      <c r="C19" s="1812" t="str">
        <f>估价对象房地状况!C7</f>
        <v>估价对象所在区域公共配套设施齐备情况：商场（东环广场、</v>
      </c>
      <c r="D19" s="394">
        <v>100</v>
      </c>
      <c r="E19" s="3230" t="s">
        <v>4030</v>
      </c>
      <c r="F19" s="394">
        <f>SUMIF(81:81,E20,82:82)-SUMIF(81:81,C20,82:82)+100</f>
        <v>97</v>
      </c>
      <c r="G19" s="3236" t="s">
        <v>4035</v>
      </c>
      <c r="H19" s="389">
        <f>SUMIF(81:81,G20,82:82)-SUMIF(81:81,C20,82:82)+100</f>
        <v>97</v>
      </c>
      <c r="I19" s="3236" t="s">
        <v>4040</v>
      </c>
      <c r="J19" s="389">
        <f>SUMIF(81:81,I20,82:82)-SUMIF(81:81,C20,82:82)+100</f>
        <v>97</v>
      </c>
      <c r="K19" s="3596">
        <v>3</v>
      </c>
      <c r="L19" s="2488"/>
      <c r="M19" s="2483"/>
      <c r="N19" s="2483"/>
      <c r="O19" s="2483"/>
      <c r="P19" s="3465"/>
      <c r="Q19" s="1262" t="str">
        <f>B19</f>
        <v>公共配套设施</v>
      </c>
      <c r="R19" s="667" t="s">
        <v>14</v>
      </c>
      <c r="S19" s="668">
        <f>F19</f>
        <v>97</v>
      </c>
      <c r="T19" s="667" t="s">
        <v>14</v>
      </c>
      <c r="U19" s="668">
        <f>H19</f>
        <v>97</v>
      </c>
      <c r="V19" s="667" t="s">
        <v>14</v>
      </c>
      <c r="W19" s="668">
        <f>J19</f>
        <v>97</v>
      </c>
      <c r="X19" s="1264"/>
      <c r="Y19" s="3467"/>
      <c r="Z19" s="1263" t="str">
        <f>Q19</f>
        <v>公共配套设施</v>
      </c>
      <c r="AA19" s="1263">
        <f t="shared" si="3"/>
        <v>1.0309278350515463</v>
      </c>
      <c r="AB19" s="1263">
        <f t="shared" si="4"/>
        <v>1.0309278350515463</v>
      </c>
      <c r="AC19" s="1811">
        <f t="shared" si="5"/>
        <v>1.0309278350515463</v>
      </c>
    </row>
    <row r="20" spans="1:29" ht="15">
      <c r="A20" s="367"/>
      <c r="B20" s="401"/>
      <c r="C20" s="1757" t="s">
        <v>3454</v>
      </c>
      <c r="D20" s="387"/>
      <c r="E20" s="3235" t="s">
        <v>3979</v>
      </c>
      <c r="F20" s="387"/>
      <c r="G20" s="1757" t="s">
        <v>3949</v>
      </c>
      <c r="H20" s="387"/>
      <c r="I20" s="1757" t="s">
        <v>3949</v>
      </c>
      <c r="J20" s="387"/>
      <c r="K20" s="541"/>
      <c r="L20" s="2488"/>
      <c r="M20" s="2483"/>
      <c r="N20" s="2483"/>
      <c r="O20" s="2483"/>
      <c r="P20" s="3465"/>
      <c r="Q20" s="1262"/>
      <c r="R20" s="667"/>
      <c r="S20" s="668"/>
      <c r="T20" s="667"/>
      <c r="U20" s="668"/>
      <c r="V20" s="667"/>
      <c r="W20" s="668"/>
      <c r="X20" s="1264"/>
      <c r="Y20" s="346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65"/>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65"/>
      <c r="Q22" s="1262"/>
      <c r="R22" s="667"/>
      <c r="S22" s="668"/>
      <c r="T22" s="667"/>
      <c r="U22" s="668"/>
      <c r="V22" s="667"/>
      <c r="W22" s="668"/>
      <c r="X22" s="1264"/>
      <c r="Y22" s="3467"/>
      <c r="Z22" s="1263"/>
      <c r="AA22" s="1263">
        <v>1</v>
      </c>
      <c r="AB22" s="1263">
        <v>1</v>
      </c>
      <c r="AC22" s="1811">
        <v>1</v>
      </c>
    </row>
    <row r="23" spans="1:29" ht="220.8">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0" t="s">
        <v>4031</v>
      </c>
      <c r="F23" s="389">
        <f>SUMIF(85:85,E24,86:86)-SUMIF(85:85,C24,86:86)+100</f>
        <v>97</v>
      </c>
      <c r="G23" s="3232" t="s">
        <v>4036</v>
      </c>
      <c r="H23" s="389">
        <f>SUMIF(85:85,G24,86:86)-SUMIF(85:85,C24,86:86)+100</f>
        <v>97</v>
      </c>
      <c r="I23" s="3232" t="s">
        <v>4041</v>
      </c>
      <c r="J23" s="389">
        <f>SUMIF(85:85,I24,86:86)-SUMIF(85:85,C24,86:86)+100</f>
        <v>97</v>
      </c>
      <c r="K23" s="3596">
        <v>3</v>
      </c>
      <c r="L23" s="2488"/>
      <c r="M23" s="2483">
        <v>3797.1</v>
      </c>
      <c r="N23" s="2483"/>
      <c r="O23" s="2483"/>
      <c r="P23" s="3465"/>
      <c r="Q23" s="1262" t="str">
        <f>B23</f>
        <v>环境质量</v>
      </c>
      <c r="R23" s="667" t="s">
        <v>14</v>
      </c>
      <c r="S23" s="668">
        <f>F23</f>
        <v>97</v>
      </c>
      <c r="T23" s="667" t="s">
        <v>14</v>
      </c>
      <c r="U23" s="668">
        <f>H23</f>
        <v>97</v>
      </c>
      <c r="V23" s="667" t="s">
        <v>14</v>
      </c>
      <c r="W23" s="668">
        <f>J23</f>
        <v>97</v>
      </c>
      <c r="X23" s="1264"/>
      <c r="Y23" s="3467"/>
      <c r="Z23" s="1263" t="str">
        <f>Q23</f>
        <v>环境质量</v>
      </c>
      <c r="AA23" s="1263">
        <f t="shared" si="3"/>
        <v>1.0309278350515463</v>
      </c>
      <c r="AB23" s="1263">
        <f t="shared" si="4"/>
        <v>1.0309278350515463</v>
      </c>
      <c r="AC23" s="1811">
        <f t="shared" si="5"/>
        <v>1.0309278350515463</v>
      </c>
    </row>
    <row r="24" spans="1:29" ht="15">
      <c r="A24" s="367"/>
      <c r="B24" s="557"/>
      <c r="C24" s="1757" t="s">
        <v>3454</v>
      </c>
      <c r="D24" s="387"/>
      <c r="E24" s="1750" t="s">
        <v>3949</v>
      </c>
      <c r="F24" s="387"/>
      <c r="G24" s="1757" t="s">
        <v>3949</v>
      </c>
      <c r="H24" s="387"/>
      <c r="I24" s="1757" t="s">
        <v>3949</v>
      </c>
      <c r="J24" s="387"/>
      <c r="K24" s="541"/>
      <c r="L24" s="2488"/>
      <c r="M24" s="2483">
        <v>27000</v>
      </c>
      <c r="N24" s="2483"/>
      <c r="O24" s="2483"/>
      <c r="P24" s="3465"/>
      <c r="Q24" s="1262"/>
      <c r="R24" s="667"/>
      <c r="S24" s="668"/>
      <c r="T24" s="667"/>
      <c r="U24" s="668"/>
      <c r="V24" s="667"/>
      <c r="W24" s="668"/>
      <c r="X24" s="1264"/>
      <c r="Y24" s="346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f>M24*M23/10000</f>
        <v>10252.17</v>
      </c>
      <c r="N25" s="2483"/>
      <c r="O25" s="2483"/>
      <c r="P25" s="3465"/>
      <c r="Q25" s="1262" t="str">
        <f>B25</f>
        <v>毗邻道路的类型与等级</v>
      </c>
      <c r="R25" s="667" t="s">
        <v>14</v>
      </c>
      <c r="S25" s="668">
        <f>F25</f>
        <v>100</v>
      </c>
      <c r="T25" s="667" t="s">
        <v>14</v>
      </c>
      <c r="U25" s="668">
        <f>H25</f>
        <v>100</v>
      </c>
      <c r="V25" s="667" t="s">
        <v>14</v>
      </c>
      <c r="W25" s="668">
        <f>J25</f>
        <v>100</v>
      </c>
      <c r="X25" s="1264"/>
      <c r="Y25" s="346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5"/>
      <c r="Q26" s="1262"/>
      <c r="R26" s="667"/>
      <c r="S26" s="668"/>
      <c r="T26" s="667"/>
      <c r="U26" s="668"/>
      <c r="V26" s="667"/>
      <c r="W26" s="668"/>
      <c r="X26" s="1264"/>
      <c r="Y26" s="346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5"/>
      <c r="Q27" s="1262" t="str">
        <f t="shared" ref="Q27:Q47" si="11">B27</f>
        <v>楼层</v>
      </c>
      <c r="R27" s="667" t="s">
        <v>14</v>
      </c>
      <c r="S27" s="668">
        <f>F27</f>
        <v>100</v>
      </c>
      <c r="T27" s="667" t="s">
        <v>14</v>
      </c>
      <c r="U27" s="668">
        <f>H27</f>
        <v>100</v>
      </c>
      <c r="V27" s="667" t="s">
        <v>14</v>
      </c>
      <c r="W27" s="668">
        <f>J27</f>
        <v>100</v>
      </c>
      <c r="X27" s="1264"/>
      <c r="Y27" s="346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5"/>
      <c r="Q28" s="530" t="str">
        <f t="shared" si="11"/>
        <v>朝向</v>
      </c>
      <c r="R28" s="664" t="s">
        <v>14</v>
      </c>
      <c r="S28" s="665">
        <f>F28</f>
        <v>100</v>
      </c>
      <c r="T28" s="664" t="s">
        <v>14</v>
      </c>
      <c r="U28" s="665">
        <f>H28</f>
        <v>100</v>
      </c>
      <c r="V28" s="664" t="s">
        <v>14</v>
      </c>
      <c r="W28" s="665">
        <f>J28</f>
        <v>100</v>
      </c>
      <c r="X28" s="666"/>
      <c r="Y28" s="346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5"/>
      <c r="Q29" s="1262">
        <f t="shared" si="11"/>
        <v>111</v>
      </c>
      <c r="R29" s="667" t="s">
        <v>14</v>
      </c>
      <c r="S29" s="668">
        <f t="shared" ref="S29:S47" si="12">F29</f>
        <v>100</v>
      </c>
      <c r="T29" s="667" t="s">
        <v>14</v>
      </c>
      <c r="U29" s="668">
        <f t="shared" ref="U29:U47" si="13">H29</f>
        <v>100</v>
      </c>
      <c r="V29" s="667" t="s">
        <v>14</v>
      </c>
      <c r="W29" s="668">
        <f t="shared" ref="W29:W47" si="14">J29</f>
        <v>100</v>
      </c>
      <c r="X29" s="1264"/>
      <c r="Y29" s="346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5"/>
      <c r="Q30" s="1262">
        <f t="shared" si="11"/>
        <v>111</v>
      </c>
      <c r="R30" s="667" t="s">
        <v>14</v>
      </c>
      <c r="S30" s="668">
        <f t="shared" si="12"/>
        <v>100</v>
      </c>
      <c r="T30" s="667" t="s">
        <v>14</v>
      </c>
      <c r="U30" s="668">
        <f t="shared" si="13"/>
        <v>100</v>
      </c>
      <c r="V30" s="667" t="s">
        <v>14</v>
      </c>
      <c r="W30" s="668">
        <f t="shared" si="14"/>
        <v>100</v>
      </c>
      <c r="X30" s="1264"/>
      <c r="Y30" s="346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5"/>
      <c r="Q31" s="1262">
        <f t="shared" si="11"/>
        <v>111</v>
      </c>
      <c r="R31" s="667" t="s">
        <v>14</v>
      </c>
      <c r="S31" s="668">
        <f t="shared" si="12"/>
        <v>100</v>
      </c>
      <c r="T31" s="667" t="s">
        <v>14</v>
      </c>
      <c r="U31" s="668">
        <f t="shared" si="13"/>
        <v>100</v>
      </c>
      <c r="V31" s="667" t="s">
        <v>14</v>
      </c>
      <c r="W31" s="668">
        <f t="shared" si="14"/>
        <v>100</v>
      </c>
      <c r="X31" s="1264"/>
      <c r="Y31" s="346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5"/>
      <c r="Q32" s="1262">
        <f t="shared" si="11"/>
        <v>111</v>
      </c>
      <c r="R32" s="667" t="s">
        <v>14</v>
      </c>
      <c r="S32" s="668">
        <f t="shared" si="12"/>
        <v>100</v>
      </c>
      <c r="T32" s="667" t="s">
        <v>14</v>
      </c>
      <c r="U32" s="668">
        <f t="shared" si="13"/>
        <v>100</v>
      </c>
      <c r="V32" s="667" t="s">
        <v>14</v>
      </c>
      <c r="W32" s="668">
        <f t="shared" si="14"/>
        <v>100</v>
      </c>
      <c r="X32" s="1264"/>
      <c r="Y32" s="3467"/>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2</v>
      </c>
      <c r="L33" s="2488"/>
      <c r="M33" s="2483"/>
      <c r="N33" s="2483"/>
      <c r="O33" s="2483"/>
      <c r="P33" s="3468" t="s">
        <v>1696</v>
      </c>
      <c r="Q33" s="1262" t="str">
        <f t="shared" si="11"/>
        <v>建筑类型</v>
      </c>
      <c r="R33" s="667" t="s">
        <v>14</v>
      </c>
      <c r="S33" s="668">
        <f t="shared" si="12"/>
        <v>100</v>
      </c>
      <c r="T33" s="667" t="s">
        <v>14</v>
      </c>
      <c r="U33" s="668">
        <f t="shared" si="13"/>
        <v>100</v>
      </c>
      <c r="V33" s="667" t="s">
        <v>14</v>
      </c>
      <c r="W33" s="668">
        <f t="shared" si="14"/>
        <v>100</v>
      </c>
      <c r="X33" s="1264"/>
      <c r="Y33" s="3471"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案例比较法!D3</f>
        <v>8992.56</v>
      </c>
      <c r="F34" s="364">
        <f>LOOKUP(E34,104:104,105:105)-LOOKUP(C34,104:104,105:105)+100</f>
        <v>101</v>
      </c>
      <c r="G34" s="368">
        <f>案例比较法!D4</f>
        <v>14808.47</v>
      </c>
      <c r="H34" s="119">
        <f>LOOKUP(G34,104:104,105:105)-LOOKUP(C34,104:104,105:105)+100</f>
        <v>100</v>
      </c>
      <c r="I34" s="368">
        <f>案例比较法!D5</f>
        <v>16877.5</v>
      </c>
      <c r="J34" s="119">
        <f>LOOKUP(I34,104:104,105:105)-LOOKUP(C34,104:104,105:105)+100</f>
        <v>100</v>
      </c>
      <c r="K34" s="539"/>
      <c r="L34" s="2487"/>
      <c r="M34" s="2489"/>
      <c r="N34" s="2489"/>
      <c r="O34" s="2489"/>
      <c r="P34" s="3469"/>
      <c r="Q34" s="531" t="str">
        <f t="shared" si="11"/>
        <v>项目建筑规模</v>
      </c>
      <c r="R34" s="669" t="s">
        <v>14</v>
      </c>
      <c r="S34" s="670">
        <f t="shared" si="12"/>
        <v>101</v>
      </c>
      <c r="T34" s="669" t="s">
        <v>14</v>
      </c>
      <c r="U34" s="670">
        <f t="shared" si="13"/>
        <v>100</v>
      </c>
      <c r="V34" s="669" t="s">
        <v>14</v>
      </c>
      <c r="W34" s="670">
        <f t="shared" si="14"/>
        <v>100</v>
      </c>
      <c r="X34" s="671"/>
      <c r="Y34" s="3471"/>
      <c r="Z34" s="672" t="str">
        <f t="shared" si="15"/>
        <v>项目建筑规模</v>
      </c>
      <c r="AA34" s="1263">
        <f t="shared" si="3"/>
        <v>0.99009900990099009</v>
      </c>
      <c r="AB34" s="1263">
        <f t="shared" si="4"/>
        <v>1</v>
      </c>
      <c r="AC34" s="1811">
        <f t="shared" si="5"/>
        <v>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69"/>
      <c r="Q35" s="1262" t="str">
        <f t="shared" si="11"/>
        <v>建筑结构</v>
      </c>
      <c r="R35" s="667" t="s">
        <v>14</v>
      </c>
      <c r="S35" s="668">
        <f t="shared" si="12"/>
        <v>100</v>
      </c>
      <c r="T35" s="667" t="s">
        <v>14</v>
      </c>
      <c r="U35" s="668">
        <f t="shared" si="13"/>
        <v>100</v>
      </c>
      <c r="V35" s="667" t="s">
        <v>14</v>
      </c>
      <c r="W35" s="668">
        <f t="shared" si="14"/>
        <v>100</v>
      </c>
      <c r="X35" s="1264"/>
      <c r="Y35" s="347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9"/>
      <c r="Q36" s="1262" t="str">
        <f t="shared" si="11"/>
        <v>公共部分装修</v>
      </c>
      <c r="R36" s="667" t="s">
        <v>14</v>
      </c>
      <c r="S36" s="668">
        <f t="shared" si="12"/>
        <v>100</v>
      </c>
      <c r="T36" s="667" t="s">
        <v>14</v>
      </c>
      <c r="U36" s="668">
        <f t="shared" si="13"/>
        <v>100</v>
      </c>
      <c r="V36" s="667" t="s">
        <v>14</v>
      </c>
      <c r="W36" s="668">
        <f t="shared" si="14"/>
        <v>100</v>
      </c>
      <c r="X36" s="1264"/>
      <c r="Y36" s="3471"/>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案例比较法!J3</f>
        <v>0.93</v>
      </c>
      <c r="F37" s="400">
        <f>LOOKUP(E37,111:111,112:112)-LOOKUP(C37,111:111,112:112)+100</f>
        <v>102</v>
      </c>
      <c r="G37" s="411">
        <f>案例比较法!J4</f>
        <v>0.93</v>
      </c>
      <c r="H37" s="400">
        <f>LOOKUP(G37,111:111,112:112)-LOOKUP(C37,111:111,112:112)+100</f>
        <v>102</v>
      </c>
      <c r="I37" s="411">
        <f>案例比较法!J5</f>
        <v>0.93</v>
      </c>
      <c r="J37" s="374">
        <f>LOOKUP(I37,111:111,112:112)-LOOKUP(C37,111:111,112:112)+100</f>
        <v>102</v>
      </c>
      <c r="K37" s="538">
        <v>1</v>
      </c>
      <c r="L37" s="2488"/>
      <c r="M37" s="2483"/>
      <c r="N37" s="2483"/>
      <c r="O37" s="2483"/>
      <c r="P37" s="3469"/>
      <c r="Q37" s="1262" t="str">
        <f t="shared" si="11"/>
        <v>成新度</v>
      </c>
      <c r="R37" s="667" t="s">
        <v>14</v>
      </c>
      <c r="S37" s="668">
        <f t="shared" si="12"/>
        <v>102</v>
      </c>
      <c r="T37" s="667" t="s">
        <v>14</v>
      </c>
      <c r="U37" s="668">
        <f t="shared" si="13"/>
        <v>102</v>
      </c>
      <c r="V37" s="667" t="s">
        <v>14</v>
      </c>
      <c r="W37" s="668">
        <f t="shared" si="14"/>
        <v>102</v>
      </c>
      <c r="X37" s="1264"/>
      <c r="Y37" s="3471"/>
      <c r="Z37" s="1263" t="str">
        <f t="shared" si="15"/>
        <v>成新度</v>
      </c>
      <c r="AA37" s="1263">
        <f t="shared" si="3"/>
        <v>0.98039215686274506</v>
      </c>
      <c r="AB37" s="1263">
        <f t="shared" si="4"/>
        <v>0.98039215686274506</v>
      </c>
      <c r="AC37" s="1811">
        <f t="shared" si="5"/>
        <v>0.98039215686274506</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69"/>
      <c r="Q38" s="530" t="str">
        <f t="shared" si="11"/>
        <v>写字楼等级</v>
      </c>
      <c r="R38" s="664" t="s">
        <v>14</v>
      </c>
      <c r="S38" s="665">
        <f t="shared" si="12"/>
        <v>100</v>
      </c>
      <c r="T38" s="664" t="s">
        <v>14</v>
      </c>
      <c r="U38" s="665">
        <f t="shared" si="13"/>
        <v>100</v>
      </c>
      <c r="V38" s="664" t="s">
        <v>14</v>
      </c>
      <c r="W38" s="665">
        <f t="shared" si="14"/>
        <v>100</v>
      </c>
      <c r="X38" s="666"/>
      <c r="Y38" s="3471"/>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69" t="s">
        <v>1696</v>
      </c>
      <c r="Q39" s="1262" t="str">
        <f t="shared" si="11"/>
        <v>物业管理</v>
      </c>
      <c r="R39" s="667" t="s">
        <v>14</v>
      </c>
      <c r="S39" s="668">
        <f t="shared" si="12"/>
        <v>100</v>
      </c>
      <c r="T39" s="667" t="s">
        <v>14</v>
      </c>
      <c r="U39" s="668">
        <f t="shared" si="13"/>
        <v>100</v>
      </c>
      <c r="V39" s="667" t="s">
        <v>14</v>
      </c>
      <c r="W39" s="668">
        <f t="shared" si="14"/>
        <v>100</v>
      </c>
      <c r="X39" s="1264"/>
      <c r="Y39" s="3471"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69"/>
      <c r="Q40" s="1262" t="str">
        <f t="shared" si="11"/>
        <v>市政基础设施</v>
      </c>
      <c r="R40" s="667" t="s">
        <v>14</v>
      </c>
      <c r="S40" s="668">
        <f t="shared" si="12"/>
        <v>100</v>
      </c>
      <c r="T40" s="667" t="s">
        <v>14</v>
      </c>
      <c r="U40" s="668">
        <f t="shared" si="13"/>
        <v>100</v>
      </c>
      <c r="V40" s="667" t="s">
        <v>14</v>
      </c>
      <c r="W40" s="668">
        <f t="shared" si="14"/>
        <v>100</v>
      </c>
      <c r="X40" s="1264"/>
      <c r="Y40" s="347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69"/>
      <c r="Q41" s="1262" t="str">
        <f t="shared" si="11"/>
        <v>层高</v>
      </c>
      <c r="R41" s="667" t="s">
        <v>14</v>
      </c>
      <c r="S41" s="668">
        <f t="shared" si="12"/>
        <v>100</v>
      </c>
      <c r="T41" s="667" t="s">
        <v>14</v>
      </c>
      <c r="U41" s="668">
        <f t="shared" si="13"/>
        <v>100</v>
      </c>
      <c r="V41" s="667" t="s">
        <v>14</v>
      </c>
      <c r="W41" s="668">
        <f t="shared" si="14"/>
        <v>100</v>
      </c>
      <c r="X41" s="1264"/>
      <c r="Y41" s="347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9"/>
      <c r="Q42" s="531" t="str">
        <f t="shared" si="11"/>
        <v>单套建筑面积</v>
      </c>
      <c r="R42" s="669" t="s">
        <v>14</v>
      </c>
      <c r="S42" s="670">
        <f t="shared" si="12"/>
        <v>100</v>
      </c>
      <c r="T42" s="669" t="s">
        <v>14</v>
      </c>
      <c r="U42" s="670">
        <f t="shared" si="13"/>
        <v>100</v>
      </c>
      <c r="V42" s="669" t="s">
        <v>14</v>
      </c>
      <c r="W42" s="670">
        <f t="shared" si="14"/>
        <v>100</v>
      </c>
      <c r="X42" s="671"/>
      <c r="Y42" s="3471"/>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3913</v>
      </c>
      <c r="H43" s="374">
        <f>SUMIF(123:123,G43,124:124)-SUMIF(123:123,C43,124:124)+100</f>
        <v>97</v>
      </c>
      <c r="I43" s="399" t="s">
        <v>3913</v>
      </c>
      <c r="J43" s="374">
        <f>SUMIF(123:123,I43,124:124)-SUMIF(123:123,C43,124:124)+100</f>
        <v>97</v>
      </c>
      <c r="K43" s="538">
        <v>1</v>
      </c>
      <c r="L43" s="2488"/>
      <c r="M43" s="2483"/>
      <c r="N43" s="2483"/>
      <c r="O43" s="2483"/>
      <c r="P43" s="3469"/>
      <c r="Q43" s="1262" t="str">
        <f t="shared" si="11"/>
        <v>内部装修</v>
      </c>
      <c r="R43" s="667" t="s">
        <v>14</v>
      </c>
      <c r="S43" s="668">
        <f t="shared" si="12"/>
        <v>97</v>
      </c>
      <c r="T43" s="667" t="s">
        <v>14</v>
      </c>
      <c r="U43" s="668">
        <f t="shared" si="13"/>
        <v>97</v>
      </c>
      <c r="V43" s="667" t="s">
        <v>14</v>
      </c>
      <c r="W43" s="668">
        <f t="shared" si="14"/>
        <v>97</v>
      </c>
      <c r="X43" s="1264"/>
      <c r="Y43" s="3471"/>
      <c r="Z43" s="1263" t="str">
        <f t="shared" si="15"/>
        <v>内部装修</v>
      </c>
      <c r="AA43" s="1263">
        <f t="shared" si="3"/>
        <v>1.0309278350515463</v>
      </c>
      <c r="AB43" s="1263">
        <f t="shared" si="4"/>
        <v>1.0309278350515463</v>
      </c>
      <c r="AC43" s="1811">
        <f t="shared" si="5"/>
        <v>1.0309278350515463</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69"/>
      <c r="Q44" s="1262" t="str">
        <f t="shared" si="11"/>
        <v>内部装修维护情况</v>
      </c>
      <c r="R44" s="667" t="s">
        <v>14</v>
      </c>
      <c r="S44" s="668">
        <f t="shared" si="12"/>
        <v>100</v>
      </c>
      <c r="T44" s="667" t="s">
        <v>14</v>
      </c>
      <c r="U44" s="668">
        <f t="shared" si="13"/>
        <v>100</v>
      </c>
      <c r="V44" s="667" t="s">
        <v>14</v>
      </c>
      <c r="W44" s="668">
        <f t="shared" si="14"/>
        <v>100</v>
      </c>
      <c r="X44" s="1264"/>
      <c r="Y44" s="3471"/>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71">
        <v>0</v>
      </c>
      <c r="F45" s="364">
        <f>SUMIF(127:127,E45,128:128)-SUMIF(127:127,C45,128:128)+100</f>
        <v>100</v>
      </c>
      <c r="G45" s="371">
        <f>比较法大宗案例!G3</f>
        <v>0</v>
      </c>
      <c r="H45" s="119">
        <f>SUMIF(127:127,G45,128:128)-SUMIF(127:127,C45,128:128)+100</f>
        <v>100</v>
      </c>
      <c r="I45" s="371">
        <v>0</v>
      </c>
      <c r="J45" s="119">
        <f>SUMIF(127:127,I45,128:128)-SUMIF(127:127,C45,128:128)+100</f>
        <v>100</v>
      </c>
      <c r="K45" s="539"/>
      <c r="L45" s="2484"/>
      <c r="M45" s="2436"/>
      <c r="N45" s="2436"/>
      <c r="O45" s="2436"/>
      <c r="P45" s="3469"/>
      <c r="Q45" s="530">
        <f t="shared" si="11"/>
        <v>111</v>
      </c>
      <c r="R45" s="664" t="s">
        <v>14</v>
      </c>
      <c r="S45" s="665">
        <f t="shared" si="12"/>
        <v>100</v>
      </c>
      <c r="T45" s="664" t="s">
        <v>14</v>
      </c>
      <c r="U45" s="665">
        <f t="shared" si="13"/>
        <v>100</v>
      </c>
      <c r="V45" s="664" t="s">
        <v>14</v>
      </c>
      <c r="W45" s="665">
        <f t="shared" si="14"/>
        <v>100</v>
      </c>
      <c r="X45" s="666"/>
      <c r="Y45" s="3471"/>
      <c r="Z45" s="50">
        <f t="shared" si="15"/>
        <v>111</v>
      </c>
      <c r="AA45" s="50">
        <f t="shared" si="3"/>
        <v>1</v>
      </c>
      <c r="AB45" s="50">
        <f t="shared" si="4"/>
        <v>1</v>
      </c>
      <c r="AC45" s="802">
        <f t="shared" si="5"/>
        <v>1</v>
      </c>
    </row>
    <row r="46" spans="1:29" ht="15">
      <c r="A46" s="409"/>
      <c r="B46" s="3222" t="s">
        <v>3951</v>
      </c>
      <c r="C46" s="3239" t="s">
        <v>3955</v>
      </c>
      <c r="D46" s="374">
        <v>100</v>
      </c>
      <c r="E46" s="371" t="s">
        <v>4018</v>
      </c>
      <c r="F46" s="400">
        <f>SUMIF(129:129,E46,130:130)-SUMIF(129:129,C46,130:130)+100</f>
        <v>115</v>
      </c>
      <c r="G46" s="371" t="s">
        <v>4018</v>
      </c>
      <c r="H46" s="374">
        <f>SUMIF(129:129,G46,130:130)-SUMIF(129:129,C46,130:130)+100</f>
        <v>115</v>
      </c>
      <c r="I46" s="371" t="s">
        <v>4018</v>
      </c>
      <c r="J46" s="374">
        <f>SUMIF(129:129,I46,130:130)-SUMIF(129:129,C46,130:130)+100</f>
        <v>115</v>
      </c>
      <c r="K46" s="539"/>
      <c r="L46" s="2488"/>
      <c r="M46" s="2483"/>
      <c r="N46" s="2483"/>
      <c r="O46" s="2483"/>
      <c r="P46" s="3469"/>
      <c r="Q46" s="1262" t="str">
        <f t="shared" si="11"/>
        <v>地下面积占比</v>
      </c>
      <c r="R46" s="667" t="s">
        <v>14</v>
      </c>
      <c r="S46" s="668">
        <f t="shared" si="12"/>
        <v>115</v>
      </c>
      <c r="T46" s="667" t="s">
        <v>14</v>
      </c>
      <c r="U46" s="668">
        <f t="shared" si="13"/>
        <v>115</v>
      </c>
      <c r="V46" s="667" t="s">
        <v>14</v>
      </c>
      <c r="W46" s="668">
        <f t="shared" si="14"/>
        <v>115</v>
      </c>
      <c r="X46" s="1264"/>
      <c r="Y46" s="3471"/>
      <c r="Z46" s="1263" t="str">
        <f t="shared" si="15"/>
        <v>地下面积占比</v>
      </c>
      <c r="AA46" s="1263">
        <f t="shared" si="3"/>
        <v>0.86956521739130432</v>
      </c>
      <c r="AB46" s="1263">
        <f t="shared" si="4"/>
        <v>0.86956521739130432</v>
      </c>
      <c r="AC46" s="1811">
        <f t="shared" si="5"/>
        <v>0.86956521739130432</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70"/>
      <c r="Q47" s="1262">
        <f t="shared" si="11"/>
        <v>111</v>
      </c>
      <c r="R47" s="667" t="s">
        <v>14</v>
      </c>
      <c r="S47" s="668">
        <f t="shared" si="12"/>
        <v>100</v>
      </c>
      <c r="T47" s="667" t="s">
        <v>14</v>
      </c>
      <c r="U47" s="668">
        <f t="shared" si="13"/>
        <v>100</v>
      </c>
      <c r="V47" s="667" t="s">
        <v>14</v>
      </c>
      <c r="W47" s="668">
        <f t="shared" si="14"/>
        <v>100</v>
      </c>
      <c r="X47" s="1264"/>
      <c r="Y47" s="3472"/>
      <c r="Z47" s="1263">
        <f t="shared" si="15"/>
        <v>111</v>
      </c>
      <c r="AA47" s="1263">
        <f t="shared" si="3"/>
        <v>1</v>
      </c>
      <c r="AB47" s="1263">
        <f t="shared" si="4"/>
        <v>1</v>
      </c>
      <c r="AC47" s="1811">
        <f t="shared" si="5"/>
        <v>1</v>
      </c>
    </row>
    <row r="48" spans="1:29" ht="14.4">
      <c r="A48" s="416" t="s">
        <v>1708</v>
      </c>
      <c r="B48" s="417"/>
      <c r="C48" s="1080" t="s">
        <v>0</v>
      </c>
      <c r="D48" s="418"/>
      <c r="E48" s="419">
        <f>案例比较法!E3</f>
        <v>36342</v>
      </c>
      <c r="F48" s="420"/>
      <c r="G48" s="421">
        <f>案例比较法!E4</f>
        <v>42400</v>
      </c>
      <c r="H48" s="422"/>
      <c r="I48" s="419">
        <f>案例比较法!E5</f>
        <v>46500</v>
      </c>
      <c r="J48" s="422"/>
      <c r="K48" s="674"/>
      <c r="L48" s="2490"/>
      <c r="M48" s="2483"/>
      <c r="N48" s="2483"/>
      <c r="O48" s="2483"/>
      <c r="P48" s="3463" t="str">
        <f>A48</f>
        <v>成交单价（元/平方米）</v>
      </c>
      <c r="Q48" s="3473"/>
      <c r="R48" s="3455">
        <f>E48</f>
        <v>36342</v>
      </c>
      <c r="S48" s="3455"/>
      <c r="T48" s="3455">
        <f>G48</f>
        <v>42400</v>
      </c>
      <c r="U48" s="3455"/>
      <c r="V48" s="3455">
        <f>I48</f>
        <v>46500</v>
      </c>
      <c r="W48" s="3455"/>
      <c r="X48" s="385"/>
      <c r="Y48" s="673"/>
      <c r="Z48" s="385"/>
      <c r="AA48" s="385"/>
      <c r="AB48" s="385"/>
      <c r="AC48" s="555"/>
    </row>
    <row r="49" spans="1:35" ht="15" thickBot="1">
      <c r="A49" s="423" t="s">
        <v>1709</v>
      </c>
      <c r="B49" s="424"/>
      <c r="C49" s="1081">
        <f>R50</f>
        <v>39807</v>
      </c>
      <c r="D49" s="2140" t="s">
        <v>2138</v>
      </c>
      <c r="E49" s="1082">
        <f>R49</f>
        <v>34409</v>
      </c>
      <c r="F49" s="2141"/>
      <c r="G49" s="1081">
        <f>T49</f>
        <v>40546</v>
      </c>
      <c r="H49" s="2141"/>
      <c r="I49" s="1082">
        <f>V49</f>
        <v>44467</v>
      </c>
      <c r="J49" s="2141"/>
      <c r="K49" s="2143">
        <f>F49+H49+J49</f>
        <v>0</v>
      </c>
      <c r="L49" s="2490"/>
      <c r="M49" s="2483"/>
      <c r="N49" s="2483"/>
      <c r="O49" s="2483"/>
      <c r="P49" s="3463" t="str">
        <f>A49</f>
        <v>比较价值（元/平方米）</v>
      </c>
      <c r="Q49" s="3473"/>
      <c r="R49" s="3455">
        <f>IF(F1="售价",ROUND(PRODUCT(R48,AA7:AA47),0),ROUND(PRODUCT(R48,AA7:AA47),1))</f>
        <v>34409</v>
      </c>
      <c r="S49" s="3455"/>
      <c r="T49" s="3455">
        <f>IF(F1="售价",ROUND(PRODUCT(T48,AB7:AB47),0),ROUND(PRODUCT(T48,AB7:AB47),1))</f>
        <v>40546</v>
      </c>
      <c r="U49" s="3455"/>
      <c r="V49" s="3455">
        <f>IF(F1="售价",ROUND(PRODUCT(V48,AC7:AC47),0),ROUND(PRODUCT(V48,AC7:AC47),1))</f>
        <v>44467</v>
      </c>
      <c r="W49" s="3455"/>
      <c r="X49" s="385"/>
      <c r="Y49" s="385"/>
      <c r="Z49" s="385"/>
      <c r="AA49" s="385"/>
      <c r="AB49" s="385"/>
      <c r="AC49" s="555"/>
    </row>
    <row r="50" spans="1:35" ht="15" thickBot="1">
      <c r="A50" s="427" t="s">
        <v>1710</v>
      </c>
      <c r="B50" s="428"/>
      <c r="C50" s="351">
        <f>R50</f>
        <v>39807</v>
      </c>
      <c r="D50" s="351"/>
      <c r="E50" s="351"/>
      <c r="F50" s="351"/>
      <c r="G50" s="351"/>
      <c r="H50" s="351"/>
      <c r="I50" s="351"/>
      <c r="J50" s="429"/>
      <c r="K50" s="675"/>
      <c r="L50" s="2490"/>
      <c r="M50" s="2483"/>
      <c r="N50" s="2483"/>
      <c r="O50" s="2483"/>
      <c r="P50" s="3474" t="str">
        <f>A50</f>
        <v>估价对象XX用房的比较价值（楼面单价，元/平方米）</v>
      </c>
      <c r="Q50" s="3475"/>
      <c r="R50" s="3476">
        <f>IF(F1="售价",ROUND(IF(D49="简单平均",AVERAGE(R49:V49),R49*F49+T49*H49+V49*J49),0),ROUND(IF(D49="简单平均",AVERAGE(R49:V49),R49*F49+T49*H49+V49*J49),1))</f>
        <v>39807</v>
      </c>
      <c r="S50" s="3476"/>
      <c r="T50" s="3476"/>
      <c r="U50" s="3476"/>
      <c r="V50" s="3476"/>
      <c r="W50" s="3476"/>
      <c r="X50" s="1797"/>
      <c r="Y50" s="1797"/>
      <c r="Z50" s="1797"/>
      <c r="AA50" s="1797"/>
      <c r="AB50" s="1797"/>
      <c r="AC50" s="1798"/>
    </row>
    <row r="51" spans="1:35">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5">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5" ht="13.5" customHeight="1">
      <c r="A53" s="2483"/>
      <c r="B53" s="2483"/>
      <c r="C53" s="432" t="s">
        <v>1711</v>
      </c>
      <c r="D53" s="433"/>
      <c r="E53" s="434">
        <f>IF(E48&lt;E49,E49/E48-1,E48/E49-1)</f>
        <v>5.6177162951553283E-2</v>
      </c>
      <c r="F53" s="435" t="str">
        <f>IF(OR(E53&gt;=0.3,E53&lt;=-0.3),"超过30%","")</f>
        <v/>
      </c>
      <c r="G53" s="434">
        <f>IF(G48&lt;G49,G49/G48-1,G48/G49-1)</f>
        <v>4.5725842253243165E-2</v>
      </c>
      <c r="H53" s="435" t="str">
        <f>IF(OR(G53&gt;=0.3,G53&lt;=-0.3),"超过30%","")</f>
        <v/>
      </c>
      <c r="I53" s="434">
        <f>IF(I48&lt;I49,I49/I48-1,I48/I49-1)</f>
        <v>4.5719297456540797E-2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5" ht="13.5" customHeight="1">
      <c r="A54" s="2483"/>
      <c r="B54" s="2483"/>
      <c r="C54" s="432" t="s">
        <v>1712</v>
      </c>
      <c r="D54" s="436"/>
      <c r="E54" s="434">
        <f>IF(E49&lt;G49,G49/E49-1,E49/G49-1)</f>
        <v>0.17835450027609046</v>
      </c>
      <c r="F54" s="435" t="str">
        <f>IF(OR(E54&gt;=0.2,E54&lt;=-0.2),"超过20%","")</f>
        <v/>
      </c>
      <c r="G54" s="434">
        <f>IF(G49&lt;I49,I49/G49-1,G49/I49-1)</f>
        <v>9.6704977063088782E-2</v>
      </c>
      <c r="H54" s="435" t="str">
        <f>IF(OR(G54&gt;=0.2,G54&lt;=-0.2),"超过20%","")</f>
        <v/>
      </c>
      <c r="I54" s="434">
        <f>IF(I49&lt;E49,E49/I49-1,I49/E49-1)</f>
        <v>0.29230724519747731</v>
      </c>
      <c r="J54" s="435" t="str">
        <f>IF(OR(I54&gt;=0.2,I54&lt;=-0.2),"超过20%","")</f>
        <v>超过20%</v>
      </c>
      <c r="K54" s="2495"/>
      <c r="L54" s="2491"/>
      <c r="M54" s="2483"/>
      <c r="N54" s="2483"/>
      <c r="O54" s="2483"/>
      <c r="P54" s="2520"/>
      <c r="Q54" s="2483"/>
      <c r="R54" s="2483"/>
      <c r="S54" s="2483"/>
      <c r="T54" s="2483"/>
      <c r="U54" s="2483"/>
      <c r="V54" s="2483"/>
      <c r="W54" s="2483"/>
      <c r="X54" s="2483"/>
      <c r="Y54" s="2483"/>
      <c r="Z54" s="2483"/>
      <c r="AA54" s="2483"/>
      <c r="AB54" s="2483"/>
      <c r="AC54" s="2483"/>
    </row>
    <row r="55" spans="1:35" s="437" customFormat="1" ht="13.5" customHeight="1">
      <c r="A55" s="2493"/>
      <c r="B55" s="2493"/>
      <c r="C55" s="432" t="s">
        <v>1713</v>
      </c>
      <c r="D55" s="436"/>
      <c r="E55" s="434">
        <f>IF(E48&lt;G48,G48/E48-1,E48/G48-1)</f>
        <v>0.16669418303890815</v>
      </c>
      <c r="F55" s="435" t="str">
        <f>IF(OR(E55&gt;=0.3,E55&lt;=-0.3),"超过30%","")</f>
        <v/>
      </c>
      <c r="G55" s="434">
        <f>IF(G48&lt;I48,I48/G48-1,G48/I48-1)</f>
        <v>9.6698113207547065E-2</v>
      </c>
      <c r="H55" s="435" t="str">
        <f>IF(OR(G55&gt;=0.3,G55&lt;=-0.3),"超过30%","")</f>
        <v/>
      </c>
      <c r="I55" s="434">
        <f>IF(I48&lt;E48,E48/I48-1,I48/E48-1)</f>
        <v>0.27951130922899114</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5"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5">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5" ht="22.2"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5" s="442" customFormat="1" ht="14.4">
      <c r="A59" s="440" t="s">
        <v>1679</v>
      </c>
      <c r="B59" s="441"/>
      <c r="C59" s="1102" t="str">
        <f>YEAR(C7)&amp;"-"&amp;MONTH(C7)</f>
        <v>2025-3</v>
      </c>
      <c r="D59" s="1103">
        <f>EDATE(C59,-1)</f>
        <v>45689</v>
      </c>
      <c r="E59" s="1103">
        <f>EDATE(D59,-1)</f>
        <v>45658</v>
      </c>
      <c r="F59" s="1103">
        <f t="shared" ref="F59:AI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29">
        <f t="shared" si="16"/>
        <v>45323</v>
      </c>
      <c r="Q59" s="3229">
        <f t="shared" si="16"/>
        <v>45292</v>
      </c>
      <c r="R59" s="3229">
        <f t="shared" si="16"/>
        <v>45261</v>
      </c>
      <c r="S59" s="3229">
        <f t="shared" si="16"/>
        <v>45231</v>
      </c>
      <c r="T59" s="3229">
        <f t="shared" si="16"/>
        <v>45200</v>
      </c>
      <c r="U59" s="3229">
        <f t="shared" si="16"/>
        <v>45170</v>
      </c>
      <c r="V59" s="3229">
        <f t="shared" si="16"/>
        <v>45139</v>
      </c>
      <c r="W59" s="3229">
        <f t="shared" si="16"/>
        <v>45108</v>
      </c>
      <c r="X59" s="3229">
        <f t="shared" si="16"/>
        <v>45078</v>
      </c>
      <c r="Y59" s="3229">
        <f t="shared" si="16"/>
        <v>45047</v>
      </c>
      <c r="Z59" s="3229">
        <f t="shared" si="16"/>
        <v>45017</v>
      </c>
      <c r="AA59" s="3229">
        <f t="shared" si="16"/>
        <v>44986</v>
      </c>
      <c r="AB59" s="3229">
        <f t="shared" si="16"/>
        <v>44958</v>
      </c>
      <c r="AC59" s="3229">
        <f t="shared" si="16"/>
        <v>44927</v>
      </c>
      <c r="AD59" s="3229">
        <f t="shared" si="16"/>
        <v>44896</v>
      </c>
      <c r="AE59" s="3229">
        <f t="shared" si="16"/>
        <v>44866</v>
      </c>
      <c r="AF59" s="3229">
        <f t="shared" si="16"/>
        <v>44835</v>
      </c>
      <c r="AG59" s="3229">
        <f t="shared" si="16"/>
        <v>44805</v>
      </c>
      <c r="AH59" s="3229">
        <f t="shared" si="16"/>
        <v>44774</v>
      </c>
      <c r="AI59" s="3229">
        <f t="shared" si="16"/>
        <v>44743</v>
      </c>
    </row>
    <row r="60" spans="1:35"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c r="AI60" s="102">
        <v>100</v>
      </c>
    </row>
    <row r="61" spans="1:35"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5" s="102" customFormat="1" ht="14.4">
      <c r="A62" s="455" t="s">
        <v>1681</v>
      </c>
      <c r="B62" s="444"/>
      <c r="C62" s="456" t="s">
        <v>1718</v>
      </c>
      <c r="D62" s="32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5"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5"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4024</v>
      </c>
      <c r="D66" s="513" t="s">
        <v>4025</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D67-2</f>
        <v>92</v>
      </c>
      <c r="D67" s="467">
        <f t="shared" ref="D67:E67" si="17">E67-2</f>
        <v>94</v>
      </c>
      <c r="E67" s="467">
        <f t="shared" si="17"/>
        <v>96</v>
      </c>
      <c r="F67" s="467">
        <f>G67-2</f>
        <v>98</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95</v>
      </c>
      <c r="E78" s="475">
        <f>D78-$K15</f>
        <v>90</v>
      </c>
      <c r="F78" s="475">
        <f>E78-$K15</f>
        <v>85</v>
      </c>
      <c r="G78" s="475">
        <f>F78-$K15</f>
        <v>80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225" t="s">
        <v>3946</v>
      </c>
      <c r="D101" s="3225" t="s">
        <v>4033</v>
      </c>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28.2" thickTop="1">
      <c r="A103" s="367"/>
      <c r="B103" s="469" t="s">
        <v>1737</v>
      </c>
      <c r="C103" s="509" t="str">
        <f>C104&amp;"(含)"&amp;"-"&amp;D104</f>
        <v>0(含)-5000</v>
      </c>
      <c r="D103" s="509" t="str">
        <f t="shared" ref="D103:L103" si="24">D104&amp;"(含)"&amp;"-"&amp;E104</f>
        <v>5000(含)-10000</v>
      </c>
      <c r="E103" s="509" t="str">
        <f t="shared" si="24"/>
        <v>10000(含)-20000</v>
      </c>
      <c r="F103" s="509" t="str">
        <f t="shared" si="24"/>
        <v>20000(含)-30000</v>
      </c>
      <c r="G103" s="509" t="str">
        <f t="shared" si="24"/>
        <v>30000(含)-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5000</v>
      </c>
      <c r="E104" s="6">
        <v>10000</v>
      </c>
      <c r="F104" s="6">
        <v>20000</v>
      </c>
      <c r="G104" s="6">
        <v>30000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1"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1" t="s">
        <v>3940</v>
      </c>
      <c r="D108" s="3221" t="s">
        <v>3942</v>
      </c>
      <c r="E108" s="3221" t="s">
        <v>3944</v>
      </c>
      <c r="F108" s="3224"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1" t="s">
        <v>3958</v>
      </c>
      <c r="D113" s="3221" t="s">
        <v>3959</v>
      </c>
      <c r="E113" s="3221" t="s">
        <v>3960</v>
      </c>
      <c r="F113" s="3221"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1" t="s">
        <v>3963</v>
      </c>
      <c r="D115" s="3221" t="s">
        <v>3964</v>
      </c>
      <c r="E115" s="3224"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1" t="s">
        <v>3966</v>
      </c>
      <c r="D117" s="3221" t="s">
        <v>3967</v>
      </c>
      <c r="E117" s="3221"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4"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1" t="s">
        <v>3940</v>
      </c>
      <c r="D123" s="3221" t="s">
        <v>3942</v>
      </c>
      <c r="E123" s="3221" t="s">
        <v>3944</v>
      </c>
      <c r="F123" s="3224"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4018</v>
      </c>
      <c r="D129" s="3238" t="s">
        <v>4019</v>
      </c>
      <c r="E129" s="485" t="s">
        <v>3956</v>
      </c>
      <c r="F129" s="485" t="s">
        <v>3955</v>
      </c>
      <c r="G129" s="513" t="s">
        <v>4020</v>
      </c>
      <c r="H129" s="513" t="s">
        <v>4021</v>
      </c>
      <c r="I129" s="513" t="s">
        <v>4022</v>
      </c>
      <c r="J129" s="513" t="s">
        <v>4023</v>
      </c>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C130-5</f>
        <v>95</v>
      </c>
      <c r="E130" s="491">
        <f t="shared" ref="E130:J130" si="33">D130-5</f>
        <v>90</v>
      </c>
      <c r="F130" s="491">
        <f t="shared" si="33"/>
        <v>85</v>
      </c>
      <c r="G130" s="491">
        <f t="shared" si="33"/>
        <v>80</v>
      </c>
      <c r="H130" s="491">
        <f t="shared" si="33"/>
        <v>75</v>
      </c>
      <c r="I130" s="491">
        <f t="shared" si="33"/>
        <v>70</v>
      </c>
      <c r="J130" s="491">
        <f t="shared" si="33"/>
        <v>65</v>
      </c>
      <c r="K130" s="491"/>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3">
    <cfRule type="expression" dxfId="161" priority="14" stopIfTrue="1">
      <formula>$F$53="超过30%"</formula>
    </cfRule>
  </conditionalFormatting>
  <conditionalFormatting sqref="E54">
    <cfRule type="expression" dxfId="160" priority="13" stopIfTrue="1">
      <formula>$F$54="超过20%"</formula>
    </cfRule>
  </conditionalFormatting>
  <conditionalFormatting sqref="E55">
    <cfRule type="expression" dxfId="159" priority="12"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5" stopIfTrue="1" operator="containsText" text="超过">
      <formula>NOT(ISERROR(SEARCH("超过",F53)))</formula>
    </cfRule>
  </conditionalFormatting>
  <conditionalFormatting sqref="G53">
    <cfRule type="expression" dxfId="155" priority="10" stopIfTrue="1">
      <formula>$H$53="超过30%"</formula>
    </cfRule>
  </conditionalFormatting>
  <conditionalFormatting sqref="G54">
    <cfRule type="expression" dxfId="154" priority="9" stopIfTrue="1">
      <formula>$H$54="超过20%"</formula>
    </cfRule>
  </conditionalFormatting>
  <conditionalFormatting sqref="G55">
    <cfRule type="expression" dxfId="153" priority="11"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I20 G20 C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D1" xr:uid="{00000000-0002-0000-1200-000005000000}">
      <formula1>项目类型</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22 E22 G22 I22" xr:uid="{00000000-0002-0000-1200-000013000000}">
      <formula1>基础设施水平</formula1>
    </dataValidation>
    <dataValidation type="list" allowBlank="1" showInputMessage="1" showErrorMessage="1" sqref="F1" xr:uid="{00000000-0002-0000-1200-000014000000}">
      <formula1>"售价,租金"</formula1>
    </dataValidation>
    <dataValidation type="list" allowBlank="1" showInputMessage="1" showErrorMessage="1" sqref="C2" xr:uid="{00000000-0002-0000-1200-000015000000}">
      <formula1>"需扣减承租人权益,——"</formula1>
    </dataValidation>
    <dataValidation type="list" allowBlank="1" showInputMessage="1" showErrorMessage="1" sqref="F2" xr:uid="{00000000-0002-0000-1200-000016000000}">
      <formula1>估价方法</formula1>
    </dataValidation>
    <dataValidation type="list" allowBlank="1" showInputMessage="1" showErrorMessage="1" sqref="D49" xr:uid="{00000000-0002-0000-1200-000017000000}">
      <formula1>"简单平均,加权平均"</formula1>
    </dataValidation>
    <dataValidation type="list" allowBlank="1" showInputMessage="1" showErrorMessage="1" sqref="E1" xr:uid="{00000000-0002-0000-12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43" t="str">
        <f>项目基本情况!B1</f>
        <v>北京市东城区朝阳门北大街8号房地产抵押价值预评估</v>
      </c>
      <c r="C37" s="3243"/>
      <c r="D37" s="3243"/>
      <c r="E37" s="3243"/>
      <c r="F37" s="3243"/>
      <c r="G37" s="3243"/>
      <c r="H37" s="3243"/>
      <c r="I37" s="3243"/>
    </row>
    <row r="38" spans="1:9">
      <c r="A38" s="794"/>
      <c r="B38" s="794"/>
    </row>
    <row r="39" spans="1:9">
      <c r="A39" s="792" t="s">
        <v>371</v>
      </c>
      <c r="B39" s="792" t="s">
        <v>373</v>
      </c>
    </row>
    <row r="40" spans="1:9">
      <c r="A40" s="792"/>
      <c r="B40" s="1377" t="str">
        <f>项目基本情况!B5</f>
        <v>北京农商银行总行东城支行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21</v>
      </c>
      <c r="C1" s="190"/>
      <c r="D1" s="190"/>
      <c r="E1" s="190"/>
      <c r="F1" s="190"/>
      <c r="G1" s="1062">
        <f>MATCH(B1,'数据-取费表'!A6:A16,0)+5</f>
        <v>6</v>
      </c>
    </row>
    <row r="2" spans="1:9" s="192" customFormat="1" ht="18" customHeight="1">
      <c r="A2" s="193" t="s">
        <v>1462</v>
      </c>
      <c r="B2" s="194">
        <f ca="1">IF(D2="——",C52,C52-E2)</f>
        <v>36202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30168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21188</v>
      </c>
      <c r="D5" s="203" t="s">
        <v>1469</v>
      </c>
      <c r="E5" s="204" t="s">
        <v>1470</v>
      </c>
      <c r="F5" s="204" t="s">
        <v>1471</v>
      </c>
      <c r="G5" s="205"/>
    </row>
    <row r="6" spans="1:9" s="206" customFormat="1" ht="13.5" customHeight="1">
      <c r="A6" s="732" t="s">
        <v>1472</v>
      </c>
      <c r="B6" s="207" t="s">
        <v>1473</v>
      </c>
      <c r="C6" s="208">
        <f>基准地价修正!B2</f>
        <v>20328</v>
      </c>
      <c r="D6" s="209"/>
      <c r="E6" s="210"/>
      <c r="F6" s="210"/>
      <c r="G6" s="211"/>
    </row>
    <row r="7" spans="1:9" s="206" customFormat="1" ht="13.5" customHeight="1">
      <c r="A7" s="732" t="s">
        <v>1474</v>
      </c>
      <c r="B7" s="207" t="s">
        <v>1475</v>
      </c>
      <c r="C7" s="212">
        <f>ROUND(C6*F7,0)</f>
        <v>620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240</v>
      </c>
      <c r="D8" s="214"/>
      <c r="E8" s="212"/>
      <c r="F8" s="213"/>
      <c r="G8" s="1713" t="s">
        <v>3466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3157">
        <f ca="1">C10</f>
        <v>240</v>
      </c>
      <c r="I9" s="1715" t="s">
        <v>1479</v>
      </c>
    </row>
    <row r="10" spans="1:9" s="206" customFormat="1" ht="13.5" customHeight="1">
      <c r="A10" s="733" t="s">
        <v>356</v>
      </c>
      <c r="B10" s="216" t="s">
        <v>1480</v>
      </c>
      <c r="C10" s="217">
        <f ca="1">ROUND(D10*E10/10000,0)</f>
        <v>240</v>
      </c>
      <c r="D10" s="795">
        <f ca="1">IF(B1="",'数据-汇总表'!E6,IF(INDIRECT("'数据-取费表'!c"&amp;$G$1)="住宅",INDIRECT("'数据-取费表'!s"&amp;$G$1),INDIRECT("'数据-取费表'!k"&amp;$G$1)+INDIRECT("'数据-取费表'!s"&amp;$G$1)))</f>
        <v>12000.23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12000.23</v>
      </c>
      <c r="E19" s="203">
        <f>'数据-取费表'!B31</f>
        <v>200</v>
      </c>
      <c r="F19" s="223"/>
      <c r="G19" s="1713" t="s">
        <v>3467</v>
      </c>
    </row>
    <row r="20" spans="1:7" s="206" customFormat="1" ht="13.5" customHeight="1">
      <c r="A20" s="247" t="s">
        <v>1493</v>
      </c>
      <c r="B20" s="202" t="s">
        <v>1494</v>
      </c>
      <c r="C20" s="224">
        <f ca="1">ROUND((C5+C19)*F20,0)</f>
        <v>424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1696</v>
      </c>
      <c r="D22" s="227">
        <f ca="1">C26</f>
        <v>8.0000000000000004E-4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1680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16</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4322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4322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29971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6403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5760</v>
      </c>
      <c r="D34" s="209"/>
      <c r="E34" s="212"/>
      <c r="F34" s="249">
        <f ca="1">IF('数据-取费表'!B24=0,1,IF(B1="",'数据-取费表'!N16,INDIRECT("'数据-取费表'!n"&amp;$G$1)))</f>
        <v>1</v>
      </c>
      <c r="G34" s="211" t="s">
        <v>1526</v>
      </c>
    </row>
    <row r="35" spans="1:7" ht="13.5" customHeight="1">
      <c r="A35" s="734" t="s">
        <v>351</v>
      </c>
      <c r="B35" s="207" t="s">
        <v>1527</v>
      </c>
      <c r="C35" s="212">
        <f ca="1">ROUND(C34*F35,0)</f>
        <v>288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240</v>
      </c>
      <c r="D37" s="209">
        <f ca="1">D19</f>
        <v>12000.23</v>
      </c>
      <c r="E37" s="241">
        <f>'数据-取费表'!B35</f>
        <v>200</v>
      </c>
      <c r="F37" s="251"/>
      <c r="G37" s="253" t="s">
        <v>1532</v>
      </c>
    </row>
    <row r="38" spans="1:7" ht="13.5" customHeight="1">
      <c r="A38" s="734" t="s">
        <v>354</v>
      </c>
      <c r="B38" s="207" t="s">
        <v>1533</v>
      </c>
      <c r="C38" s="212">
        <f ca="1">ROUND(C34*F38,0)</f>
        <v>115</v>
      </c>
      <c r="D38" s="212"/>
      <c r="E38" s="212"/>
      <c r="F38" s="251">
        <f>'数据-取费表'!B36</f>
        <v>0.02</v>
      </c>
      <c r="G38" s="211" t="s">
        <v>1528</v>
      </c>
    </row>
    <row r="39" spans="1:7" s="206" customFormat="1" ht="13.5" customHeight="1">
      <c r="A39" s="247" t="s">
        <v>1534</v>
      </c>
      <c r="B39" s="202" t="s">
        <v>1535</v>
      </c>
      <c r="C39" s="224">
        <f ca="1">ROUND(C33*F20,0)</f>
        <v>128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249</v>
      </c>
      <c r="D42" s="230"/>
      <c r="E42" s="230"/>
      <c r="F42" s="231"/>
      <c r="G42" s="3477" t="s">
        <v>1544</v>
      </c>
    </row>
    <row r="43" spans="1:7" ht="13.5" customHeight="1">
      <c r="A43" s="734" t="s">
        <v>347</v>
      </c>
      <c r="B43" s="207" t="s">
        <v>1545</v>
      </c>
      <c r="C43" s="230">
        <f ca="1">ROUND(IF('数据-取费表'!B22&lt;=1,C39*F22*'数据-取费表'!B21/2,C39*(POWER((1+F22),'数据-取费表'!B21/2)-1)),0)</f>
        <v>5</v>
      </c>
      <c r="D43" s="230"/>
      <c r="E43" s="230"/>
      <c r="F43" s="231"/>
      <c r="G43" s="3478"/>
    </row>
    <row r="44" spans="1:7" ht="13.5" customHeight="1">
      <c r="A44" s="734" t="s">
        <v>348</v>
      </c>
      <c r="B44" s="207" t="s">
        <v>1546</v>
      </c>
      <c r="C44" s="230">
        <f ca="1">ROUND(IF('数据-取费表'!B22&lt;=1,C40*F22*'数据-取费表'!B21/2,C40*(POWER((1+F22),'数据-取费表'!B21/2)-1)),4)</f>
        <v>8.0000000000000004E-4</v>
      </c>
      <c r="D44" s="230"/>
      <c r="E44" s="230"/>
      <c r="F44" s="231"/>
      <c r="G44" s="3479"/>
    </row>
    <row r="45" spans="1:7" s="206" customFormat="1" ht="13.5" customHeight="1">
      <c r="A45" s="247" t="s">
        <v>1547</v>
      </c>
      <c r="B45" s="236" t="s">
        <v>1513</v>
      </c>
      <c r="C45" s="237">
        <f ca="1">C46</f>
        <v>1306</v>
      </c>
      <c r="D45" s="227">
        <f ca="1">C47</f>
        <v>4.0000000000000001E-3</v>
      </c>
      <c r="E45" s="228" t="s">
        <v>1539</v>
      </c>
      <c r="F45" s="238">
        <f ca="1">F27</f>
        <v>0.2</v>
      </c>
      <c r="G45" s="239" t="s">
        <v>1548</v>
      </c>
    </row>
    <row r="46" spans="1:7" s="206" customFormat="1" ht="13.5" customHeight="1">
      <c r="A46" s="734" t="s">
        <v>346</v>
      </c>
      <c r="B46" s="240" t="s">
        <v>1549</v>
      </c>
      <c r="C46" s="241">
        <f ca="1">ROUND((C33+C39)*F27,0)</f>
        <v>1306</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8776</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6231</v>
      </c>
      <c r="D51" s="224"/>
      <c r="E51" s="224"/>
      <c r="F51" s="256"/>
      <c r="G51" s="226" t="s">
        <v>1560</v>
      </c>
    </row>
    <row r="52" spans="1:7" s="200" customFormat="1" ht="16.8" thickBot="1">
      <c r="A52" s="257" t="s">
        <v>1561</v>
      </c>
      <c r="B52" s="258"/>
      <c r="C52" s="259">
        <f ca="1">C31+C51</f>
        <v>36202</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28" zoomScaleNormal="80" zoomScaleSheetLayoutView="100" workbookViewId="0">
      <selection activeCell="D43" sqref="D4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12000.23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20328</v>
      </c>
      <c r="C2" s="1845" t="s">
        <v>1935</v>
      </c>
      <c r="D2" s="162" t="s">
        <v>1936</v>
      </c>
      <c r="E2" s="3116"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Ⅱ—16</v>
      </c>
      <c r="J2" s="1841"/>
      <c r="K2" s="1056"/>
      <c r="L2" s="1846" t="s">
        <v>1939</v>
      </c>
      <c r="M2" s="811">
        <f>SUMPRODUCT((区片价!B10:B29=I2)*(区片价!C3:G3=E2)*(区片价!C10:G29))</f>
        <v>29640</v>
      </c>
      <c r="N2" s="813">
        <f>SUMPRODUCT((因素修正幅度!B10:B29=I2)*(因素修正幅度!C3:G3=E2)*(因素修正幅度!C10:G29))</f>
        <v>9.6000000000000002E-2</v>
      </c>
      <c r="O2" s="1056"/>
      <c r="P2" s="1056"/>
      <c r="Q2" s="1056"/>
      <c r="R2" s="1128">
        <v>1</v>
      </c>
      <c r="S2" s="3059">
        <f>ROUND(SUMPRODUCT((B106:B110=R2)*(C105:N105=G2)*(C106:N110)),4)</f>
        <v>1.5206</v>
      </c>
      <c r="T2" s="3059">
        <f t="shared" ref="T2:T16" si="0">ROUND($C$5*$C$22*$C$23*$C$24*S2*$C$28,0)</f>
        <v>33000</v>
      </c>
      <c r="U2" s="1129"/>
      <c r="V2" s="3059">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16940</v>
      </c>
      <c r="C3" s="1845" t="s">
        <v>1941</v>
      </c>
      <c r="D3" s="162" t="s">
        <v>1942</v>
      </c>
      <c r="E3" s="3114" t="s">
        <v>3443</v>
      </c>
      <c r="F3" s="1847" t="s">
        <v>3444</v>
      </c>
      <c r="G3" s="708">
        <f>IF(F3="宗地容积率",'数据-汇总表'!I4,IF(F3="估价对象容积率",'数据-汇总表'!I6,'数据-汇总表'!I7))</f>
        <v>9.17</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26199</v>
      </c>
      <c r="U3" s="1129"/>
      <c r="V3" s="3059">
        <f t="shared" ref="V3:V16" si="1">ROUND(T3*U3/10000,0)</f>
        <v>0</v>
      </c>
      <c r="W3" s="1132"/>
      <c r="X3" s="1132"/>
      <c r="Y3" s="1132"/>
      <c r="Z3" s="1132"/>
      <c r="AA3" s="1132"/>
      <c r="AB3" s="1132"/>
      <c r="AC3" s="1133"/>
      <c r="AD3" s="1134"/>
      <c r="AE3" s="1134"/>
      <c r="AF3" s="1134"/>
      <c r="AG3" s="1134"/>
      <c r="AH3" s="1134"/>
      <c r="AI3" s="1134"/>
      <c r="AJ3" s="1135"/>
    </row>
    <row r="4" spans="1:36" ht="15.6">
      <c r="A4" s="3487"/>
      <c r="B4" s="3488"/>
      <c r="C4" s="3488"/>
      <c r="D4" s="3489"/>
      <c r="E4" s="3489"/>
      <c r="F4" s="3489"/>
      <c r="G4" s="3489"/>
      <c r="H4" s="3489"/>
      <c r="I4" s="3489"/>
      <c r="J4" s="3490"/>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22637</v>
      </c>
      <c r="U4" s="1129"/>
      <c r="V4" s="3059">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30202</v>
      </c>
      <c r="D5" s="1251">
        <f>ROUND(C6*C17+C20,0)</f>
        <v>29609</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20484</v>
      </c>
      <c r="U5" s="1129"/>
      <c r="V5" s="3059">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29640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19523</v>
      </c>
      <c r="U6" s="1129"/>
      <c r="V6" s="3059">
        <f t="shared" si="1"/>
        <v>0</v>
      </c>
      <c r="W6" s="1132"/>
      <c r="X6" s="1132"/>
      <c r="Y6" s="1132"/>
      <c r="Z6" s="1132"/>
      <c r="AA6" s="1132"/>
      <c r="AB6" s="1132"/>
      <c r="AC6" s="1854"/>
      <c r="AD6" s="1855"/>
      <c r="AE6" s="1855"/>
      <c r="AF6" s="1855"/>
      <c r="AG6" s="1855"/>
      <c r="AH6" s="1855"/>
      <c r="AI6" s="1855"/>
      <c r="AJ6" s="1856"/>
    </row>
    <row r="7" spans="1:36" ht="24.6" thickBot="1">
      <c r="A7" s="3008" t="s">
        <v>3235</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1955</v>
      </c>
      <c r="X7" s="1130" t="str">
        <f>G2</f>
        <v>二级</v>
      </c>
      <c r="Y7" s="1130" t="s">
        <v>1956</v>
      </c>
      <c r="Z7" s="1131">
        <f>G3</f>
        <v>9.17</v>
      </c>
      <c r="AA7" s="1132"/>
      <c r="AB7" s="1132"/>
      <c r="AC7" s="1133"/>
      <c r="AD7" s="1134"/>
      <c r="AE7" s="1134"/>
      <c r="AF7" s="1134"/>
      <c r="AG7" s="1134"/>
      <c r="AH7" s="1134"/>
      <c r="AI7" s="1134"/>
      <c r="AJ7" s="1135"/>
    </row>
    <row r="8" spans="1:36" ht="26.4">
      <c r="A8" s="3005"/>
      <c r="B8" s="162" t="s">
        <v>1957</v>
      </c>
      <c r="C8" s="1869" t="s">
        <v>3456</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484" t="s">
        <v>1960</v>
      </c>
      <c r="X8" s="348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486"/>
      <c r="X9" s="3060" t="s">
        <v>3266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48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8" thickBot="1">
      <c r="A12" s="3008" t="s">
        <v>3236</v>
      </c>
      <c r="B12" s="3009" t="s">
        <v>3237</v>
      </c>
      <c r="C12" s="3010">
        <v>1.02</v>
      </c>
      <c r="D12" s="3011" t="s">
        <v>3238</v>
      </c>
      <c r="E12" s="3012" t="s">
        <v>3239</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24.6" thickBot="1">
      <c r="A13" s="3008" t="s">
        <v>3240</v>
      </c>
      <c r="B13" s="1877" t="s">
        <v>1982</v>
      </c>
      <c r="C13" s="711">
        <f>ROUND(C16*D16*E16*F16*G16*H16*I16*J16,4)</f>
        <v>0</v>
      </c>
      <c r="D13" s="1878" t="s">
        <v>1983</v>
      </c>
      <c r="E13" s="1879"/>
      <c r="F13" s="1879"/>
      <c r="G13" s="1880"/>
      <c r="H13" s="1880"/>
      <c r="I13" s="1880"/>
      <c r="J13" s="1881"/>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3241</v>
      </c>
      <c r="G14" s="3016" t="s">
        <v>3241</v>
      </c>
      <c r="H14" s="3016" t="s">
        <v>3241</v>
      </c>
      <c r="I14" s="3016" t="s">
        <v>3241</v>
      </c>
      <c r="J14" s="3016" t="s">
        <v>3241</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3242</v>
      </c>
      <c r="G15" s="1927"/>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ht="24">
      <c r="A17" s="3031" t="s">
        <v>3243</v>
      </c>
      <c r="B17" s="3023" t="s">
        <v>3244</v>
      </c>
      <c r="C17" s="3032">
        <f>ROUND(IF(OR(E2="工业",E2="公共服务"),1,IF(AND(E18=0,E19=0),1,IF(AND(E18=J24,E19=G19),0.8,IF(E19=0,1+E17*(-0.2),1+E17*G17*(-0.2))))),4)</f>
        <v>1</v>
      </c>
      <c r="D17" s="3024" t="s">
        <v>3245</v>
      </c>
      <c r="E17" s="3032">
        <f>ROUND(G18/I18,2)</f>
        <v>0</v>
      </c>
      <c r="F17" s="3024" t="s">
        <v>3248</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3246</v>
      </c>
      <c r="E18" s="2353"/>
      <c r="F18" s="3026" t="s">
        <v>3249</v>
      </c>
      <c r="G18" s="3030">
        <f>ROUND(1-(1/(POWER(1+G24,E18))),4)</f>
        <v>0</v>
      </c>
      <c r="H18" s="3026" t="s">
        <v>3251</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3247</v>
      </c>
      <c r="E19" s="3039"/>
      <c r="F19" s="3040" t="s">
        <v>3250</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491" t="s">
        <v>3252</v>
      </c>
      <c r="B20" s="159" t="s">
        <v>1994</v>
      </c>
      <c r="C20" s="3027">
        <f>ROUND(IF(F21="与级别开发程度一致",0,(G21-E21)/C21),0)</f>
        <v>-31</v>
      </c>
      <c r="D20" s="3042" t="s">
        <v>1998</v>
      </c>
      <c r="E20" s="3043"/>
      <c r="F20" s="3497" t="s">
        <v>1995</v>
      </c>
      <c r="G20" s="3498"/>
      <c r="H20" s="3028" t="s">
        <v>3448</v>
      </c>
      <c r="I20" s="3028" t="s">
        <v>3449</v>
      </c>
      <c r="J20" s="3029" t="s">
        <v>3450</v>
      </c>
      <c r="K20" s="1888" t="s">
        <v>3451</v>
      </c>
      <c r="L20" s="1888" t="s">
        <v>3452</v>
      </c>
      <c r="M20" s="1888" t="s">
        <v>3453</v>
      </c>
      <c r="N20" s="1888"/>
      <c r="O20" s="1889"/>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492"/>
      <c r="B21" s="2001" t="s">
        <v>1997</v>
      </c>
      <c r="C21" s="2002">
        <f>IF(E3="M4科研用地",SUMPRODUCT((修正!A2:A7=E3)*(修正!B1:M1=G2)*(修正!B2:M7)),SUMPRODUCT((修正!A2:A7=E2)*(修正!B1:M1=G2)*(修正!B2:M7)))</f>
        <v>3.5</v>
      </c>
      <c r="D21" s="179" t="str">
        <f>IF(OR(G2="八级",G2="九级",G2="十级",G2="十一级",G2="十二级"),"五通一平","七通一平")</f>
        <v>七通一平</v>
      </c>
      <c r="E21" s="1992">
        <f>SUMPRODUCT((修正!B1:M1=G2)*(修正!B17:M17))</f>
        <v>375</v>
      </c>
      <c r="F21" s="1993" t="s">
        <v>3447</v>
      </c>
      <c r="G21" s="1994">
        <f>SUM(H21:O21)</f>
        <v>265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0</v>
      </c>
      <c r="O21" s="2004">
        <f>SUMPRODUCT((七通一平=O20)*(修正!B1:M1=G2)*(修正!B8:M16))</f>
        <v>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5" t="s">
        <v>2002</v>
      </c>
      <c r="E23" s="717">
        <v>44197</v>
      </c>
      <c r="F23" s="1895" t="s">
        <v>2003</v>
      </c>
      <c r="G23" s="718">
        <f>'数据-取费表'!B2</f>
        <v>45722</v>
      </c>
      <c r="H23" s="3044" t="s">
        <v>3254</v>
      </c>
      <c r="I23" s="3045" t="str">
        <f>IF(H23="季度增幅（自定义）",SUMIF(N25:N28,E2,O25:O28),"")</f>
        <v/>
      </c>
      <c r="J23" s="3137" t="s">
        <v>3253</v>
      </c>
      <c r="K23" s="1061"/>
      <c r="L23" s="1896" t="s">
        <v>2004</v>
      </c>
      <c r="M23" s="1240">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0.68289999999999995</v>
      </c>
      <c r="D24" s="1901" t="s">
        <v>2007</v>
      </c>
      <c r="E24" s="1247">
        <f>存贷款利率!E27/100</f>
        <v>4.3499999999999997E-2</v>
      </c>
      <c r="F24" s="1901" t="s">
        <v>1999</v>
      </c>
      <c r="G24" s="724">
        <f>SUMIF(M30:Q30,E2,M33:Q33)</f>
        <v>5.5E-2</v>
      </c>
      <c r="H24" s="1901" t="s">
        <v>2008</v>
      </c>
      <c r="I24" s="725">
        <f>SUMIF('数据-取费表'!C6:C15,E2,'数据-取费表'!F6:F15)/COUNTIF('数据-取费表'!C6:C15,E2)</f>
        <v>18.87</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3333</v>
      </c>
      <c r="C25" s="461">
        <f>IF(B25="容积率修正",IF(G3&lt;10,D26,J26),C27)</f>
        <v>0.89119999999999999</v>
      </c>
      <c r="D25" s="1908"/>
      <c r="E25" s="1908"/>
      <c r="F25" s="1908"/>
      <c r="G25" s="1908"/>
      <c r="H25" s="1908"/>
      <c r="I25" s="1908"/>
      <c r="J25" s="1909"/>
      <c r="K25" s="1061"/>
      <c r="L25" s="2548"/>
      <c r="M25" s="2548"/>
      <c r="N25" s="1910" t="s">
        <v>2013</v>
      </c>
      <c r="O25" s="1092"/>
      <c r="P25" s="1093">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3255</v>
      </c>
      <c r="D26" s="1262">
        <f>IF(E26=G26,F26,IF(G3&lt;10,ROUND(F26+(H26-F26)*(G3-E26)/(G26-E26),4),"——"))</f>
        <v>0.89119999999999999</v>
      </c>
      <c r="E26" s="708">
        <f>ROUNDDOWN(G3,1)</f>
        <v>9.1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0.8921</v>
      </c>
      <c r="G26" s="708">
        <f>ROUNDUP(G3,1)</f>
        <v>9.1999999999999993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0.89080000000000004</v>
      </c>
      <c r="I26" s="1911" t="s">
        <v>3256</v>
      </c>
      <c r="J26" s="374" t="str">
        <f>IF(G3&gt;=10,D115,"——")</f>
        <v>——</v>
      </c>
      <c r="K26" s="1061"/>
      <c r="L26" s="2548"/>
      <c r="M26" s="2548"/>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1.0519000000000001</v>
      </c>
      <c r="D28" s="1893"/>
      <c r="E28" s="1918"/>
      <c r="F28" s="1918"/>
      <c r="G28" s="1918"/>
      <c r="H28" s="1918"/>
      <c r="I28" s="1918"/>
      <c r="J28" s="1919"/>
      <c r="K28" s="1061"/>
      <c r="L28" s="2548"/>
      <c r="M28" s="2548"/>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20328</v>
      </c>
      <c r="D30" s="1924"/>
      <c r="E30" s="1841"/>
      <c r="F30" s="1925"/>
      <c r="G30" s="1841"/>
      <c r="H30" s="1841"/>
      <c r="I30" s="1841"/>
      <c r="J30" s="1926"/>
      <c r="K30" s="1056"/>
      <c r="L30" s="3051" t="s">
        <v>1936</v>
      </c>
      <c r="M30" s="3052" t="s">
        <v>1990</v>
      </c>
      <c r="N30" s="3052" t="s">
        <v>1991</v>
      </c>
      <c r="O30" s="3052" t="s">
        <v>1992</v>
      </c>
      <c r="P30" s="3052" t="s">
        <v>1993</v>
      </c>
      <c r="Q30" s="3055"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355</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19341</v>
      </c>
      <c r="D33" s="1939">
        <f>信息!C15</f>
        <v>9775.8700000000008</v>
      </c>
      <c r="E33" s="727">
        <f>ROUND(C33*D33/10000,0)</f>
        <v>18908</v>
      </c>
      <c r="F33" s="3046" t="s">
        <v>3258</v>
      </c>
      <c r="G33" s="1940"/>
      <c r="H33" s="1940"/>
      <c r="I33" s="1940"/>
      <c r="J33" s="1941"/>
      <c r="K33" s="1056"/>
      <c r="L33" s="3049" t="s">
        <v>3261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4835</v>
      </c>
      <c r="D34" s="1944"/>
      <c r="E34" s="727">
        <f>ROUND(IF(B25="楼层修正",SUM(V2:V16)*M40,C34*D34/10000),0)</f>
        <v>0</v>
      </c>
      <c r="F34" s="1945" t="s">
        <v>2032</v>
      </c>
      <c r="G34" s="1946"/>
      <c r="H34" s="1946"/>
      <c r="I34" s="1946"/>
      <c r="J34" s="1947"/>
      <c r="K34" s="1056"/>
      <c r="L34" s="3049" t="s">
        <v>3262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3259</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3263</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95"/>
      <c r="B37" s="1954" t="s">
        <v>2036</v>
      </c>
      <c r="C37" s="167">
        <f>ROUND(D5*C22*C23*C24*C28*F37,0)</f>
        <v>14893</v>
      </c>
      <c r="D37" s="1939"/>
      <c r="E37" s="163">
        <f>ROUND(C37*D37/10000,0)</f>
        <v>0</v>
      </c>
      <c r="F37" s="163">
        <f>SUMIF(修正!A57:A68,G2,修正!B57:B68)</f>
        <v>0.7</v>
      </c>
      <c r="G37" s="163">
        <f>ROUND(IF(E2="工业",C37*$M$42,C37*$M$41),0)</f>
        <v>3723</v>
      </c>
      <c r="H37" s="163">
        <f>D37</f>
        <v>0</v>
      </c>
      <c r="I37" s="163">
        <f>ROUND(G37*H37/10000,0)</f>
        <v>0</v>
      </c>
      <c r="J37" s="2750"/>
      <c r="K37" s="3057" t="s">
        <v>3264</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96"/>
      <c r="B38" s="1883" t="s">
        <v>2037</v>
      </c>
      <c r="C38" s="167">
        <f>ROUND(D5*C22*C23*C24*C28*F38,0)</f>
        <v>8510</v>
      </c>
      <c r="D38" s="1939"/>
      <c r="E38" s="163">
        <f t="shared" ref="E38:E42" si="4">ROUND(C38*D38/10000,0)</f>
        <v>0</v>
      </c>
      <c r="F38" s="163">
        <f>SUMIF(修正!A57:A68,G2,修正!C57:C68)</f>
        <v>0.4</v>
      </c>
      <c r="G38" s="163">
        <f>ROUND(IF(E2="工业",C38*$M$42,C38*$M$41),0)</f>
        <v>2128</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96"/>
      <c r="B39" s="1883" t="s">
        <v>3257</v>
      </c>
      <c r="C39" s="167">
        <f>ROUND(D5*C22*C23*C24*C28*F39,0)</f>
        <v>6383</v>
      </c>
      <c r="D39" s="1939"/>
      <c r="E39" s="163">
        <f t="shared" si="4"/>
        <v>0</v>
      </c>
      <c r="F39" s="163">
        <f>SUMIF(修正!A57:A68,G2,修正!D57:D68)</f>
        <v>0.3</v>
      </c>
      <c r="G39" s="163">
        <f>ROUND(IF(E2="工业",C39*$M$42,C39*$M$41),0)</f>
        <v>1596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6383</v>
      </c>
      <c r="D40" s="1939">
        <f>'数据-汇总表'!G19</f>
        <v>2224.3599999999997</v>
      </c>
      <c r="E40" s="163">
        <f t="shared" si="4"/>
        <v>1420</v>
      </c>
      <c r="F40" s="167">
        <f>SUMIF(修正!A57:A68,G2,修正!E57:E68)</f>
        <v>0.3</v>
      </c>
      <c r="G40" s="163">
        <f>ROUND(IF(E2="工业",C40*$M$42,C40*$M$41),0)</f>
        <v>1596</v>
      </c>
      <c r="H40" s="163">
        <f t="shared" si="5"/>
        <v>2224.3599999999997</v>
      </c>
      <c r="I40" s="163">
        <f t="shared" si="6"/>
        <v>355</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6383</v>
      </c>
      <c r="D41" s="1939"/>
      <c r="E41" s="163">
        <f t="shared" si="4"/>
        <v>0</v>
      </c>
      <c r="F41" s="167">
        <f>SUMIF(修正!A57:A68,G2,修正!F57:F68)</f>
        <v>0.3</v>
      </c>
      <c r="G41" s="163">
        <f>ROUND(IF(E2="工业",C41*$M$42,C41*$M$41),0)</f>
        <v>1596</v>
      </c>
      <c r="H41" s="163">
        <f t="shared" si="5"/>
        <v>0</v>
      </c>
      <c r="I41" s="163">
        <f t="shared" si="6"/>
        <v>0</v>
      </c>
      <c r="J41" s="939"/>
      <c r="L41" s="3058" t="s">
        <v>3265</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4255</v>
      </c>
      <c r="D42" s="1944"/>
      <c r="E42" s="179">
        <f t="shared" si="4"/>
        <v>0</v>
      </c>
      <c r="F42" s="723">
        <f>SUMIF(修正!A57:A68,G2,修正!G57:G68)</f>
        <v>0.2</v>
      </c>
      <c r="G42" s="179">
        <f>ROUND(IF(E2="工业",C42*$M$42,C42*$M$41),0)</f>
        <v>1064</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0.68289999999999995</v>
      </c>
      <c r="D44" s="163" t="s">
        <v>1999</v>
      </c>
      <c r="E44" s="1990">
        <f>G24</f>
        <v>5.5E-2</v>
      </c>
      <c r="F44" s="163" t="s">
        <v>2008</v>
      </c>
      <c r="G44" s="175">
        <f>项目基本情况!E15</f>
        <v>18.87</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92.4">
      <c r="A51" s="1969" t="s">
        <v>2053</v>
      </c>
      <c r="B51" s="1261" t="str">
        <f>估价对象房地状况!C18</f>
        <v>估价对象临城市快速路——东二环，公交：44、75、142、200，距地铁2号线、3号线东四十条站约352米，项目内部有停车位，停车便捷程度较好，综合评价交通便捷度较好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3267</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39.6">
      <c r="A56" s="1975" t="s">
        <v>2059</v>
      </c>
      <c r="B56" s="1239" t="str">
        <f>估价对象房地状况!C21</f>
        <v>估价对象所在区域公共配套设施齐备情况：商场（东环广场、</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132.6" thickBot="1">
      <c r="A58" s="1976" t="s">
        <v>2061</v>
      </c>
      <c r="B58" s="1977"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1.0519000000000001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9.2">
      <c r="A61" s="1969" t="s">
        <v>2064</v>
      </c>
      <c r="B61" s="1972" t="str">
        <f>估价对象房地状况!C17</f>
        <v>估价对象位于东二环至东三环，周边有首创大厦、鸿晟国际中心、美惠大厦、港澳中心、五矿大厦等办公楼项目较多，入驻率高，办公集聚程度较好</v>
      </c>
      <c r="C61" s="1886" t="s">
        <v>3454</v>
      </c>
      <c r="D61" s="1002">
        <f t="shared" ref="D61:D69" si="12">SUMIF($J$60:$N$60,C61,J61:N61)</f>
        <v>1.2E-2</v>
      </c>
      <c r="E61" s="702">
        <f>ROUND(SUM(D61:D69),4)</f>
        <v>5.1900000000000002E-2</v>
      </c>
      <c r="F61" s="1674">
        <f>IF(E2="办公",SUMIF(L1:L12,G2,N1:N12),"——")</f>
        <v>9.6000000000000002E-2</v>
      </c>
      <c r="G61" s="1000">
        <v>1.2E-2</v>
      </c>
      <c r="H61" s="1003">
        <f t="shared" ref="H61:H69" si="13">IFERROR(ROUNDDOWN($F$61*I61/2,4),"——")</f>
        <v>1.2E-2</v>
      </c>
      <c r="I61" s="3064">
        <v>0.25</v>
      </c>
      <c r="J61" s="1001">
        <f t="shared" ref="J61:J69" si="14">K61+$G61</f>
        <v>2.4E-2</v>
      </c>
      <c r="K61" s="1001">
        <f t="shared" ref="K61:K69" si="15">$L61+$G61</f>
        <v>1.2E-2</v>
      </c>
      <c r="L61" s="1001">
        <v>0</v>
      </c>
      <c r="M61" s="1001">
        <f t="shared" ref="M61:N69" si="16">L61-$G61</f>
        <v>-1.2E-2</v>
      </c>
      <c r="N61" s="1001">
        <f t="shared" si="16"/>
        <v>-2.4E-2</v>
      </c>
      <c r="AA61" s="1057"/>
      <c r="AB61" s="1057"/>
      <c r="AC61" s="1057"/>
      <c r="AD61" s="1057"/>
      <c r="AE61" s="1057"/>
      <c r="AF61" s="1057"/>
      <c r="AG61" s="1057"/>
      <c r="AH61" s="1057"/>
      <c r="AI61" s="1057"/>
      <c r="AJ61" s="1057"/>
      <c r="AK61" s="1057"/>
    </row>
    <row r="62" spans="1:37" s="1056" customFormat="1" ht="92.4">
      <c r="A62" s="1969" t="s">
        <v>2053</v>
      </c>
      <c r="B62" s="1261" t="str">
        <f>估价对象房地状况!C18</f>
        <v>估价对象临城市快速路——东二环，公交：44、75、142、200，距地铁2号线、3号线东四十条站约352米，项目内部有停车位，停车便捷程度较好，综合评价交通便捷度较好</v>
      </c>
      <c r="C62" s="1886" t="s">
        <v>3454</v>
      </c>
      <c r="D62" s="1002">
        <f t="shared" si="12"/>
        <v>1.24E-2</v>
      </c>
      <c r="E62" s="703"/>
      <c r="F62" s="1674"/>
      <c r="G62" s="1000">
        <v>1.24E-2</v>
      </c>
      <c r="H62" s="1003">
        <f t="shared" si="13"/>
        <v>1.24E-2</v>
      </c>
      <c r="I62" s="3064">
        <v>0.26</v>
      </c>
      <c r="J62" s="1001">
        <f t="shared" si="14"/>
        <v>2.4799999999999999E-2</v>
      </c>
      <c r="K62" s="1001">
        <f t="shared" si="15"/>
        <v>1.24E-2</v>
      </c>
      <c r="L62" s="1001">
        <v>0</v>
      </c>
      <c r="M62" s="1001">
        <f t="shared" si="16"/>
        <v>-1.24E-2</v>
      </c>
      <c r="N62" s="1001">
        <f t="shared" si="16"/>
        <v>-2.4799999999999999E-2</v>
      </c>
      <c r="AA62" s="1057"/>
      <c r="AB62" s="1057"/>
      <c r="AC62" s="1057"/>
      <c r="AD62" s="1057"/>
      <c r="AE62" s="1057"/>
      <c r="AF62" s="1057"/>
      <c r="AG62" s="1057"/>
      <c r="AH62" s="1057"/>
      <c r="AI62" s="1057"/>
      <c r="AJ62" s="1057"/>
      <c r="AK62" s="1057"/>
    </row>
    <row r="63" spans="1:37" s="1056" customFormat="1" ht="48">
      <c r="A63" s="3066" t="s">
        <v>3267</v>
      </c>
      <c r="B63" s="1261">
        <f>估价对象房地状况!C19</f>
        <v>0</v>
      </c>
      <c r="C63" s="1886" t="s">
        <v>3454</v>
      </c>
      <c r="D63" s="1002">
        <f t="shared" si="12"/>
        <v>5.1999999999999998E-3</v>
      </c>
      <c r="E63" s="703"/>
      <c r="F63" s="1674"/>
      <c r="G63" s="1000">
        <v>5.1999999999999998E-3</v>
      </c>
      <c r="H63" s="1003">
        <f t="shared" si="13"/>
        <v>5.1999999999999998E-3</v>
      </c>
      <c r="I63" s="3064">
        <v>0.11</v>
      </c>
      <c r="J63" s="1001">
        <f t="shared" si="14"/>
        <v>1.04E-2</v>
      </c>
      <c r="K63" s="1001">
        <f t="shared" si="15"/>
        <v>5.1999999999999998E-3</v>
      </c>
      <c r="L63" s="1001">
        <v>0</v>
      </c>
      <c r="M63" s="1001">
        <f t="shared" si="16"/>
        <v>-5.1999999999999998E-3</v>
      </c>
      <c r="N63" s="1001">
        <f t="shared" si="16"/>
        <v>-1.04E-2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3454</v>
      </c>
      <c r="D64" s="1002">
        <f t="shared" si="12"/>
        <v>2.3999999999999998E-3</v>
      </c>
      <c r="E64" s="703"/>
      <c r="F64" s="1674"/>
      <c r="G64" s="1000">
        <v>2.3999999999999998E-3</v>
      </c>
      <c r="H64" s="1003">
        <f t="shared" si="13"/>
        <v>2.3999999999999998E-3</v>
      </c>
      <c r="I64" s="3064">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3454</v>
      </c>
      <c r="D65" s="1002">
        <f t="shared" si="12"/>
        <v>2.3999999999999998E-3</v>
      </c>
      <c r="E65" s="703"/>
      <c r="F65" s="1674"/>
      <c r="G65" s="1000">
        <v>2.3999999999999998E-3</v>
      </c>
      <c r="H65" s="1003">
        <f t="shared" si="13"/>
        <v>2.3999999999999998E-3</v>
      </c>
      <c r="I65" s="3064">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69" t="s">
        <v>2057</v>
      </c>
      <c r="B66" s="1974" t="s">
        <v>2058</v>
      </c>
      <c r="C66" s="1886" t="s">
        <v>3454</v>
      </c>
      <c r="D66" s="1002">
        <f t="shared" si="12"/>
        <v>2.8E-3</v>
      </c>
      <c r="E66" s="703"/>
      <c r="F66" s="1674"/>
      <c r="G66" s="1000">
        <v>2.8E-3</v>
      </c>
      <c r="H66" s="1003">
        <f t="shared" si="13"/>
        <v>2.8E-3</v>
      </c>
      <c r="I66" s="3064">
        <v>0.06</v>
      </c>
      <c r="J66" s="1001">
        <f t="shared" si="14"/>
        <v>5.5999999999999999E-3</v>
      </c>
      <c r="K66" s="1001">
        <f t="shared" si="15"/>
        <v>2.8E-3</v>
      </c>
      <c r="L66" s="1001">
        <v>0</v>
      </c>
      <c r="M66" s="1001">
        <f t="shared" si="16"/>
        <v>-2.8E-3</v>
      </c>
      <c r="N66" s="1001">
        <f t="shared" si="16"/>
        <v>-5.5999999999999999E-3</v>
      </c>
      <c r="AA66" s="1057"/>
      <c r="AB66" s="1057"/>
      <c r="AC66" s="1057"/>
      <c r="AD66" s="1057"/>
      <c r="AE66" s="1057"/>
      <c r="AF66" s="1057"/>
      <c r="AG66" s="1057"/>
      <c r="AH66" s="1057"/>
      <c r="AI66" s="1057"/>
      <c r="AJ66" s="1057"/>
      <c r="AK66" s="1057"/>
    </row>
    <row r="67" spans="1:37" s="1056" customFormat="1" ht="39.6">
      <c r="A67" s="1969" t="s">
        <v>2059</v>
      </c>
      <c r="B67" s="1239" t="str">
        <f>估价对象房地状况!C21</f>
        <v>估价对象所在区域公共配套设施齐备情况：商场（东环广场、</v>
      </c>
      <c r="C67" s="1886" t="s">
        <v>3454</v>
      </c>
      <c r="D67" s="1002">
        <f t="shared" si="12"/>
        <v>2.8E-3</v>
      </c>
      <c r="E67" s="703"/>
      <c r="F67" s="1674"/>
      <c r="G67" s="1000">
        <v>2.8E-3</v>
      </c>
      <c r="H67" s="1003">
        <f t="shared" si="13"/>
        <v>2.8E-3</v>
      </c>
      <c r="I67" s="3064">
        <v>0.06</v>
      </c>
      <c r="J67" s="1001">
        <f t="shared" si="14"/>
        <v>5.5999999999999999E-3</v>
      </c>
      <c r="K67" s="1001">
        <f t="shared" si="15"/>
        <v>2.8E-3</v>
      </c>
      <c r="L67" s="1001">
        <v>0</v>
      </c>
      <c r="M67" s="1001">
        <f t="shared" si="16"/>
        <v>-2.8E-3</v>
      </c>
      <c r="N67" s="1001">
        <f t="shared" si="16"/>
        <v>-5.5999999999999999E-3</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1886" t="s">
        <v>3455</v>
      </c>
      <c r="D68" s="1002">
        <f t="shared" si="12"/>
        <v>8.6E-3</v>
      </c>
      <c r="E68" s="703"/>
      <c r="F68" s="1674"/>
      <c r="G68" s="1000">
        <v>4.3E-3</v>
      </c>
      <c r="H68" s="1003">
        <f t="shared" si="13"/>
        <v>4.3E-3</v>
      </c>
      <c r="I68" s="3064">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132.6" thickBot="1">
      <c r="A69" s="1976" t="s">
        <v>2061</v>
      </c>
      <c r="B69" s="1978"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69" s="1886" t="s">
        <v>3454</v>
      </c>
      <c r="D69" s="1002">
        <f t="shared" si="12"/>
        <v>3.3E-3</v>
      </c>
      <c r="E69" s="704"/>
      <c r="F69" s="1674"/>
      <c r="G69" s="1000">
        <v>3.3E-3</v>
      </c>
      <c r="H69" s="1003">
        <f t="shared" si="13"/>
        <v>3.3E-3</v>
      </c>
      <c r="I69" s="3065">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92.4">
      <c r="A73" s="1969" t="s">
        <v>2053</v>
      </c>
      <c r="B73" s="1261" t="str">
        <f>估价对象房地状况!C18</f>
        <v>估价对象临城市快速路——东二环，公交：44、75、142、200，距地铁2号线、3号线东四十条站约352米，项目内部有停车位，停车便捷程度较好，综合评价交通便捷度较好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3267</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39.6">
      <c r="A76" s="1969" t="s">
        <v>2059</v>
      </c>
      <c r="B76" s="1239" t="str">
        <f>估价对象房地状况!C21</f>
        <v>估价对象所在区域公共配套设施齐备情况：商场（东环广场、</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132">
      <c r="A79" s="1969" t="s">
        <v>2061</v>
      </c>
      <c r="B79" s="1972"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3268</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2610</v>
      </c>
      <c r="B91" s="3075">
        <f>1+E93</f>
        <v>1</v>
      </c>
      <c r="C91" s="3068"/>
      <c r="D91" s="3069"/>
      <c r="E91" s="1674"/>
      <c r="F91" s="1674"/>
      <c r="G91" s="3070"/>
      <c r="H91" s="3071"/>
      <c r="I91" s="3072"/>
      <c r="J91" s="3073"/>
      <c r="K91" s="3073"/>
      <c r="L91" s="3073"/>
      <c r="M91" s="3073"/>
      <c r="N91" s="3073"/>
    </row>
    <row r="92" spans="1:37" ht="25.2">
      <c r="A92" s="3076" t="s">
        <v>3269</v>
      </c>
      <c r="B92" s="2306"/>
      <c r="C92" s="2306" t="s">
        <v>3278</v>
      </c>
      <c r="D92" s="2306" t="s">
        <v>3279</v>
      </c>
      <c r="E92" s="3048" t="s">
        <v>3280</v>
      </c>
      <c r="F92" s="3078" t="s">
        <v>3281</v>
      </c>
      <c r="G92" s="2306" t="s">
        <v>3282</v>
      </c>
      <c r="H92" s="3085" t="s">
        <v>3285</v>
      </c>
      <c r="I92" s="2306" t="s">
        <v>3286</v>
      </c>
      <c r="J92" s="2149" t="s">
        <v>3287</v>
      </c>
      <c r="K92" s="2149" t="s">
        <v>3288</v>
      </c>
      <c r="L92" s="2149" t="s">
        <v>3289</v>
      </c>
      <c r="M92" s="2149" t="s">
        <v>3290</v>
      </c>
      <c r="N92" s="2149" t="s">
        <v>3291</v>
      </c>
    </row>
    <row r="93" spans="1:37" ht="24">
      <c r="A93" s="3066" t="s">
        <v>3270</v>
      </c>
      <c r="B93" s="1220"/>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92.4">
      <c r="A94" s="3076" t="s">
        <v>3271</v>
      </c>
      <c r="B94" s="3067" t="str">
        <f>估价对象房地状况!C18</f>
        <v>估价对象临城市快速路——东二环，公交：44、75、142、200，距地铁2号线、3号线东四十条站约352米，项目内部有停车位，停车便捷程度较好，综合评价交通便捷度较好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3267</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3272</v>
      </c>
      <c r="B96" s="3082" t="s">
        <v>3283</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3273</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3274</v>
      </c>
      <c r="B98" s="3083" t="s">
        <v>3284</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39.6">
      <c r="A99" s="3076" t="s">
        <v>3275</v>
      </c>
      <c r="B99" s="3067" t="str">
        <f>估价对象房地状况!C21</f>
        <v>估价对象所在区域公共配套设施齐备情况：商场（东环广场、</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3276</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132.6" thickBot="1">
      <c r="A101" s="3077" t="s">
        <v>3277</v>
      </c>
      <c r="B101" s="3084"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93" t="s">
        <v>3292</v>
      </c>
      <c r="B103" s="3493"/>
      <c r="C103" s="3493"/>
      <c r="D103" s="3493"/>
      <c r="E103" s="3493"/>
      <c r="F103" s="3493"/>
      <c r="G103" s="3493"/>
      <c r="H103" s="3493"/>
      <c r="I103" s="3493"/>
      <c r="J103" s="3493"/>
      <c r="K103" s="1666"/>
      <c r="L103" s="1666"/>
      <c r="M103" s="1666"/>
      <c r="N103" s="1666"/>
    </row>
    <row r="104" spans="1:14">
      <c r="A104" s="3494" t="s">
        <v>3293</v>
      </c>
      <c r="B104" s="3494" t="s">
        <v>3294</v>
      </c>
      <c r="C104" s="3086" t="s">
        <v>3295</v>
      </c>
      <c r="D104" s="3087"/>
      <c r="E104" s="3087"/>
      <c r="F104" s="3087"/>
      <c r="G104" s="3087"/>
      <c r="H104" s="3087"/>
      <c r="I104" s="3087"/>
      <c r="J104" s="3088"/>
      <c r="K104" s="3089"/>
      <c r="L104" s="3089"/>
      <c r="M104" s="3089"/>
      <c r="N104" s="3089"/>
    </row>
    <row r="105" spans="1:14">
      <c r="A105" s="3494"/>
      <c r="B105" s="3494"/>
      <c r="C105" s="3090" t="s">
        <v>3296</v>
      </c>
      <c r="D105" s="3090" t="s">
        <v>3297</v>
      </c>
      <c r="E105" s="3090" t="s">
        <v>3298</v>
      </c>
      <c r="F105" s="3090" t="s">
        <v>3299</v>
      </c>
      <c r="G105" s="3090" t="s">
        <v>3300</v>
      </c>
      <c r="H105" s="3090" t="s">
        <v>3301</v>
      </c>
      <c r="I105" s="3090" t="s">
        <v>3302</v>
      </c>
      <c r="J105" s="3090" t="s">
        <v>3303</v>
      </c>
      <c r="K105" s="3090" t="s">
        <v>3304</v>
      </c>
      <c r="L105" s="3090" t="s">
        <v>3305</v>
      </c>
      <c r="M105" s="3090" t="s">
        <v>3306</v>
      </c>
      <c r="N105" s="3090" t="s">
        <v>3307</v>
      </c>
    </row>
    <row r="106" spans="1:14">
      <c r="A106" s="3480" t="s">
        <v>3308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8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8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8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8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81"/>
      <c r="B111" s="3090" t="s">
        <v>3266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8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83" t="s">
        <v>3309</v>
      </c>
      <c r="B113" s="3483"/>
      <c r="C113" s="3483"/>
      <c r="D113" s="3483"/>
      <c r="E113" s="3483"/>
      <c r="F113" s="3483"/>
      <c r="G113" s="3483"/>
      <c r="H113" s="3483"/>
      <c r="I113" s="3483"/>
      <c r="J113" s="3483"/>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3310</v>
      </c>
      <c r="B116" s="3110">
        <f>G3</f>
        <v>9.17</v>
      </c>
      <c r="C116" s="3095" t="s">
        <v>3311</v>
      </c>
      <c r="D116" s="3096">
        <f>SUMPRODUCT((A118:A122=F116)*(B117:M117=H116)*B118:M122)</f>
        <v>0.89029999999999998</v>
      </c>
      <c r="E116" s="162" t="s">
        <v>3312</v>
      </c>
      <c r="F116" s="3097" t="str">
        <f>E2</f>
        <v>办公</v>
      </c>
      <c r="G116" s="162" t="s">
        <v>3313</v>
      </c>
      <c r="H116" s="3097" t="str">
        <f>G2</f>
        <v>二级</v>
      </c>
      <c r="I116" s="162"/>
      <c r="J116" s="3098"/>
      <c r="K116" s="3098"/>
      <c r="L116" s="3098"/>
      <c r="M116" s="3098"/>
      <c r="N116" s="3093"/>
    </row>
    <row r="117" spans="1:14">
      <c r="A117" s="3099"/>
      <c r="B117" s="3100" t="s">
        <v>3314</v>
      </c>
      <c r="C117" s="3100" t="s">
        <v>3315</v>
      </c>
      <c r="D117" s="3100" t="s">
        <v>3316</v>
      </c>
      <c r="E117" s="3101" t="s">
        <v>3317</v>
      </c>
      <c r="F117" s="3101" t="s">
        <v>3318</v>
      </c>
      <c r="G117" s="3101" t="s">
        <v>3319</v>
      </c>
      <c r="H117" s="3102" t="s">
        <v>3320</v>
      </c>
      <c r="I117" s="3102" t="s">
        <v>3321</v>
      </c>
      <c r="J117" s="3103" t="s">
        <v>3322</v>
      </c>
      <c r="K117" s="3103" t="s">
        <v>3323</v>
      </c>
      <c r="L117" s="3103" t="s">
        <v>3324</v>
      </c>
      <c r="M117" s="3104" t="s">
        <v>3325</v>
      </c>
      <c r="N117" s="3093"/>
    </row>
    <row r="118" spans="1:14">
      <c r="A118" s="3053" t="s">
        <v>3326</v>
      </c>
      <c r="B118" s="3085">
        <f>ROUND(0.9968-0.011*B116,4)</f>
        <v>0.89590000000000003</v>
      </c>
      <c r="C118" s="3085">
        <f>B118</f>
        <v>0.89590000000000003</v>
      </c>
      <c r="D118" s="3085">
        <f>ROUND(0.949-0.014*B116,4)</f>
        <v>0.8206</v>
      </c>
      <c r="E118" s="3085">
        <f>D118</f>
        <v>0.8206</v>
      </c>
      <c r="F118" s="3085">
        <f>E118</f>
        <v>0.8206</v>
      </c>
      <c r="G118" s="3085">
        <f>F118</f>
        <v>0.8206</v>
      </c>
      <c r="H118" s="3085">
        <f>G118</f>
        <v>0.8206</v>
      </c>
      <c r="I118" s="3085">
        <f>ROUND(0.8486-0.018*B116,4)</f>
        <v>0.6835</v>
      </c>
      <c r="J118" s="3085">
        <f t="shared" ref="J118:M122" si="35">I118</f>
        <v>0.6835</v>
      </c>
      <c r="K118" s="3085">
        <f t="shared" si="35"/>
        <v>0.6835</v>
      </c>
      <c r="L118" s="3085">
        <f t="shared" si="35"/>
        <v>0.6835</v>
      </c>
      <c r="M118" s="3105">
        <f t="shared" si="35"/>
        <v>0.6835</v>
      </c>
      <c r="N118" s="3093"/>
    </row>
    <row r="119" spans="1:14">
      <c r="A119" s="3053" t="s">
        <v>3327</v>
      </c>
      <c r="B119" s="3085">
        <f>ROUND(0.993-0.0112*B116,4)</f>
        <v>0.89029999999999998</v>
      </c>
      <c r="C119" s="3085">
        <f>B119</f>
        <v>0.89029999999999998</v>
      </c>
      <c r="D119" s="3085">
        <f>ROUND(0.9415-0.0142*B116,4)</f>
        <v>0.81130000000000002</v>
      </c>
      <c r="E119" s="3085">
        <f t="shared" ref="E119:H120" si="36">D119</f>
        <v>0.81130000000000002</v>
      </c>
      <c r="F119" s="3085">
        <f t="shared" si="36"/>
        <v>0.81130000000000002</v>
      </c>
      <c r="G119" s="3085">
        <f t="shared" si="36"/>
        <v>0.81130000000000002</v>
      </c>
      <c r="H119" s="3085">
        <f t="shared" si="36"/>
        <v>0.81130000000000002</v>
      </c>
      <c r="I119" s="3085">
        <f>ROUND(0.838-0.0182*B116,4)</f>
        <v>0.67110000000000003</v>
      </c>
      <c r="J119" s="3085">
        <f t="shared" si="35"/>
        <v>0.67110000000000003</v>
      </c>
      <c r="K119" s="3085">
        <f t="shared" si="35"/>
        <v>0.67110000000000003</v>
      </c>
      <c r="L119" s="3085">
        <f t="shared" si="35"/>
        <v>0.67110000000000003</v>
      </c>
      <c r="M119" s="3105">
        <f t="shared" si="35"/>
        <v>0.67110000000000003</v>
      </c>
      <c r="N119" s="3093"/>
    </row>
    <row r="120" spans="1:14">
      <c r="A120" s="3053" t="s">
        <v>3328</v>
      </c>
      <c r="B120" s="3085">
        <f>ROUND(0.9448-0.0115*B116,4)</f>
        <v>0.83930000000000005</v>
      </c>
      <c r="C120" s="3085">
        <f>B120</f>
        <v>0.83930000000000005</v>
      </c>
      <c r="D120" s="3085">
        <f>ROUND(0.937-0.0145*B116,4)</f>
        <v>0.80400000000000005</v>
      </c>
      <c r="E120" s="3085">
        <f t="shared" si="36"/>
        <v>0.80400000000000005</v>
      </c>
      <c r="F120" s="3085">
        <f t="shared" si="36"/>
        <v>0.80400000000000005</v>
      </c>
      <c r="G120" s="3085">
        <f t="shared" si="36"/>
        <v>0.80400000000000005</v>
      </c>
      <c r="H120" s="3085">
        <f t="shared" si="36"/>
        <v>0.80400000000000005</v>
      </c>
      <c r="I120" s="3085">
        <f>ROUND(0.7965-0.0185*B116,4)</f>
        <v>0.62690000000000001</v>
      </c>
      <c r="J120" s="3085">
        <f t="shared" si="35"/>
        <v>0.62690000000000001</v>
      </c>
      <c r="K120" s="3085">
        <f t="shared" si="35"/>
        <v>0.62690000000000001</v>
      </c>
      <c r="L120" s="3085">
        <f t="shared" si="35"/>
        <v>0.62690000000000001</v>
      </c>
      <c r="M120" s="3105">
        <f t="shared" si="35"/>
        <v>0.62690000000000001</v>
      </c>
      <c r="N120" s="3093"/>
    </row>
    <row r="121" spans="1:14" ht="13.8" thickBot="1">
      <c r="A121" s="3106" t="s">
        <v>3329</v>
      </c>
      <c r="B121" s="3107">
        <f>ROUND(0.7836-0.012*B116,4)</f>
        <v>0.67359999999999998</v>
      </c>
      <c r="C121" s="3107">
        <f>B121</f>
        <v>0.67359999999999998</v>
      </c>
      <c r="D121" s="3107">
        <f>ROUND(0.753-0.015*B116,4)</f>
        <v>0.61550000000000005</v>
      </c>
      <c r="E121" s="3107">
        <f>D121</f>
        <v>0.61550000000000005</v>
      </c>
      <c r="F121" s="3107">
        <f>E121</f>
        <v>0.61550000000000005</v>
      </c>
      <c r="G121" s="3107">
        <f>ROUND(0.6612-0.018*B116,4)</f>
        <v>0.49609999999999999</v>
      </c>
      <c r="H121" s="3107">
        <f>G121</f>
        <v>0.49609999999999999</v>
      </c>
      <c r="I121" s="3107">
        <f>ROUND(0.5905-0.019*B116,4)</f>
        <v>0.4163</v>
      </c>
      <c r="J121" s="3107">
        <f t="shared" si="35"/>
        <v>0.4163</v>
      </c>
      <c r="K121" s="3107">
        <f t="shared" si="35"/>
        <v>0.4163</v>
      </c>
      <c r="L121" s="3107">
        <f t="shared" si="35"/>
        <v>0.4163</v>
      </c>
      <c r="M121" s="3108">
        <f t="shared" si="35"/>
        <v>0.4163</v>
      </c>
      <c r="N121" s="3093"/>
    </row>
    <row r="122" spans="1:14">
      <c r="A122" s="3109" t="s">
        <v>2610</v>
      </c>
      <c r="B122" s="3085">
        <f>ROUND(0.9404-0.0106*B116,4)</f>
        <v>0.84319999999999995</v>
      </c>
      <c r="C122" s="3085">
        <f>B122</f>
        <v>0.84319999999999995</v>
      </c>
      <c r="D122" s="3085">
        <f>ROUND(0.8955-0.0135*B116,4)</f>
        <v>0.77170000000000005</v>
      </c>
      <c r="E122" s="3085">
        <f t="shared" ref="E122:H122" si="37">D122</f>
        <v>0.77170000000000005</v>
      </c>
      <c r="F122" s="3085">
        <f t="shared" si="37"/>
        <v>0.77170000000000005</v>
      </c>
      <c r="G122" s="3085">
        <f t="shared" si="37"/>
        <v>0.77170000000000005</v>
      </c>
      <c r="H122" s="3085">
        <f t="shared" si="37"/>
        <v>0.77170000000000005</v>
      </c>
      <c r="I122" s="3085">
        <f>ROUND(0.7632-0.0166*B116,4)</f>
        <v>0.61099999999999999</v>
      </c>
      <c r="J122" s="3085">
        <f t="shared" si="35"/>
        <v>0.61099999999999999</v>
      </c>
      <c r="K122" s="3085">
        <f t="shared" si="35"/>
        <v>0.61099999999999999</v>
      </c>
      <c r="L122" s="3085">
        <f t="shared" si="35"/>
        <v>0.61099999999999999</v>
      </c>
      <c r="M122" s="3105">
        <f t="shared" si="35"/>
        <v>0.61099999999999999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H19"/>
  <sheetViews>
    <sheetView workbookViewId="0">
      <selection activeCell="D17" sqref="D17"/>
    </sheetView>
  </sheetViews>
  <sheetFormatPr defaultRowHeight="14.4"/>
  <cols>
    <col min="1" max="1" width="12.44140625" customWidth="1"/>
    <col min="2" max="2" width="12.109375" customWidth="1"/>
    <col min="3" max="3" width="15.6640625" customWidth="1"/>
    <col min="7" max="7" width="12.21875" customWidth="1"/>
    <col min="8" max="8" width="14.33203125" customWidth="1"/>
  </cols>
  <sheetData>
    <row r="1" spans="1:8">
      <c r="A1" s="3153" t="s">
        <v>3416</v>
      </c>
      <c r="B1" s="3153" t="s">
        <v>3417</v>
      </c>
      <c r="C1" s="3153" t="s">
        <v>3418</v>
      </c>
      <c r="D1" s="3153" t="s">
        <v>3428</v>
      </c>
      <c r="E1" s="3153" t="s">
        <v>3429</v>
      </c>
      <c r="F1" s="3153" t="s">
        <v>3432</v>
      </c>
      <c r="G1" s="3153" t="s">
        <v>3437</v>
      </c>
      <c r="H1" s="3153" t="s">
        <v>3438</v>
      </c>
    </row>
    <row r="2" spans="1:8">
      <c r="A2" s="3154">
        <v>2</v>
      </c>
      <c r="B2" s="3154">
        <v>18</v>
      </c>
      <c r="C2" s="3153" t="s">
        <v>3419</v>
      </c>
      <c r="D2" s="3153" t="s">
        <v>3431</v>
      </c>
      <c r="E2" s="3153" t="s">
        <v>3430</v>
      </c>
      <c r="F2" s="3154">
        <v>1470.73</v>
      </c>
      <c r="G2" s="3154" t="s">
        <v>3436</v>
      </c>
      <c r="H2" s="3154" t="s">
        <v>3439</v>
      </c>
    </row>
    <row r="3" spans="1:8">
      <c r="A3" s="3154"/>
      <c r="B3" s="3154"/>
      <c r="C3" s="3153" t="s">
        <v>3420</v>
      </c>
      <c r="D3" s="3153" t="s">
        <v>3431</v>
      </c>
      <c r="E3" s="3153" t="s">
        <v>3430</v>
      </c>
      <c r="F3" s="3154">
        <v>1433.88</v>
      </c>
      <c r="G3" s="3154"/>
      <c r="H3" s="3153" t="s">
        <v>2810</v>
      </c>
    </row>
    <row r="4" spans="1:8">
      <c r="A4" s="3154"/>
      <c r="B4" s="3154"/>
      <c r="C4" s="3153" t="s">
        <v>3421</v>
      </c>
      <c r="D4" s="3153" t="s">
        <v>3431</v>
      </c>
      <c r="E4" s="3153" t="s">
        <v>3430</v>
      </c>
      <c r="F4" s="3154">
        <v>1603.4</v>
      </c>
      <c r="G4" s="3154"/>
      <c r="H4" s="3153" t="s">
        <v>2810</v>
      </c>
    </row>
    <row r="5" spans="1:8">
      <c r="A5" s="3154"/>
      <c r="B5" s="3154"/>
      <c r="C5" s="3153" t="s">
        <v>3422</v>
      </c>
      <c r="D5" s="3153" t="s">
        <v>3431</v>
      </c>
      <c r="E5" s="3153" t="s">
        <v>3430</v>
      </c>
      <c r="F5" s="3154">
        <v>1368.47</v>
      </c>
      <c r="G5" s="3154"/>
      <c r="H5" s="3153" t="s">
        <v>2810</v>
      </c>
    </row>
    <row r="6" spans="1:8">
      <c r="A6" s="3154"/>
      <c r="B6" s="3154"/>
      <c r="C6" s="3153" t="s">
        <v>3423</v>
      </c>
      <c r="D6" s="3153" t="s">
        <v>3431</v>
      </c>
      <c r="E6" s="3153" t="s">
        <v>3430</v>
      </c>
      <c r="F6" s="3154">
        <v>3105.94</v>
      </c>
      <c r="G6" s="3154"/>
      <c r="H6" s="3153" t="s">
        <v>2810</v>
      </c>
    </row>
    <row r="7" spans="1:8">
      <c r="A7" s="3154"/>
      <c r="B7" s="3154"/>
      <c r="C7" s="3153" t="s">
        <v>3424</v>
      </c>
      <c r="D7" s="3153" t="s">
        <v>3431</v>
      </c>
      <c r="E7" s="3153" t="s">
        <v>3430</v>
      </c>
      <c r="F7" s="3154">
        <v>793.45</v>
      </c>
      <c r="G7" s="3154"/>
      <c r="H7" s="3153" t="s">
        <v>2810</v>
      </c>
    </row>
    <row r="8" spans="1:8">
      <c r="A8" s="3154">
        <v>7</v>
      </c>
      <c r="B8" s="3154">
        <v>3</v>
      </c>
      <c r="C8" s="3153" t="s">
        <v>3425</v>
      </c>
      <c r="D8" s="3153" t="s">
        <v>3431</v>
      </c>
      <c r="E8" s="3153" t="s">
        <v>3430</v>
      </c>
      <c r="F8" s="3154">
        <v>826.61</v>
      </c>
      <c r="G8" s="3154"/>
      <c r="H8" s="3153" t="s">
        <v>3440</v>
      </c>
    </row>
    <row r="9" spans="1:8">
      <c r="A9" s="3154"/>
      <c r="B9" s="3154"/>
      <c r="C9" s="3153" t="s">
        <v>3426</v>
      </c>
      <c r="D9" s="3153" t="s">
        <v>3431</v>
      </c>
      <c r="E9" s="3153" t="s">
        <v>3430</v>
      </c>
      <c r="F9" s="3154">
        <v>917.51</v>
      </c>
      <c r="G9" s="3154"/>
      <c r="H9" s="3153" t="s">
        <v>3441</v>
      </c>
    </row>
    <row r="10" spans="1:8">
      <c r="A10" s="3154"/>
      <c r="B10" s="3154"/>
      <c r="C10" s="3153" t="s">
        <v>3427</v>
      </c>
      <c r="D10" s="3153" t="s">
        <v>3431</v>
      </c>
      <c r="E10" s="3153" t="s">
        <v>3430</v>
      </c>
      <c r="F10" s="3154">
        <v>480.24</v>
      </c>
      <c r="G10" s="3154"/>
      <c r="H10" s="3153" t="s">
        <v>3442</v>
      </c>
    </row>
    <row r="11" spans="1:8">
      <c r="A11" s="3154"/>
      <c r="B11" s="3154"/>
      <c r="C11" s="3154"/>
      <c r="D11" s="3154"/>
      <c r="E11" s="3153" t="s">
        <v>2590</v>
      </c>
      <c r="F11" s="3154">
        <f>SUM(F2:F10)</f>
        <v>12000.230000000001</v>
      </c>
      <c r="G11" s="3154"/>
      <c r="H11" s="3154"/>
    </row>
    <row r="15" spans="1:8">
      <c r="B15" s="3153" t="s">
        <v>3433</v>
      </c>
      <c r="C15" s="3154">
        <f>F2+F3+F4+F5+F6+F7</f>
        <v>9775.8700000000008</v>
      </c>
    </row>
    <row r="16" spans="1:8">
      <c r="B16" s="3153" t="s">
        <v>3434</v>
      </c>
      <c r="C16" s="3154">
        <f>F8+F9+F10</f>
        <v>2224.3599999999997</v>
      </c>
      <c r="D16">
        <f>ROUND(C16/C17,2)</f>
        <v>0.19</v>
      </c>
    </row>
    <row r="17" spans="2:3">
      <c r="B17" s="3153" t="s">
        <v>2590</v>
      </c>
      <c r="C17" s="3154">
        <f>C15+C16</f>
        <v>12000.23</v>
      </c>
    </row>
    <row r="19" spans="2:3">
      <c r="B19" s="1404" t="s">
        <v>3435</v>
      </c>
      <c r="C19">
        <f>F2+F3+F4+F5+F6+F7+F10</f>
        <v>10256.11</v>
      </c>
    </row>
  </sheetData>
  <phoneticPr fontId="13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M5"/>
  <sheetViews>
    <sheetView topLeftCell="A34" workbookViewId="0">
      <selection activeCell="H5" sqref="H5"/>
    </sheetView>
  </sheetViews>
  <sheetFormatPr defaultRowHeight="14.4"/>
  <cols>
    <col min="1" max="1" width="15" customWidth="1"/>
    <col min="3" max="3" width="11.33203125" customWidth="1"/>
  </cols>
  <sheetData>
    <row r="1" spans="1:13">
      <c r="A1" s="1404" t="s">
        <v>4001</v>
      </c>
      <c r="B1" s="1404" t="s">
        <v>4009</v>
      </c>
    </row>
    <row r="2" spans="1:13">
      <c r="A2" s="1404" t="s">
        <v>4002</v>
      </c>
      <c r="B2" s="1404" t="s">
        <v>4003</v>
      </c>
      <c r="C2" s="1404" t="s">
        <v>4004</v>
      </c>
      <c r="D2" s="1404" t="s">
        <v>3390</v>
      </c>
      <c r="E2" s="1404" t="s">
        <v>3391</v>
      </c>
      <c r="F2" s="1404" t="s">
        <v>3434</v>
      </c>
      <c r="G2" s="1404" t="s">
        <v>3899</v>
      </c>
      <c r="H2" s="1404" t="s">
        <v>3912</v>
      </c>
      <c r="I2" s="1404" t="s">
        <v>4005</v>
      </c>
      <c r="J2" s="1404" t="s">
        <v>4006</v>
      </c>
      <c r="L2" s="1404" t="s">
        <v>4010</v>
      </c>
      <c r="M2" s="1404" t="s">
        <v>4011</v>
      </c>
    </row>
    <row r="3" spans="1:13">
      <c r="A3" s="1404" t="s">
        <v>4027</v>
      </c>
      <c r="C3" s="3215">
        <v>44958.333831018521</v>
      </c>
      <c r="D3">
        <v>8992.56</v>
      </c>
      <c r="E3">
        <v>36342</v>
      </c>
      <c r="F3">
        <v>0</v>
      </c>
      <c r="G3">
        <v>0</v>
      </c>
      <c r="H3" s="1404" t="s">
        <v>3914</v>
      </c>
      <c r="I3">
        <v>2021</v>
      </c>
      <c r="J3">
        <f>ROUND(1-(1-0)*(2025-I3)/60,2)</f>
        <v>0.93</v>
      </c>
      <c r="L3">
        <v>2021</v>
      </c>
      <c r="M3">
        <f t="shared" ref="M3:M4" si="0">L3+50-2025</f>
        <v>46</v>
      </c>
    </row>
    <row r="4" spans="1:13">
      <c r="A4" s="1404" t="s">
        <v>4013</v>
      </c>
      <c r="C4" s="3215">
        <v>45308.333831018521</v>
      </c>
      <c r="D4">
        <v>14808.47</v>
      </c>
      <c r="E4">
        <v>42400</v>
      </c>
      <c r="F4">
        <v>0</v>
      </c>
      <c r="G4">
        <v>0</v>
      </c>
      <c r="H4" s="1404" t="s">
        <v>3914</v>
      </c>
      <c r="I4">
        <v>2021</v>
      </c>
      <c r="J4">
        <f t="shared" ref="J4:J5" si="1">ROUND(1-(1-0)*(2025-I4)/60,2)</f>
        <v>0.93</v>
      </c>
      <c r="L4">
        <v>2020</v>
      </c>
      <c r="M4">
        <f t="shared" si="0"/>
        <v>45</v>
      </c>
    </row>
    <row r="5" spans="1:13">
      <c r="A5" s="1404" t="s">
        <v>3907</v>
      </c>
      <c r="C5" s="3215">
        <v>45602</v>
      </c>
      <c r="D5">
        <v>16877.5</v>
      </c>
      <c r="E5">
        <v>46500</v>
      </c>
      <c r="F5">
        <v>0</v>
      </c>
      <c r="G5">
        <v>0</v>
      </c>
      <c r="H5" s="1404" t="s">
        <v>4007</v>
      </c>
      <c r="I5" s="1404">
        <v>2021</v>
      </c>
      <c r="J5">
        <f t="shared" si="1"/>
        <v>0.93</v>
      </c>
      <c r="L5">
        <v>2019</v>
      </c>
      <c r="M5">
        <f>L5+50-2025</f>
        <v>44</v>
      </c>
    </row>
  </sheetData>
  <phoneticPr fontId="13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S3:S9"/>
  <sheetViews>
    <sheetView workbookViewId="0">
      <selection activeCell="S11" sqref="S11"/>
    </sheetView>
  </sheetViews>
  <sheetFormatPr defaultRowHeight="14.4"/>
  <sheetData>
    <row r="3" spans="19:19">
      <c r="S3" s="1404" t="s">
        <v>3474</v>
      </c>
    </row>
    <row r="4" spans="19:19">
      <c r="S4" s="1404" t="s">
        <v>3475</v>
      </c>
    </row>
    <row r="5" spans="19:19">
      <c r="S5" s="1404" t="s">
        <v>3476</v>
      </c>
    </row>
    <row r="9" spans="19:19">
      <c r="S9" s="1404" t="s">
        <v>4046</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J41"/>
  <sheetViews>
    <sheetView workbookViewId="0">
      <selection activeCell="E6" sqref="E6:E41"/>
    </sheetView>
  </sheetViews>
  <sheetFormatPr defaultRowHeight="14.4"/>
  <cols>
    <col min="2" max="2" width="20.21875" customWidth="1"/>
    <col min="6" max="6" width="12.109375" customWidth="1"/>
    <col min="10" max="10" width="17.44140625" customWidth="1"/>
  </cols>
  <sheetData>
    <row r="1" spans="1:10">
      <c r="A1" s="3505" t="s">
        <v>3485</v>
      </c>
      <c r="B1" s="3499" t="s">
        <v>3486</v>
      </c>
      <c r="C1" s="3508" t="s">
        <v>3487</v>
      </c>
      <c r="D1" s="3510" t="s">
        <v>3488</v>
      </c>
      <c r="E1" s="3510" t="s">
        <v>3489</v>
      </c>
      <c r="F1" s="3501" t="s">
        <v>3490</v>
      </c>
      <c r="G1" s="3499" t="s">
        <v>3491</v>
      </c>
      <c r="H1" s="3500" t="s">
        <v>3492</v>
      </c>
      <c r="I1" s="3501"/>
      <c r="J1" s="3504" t="s">
        <v>3493</v>
      </c>
    </row>
    <row r="2" spans="1:10" ht="14.4" customHeight="1">
      <c r="A2" s="3506"/>
      <c r="B2" s="3499"/>
      <c r="C2" s="3509"/>
      <c r="D2" s="3511"/>
      <c r="E2" s="3511"/>
      <c r="F2" s="3503"/>
      <c r="G2" s="3499"/>
      <c r="H2" s="3502"/>
      <c r="I2" s="3503"/>
      <c r="J2" s="3504"/>
    </row>
    <row r="3" spans="1:10" ht="27" customHeight="1">
      <c r="A3" s="3507"/>
      <c r="B3" s="3160" t="s">
        <v>3494</v>
      </c>
      <c r="C3" s="3160" t="s">
        <v>3495</v>
      </c>
      <c r="D3" s="3160" t="s">
        <v>3496</v>
      </c>
      <c r="E3" s="3160" t="s">
        <v>3497</v>
      </c>
      <c r="F3" s="3160" t="s">
        <v>3498</v>
      </c>
      <c r="G3" s="3160" t="s">
        <v>3499</v>
      </c>
      <c r="H3" s="3160" t="s">
        <v>3500</v>
      </c>
      <c r="I3" s="3160" t="s">
        <v>3501</v>
      </c>
      <c r="J3" s="3160" t="s">
        <v>3502</v>
      </c>
    </row>
    <row r="4" spans="1:10" ht="22.95" customHeight="1">
      <c r="A4" s="3161">
        <v>1</v>
      </c>
      <c r="B4" s="3162" t="s">
        <v>3503</v>
      </c>
      <c r="C4" s="3162" t="s">
        <v>3504</v>
      </c>
      <c r="D4" s="3162" t="s">
        <v>3505</v>
      </c>
      <c r="E4" s="3163">
        <v>873</v>
      </c>
      <c r="F4" s="3163">
        <v>955935</v>
      </c>
      <c r="G4" s="3163">
        <v>3</v>
      </c>
      <c r="H4" s="3164"/>
      <c r="I4" s="3164"/>
      <c r="J4" s="3165" t="s">
        <v>3506</v>
      </c>
    </row>
    <row r="5" spans="1:10" ht="22.95" customHeight="1">
      <c r="A5" s="3161">
        <v>2</v>
      </c>
      <c r="B5" s="3162" t="s">
        <v>3507</v>
      </c>
      <c r="C5" s="3162" t="s">
        <v>3508</v>
      </c>
      <c r="D5" s="3162" t="s">
        <v>3509</v>
      </c>
      <c r="E5" s="3163">
        <v>168</v>
      </c>
      <c r="F5" s="3163">
        <v>647539.19999999995</v>
      </c>
      <c r="G5" s="3161">
        <v>10.25</v>
      </c>
      <c r="H5" s="3164">
        <v>0.03</v>
      </c>
      <c r="I5" s="3164" t="s">
        <v>3510</v>
      </c>
      <c r="J5" s="3165" t="s">
        <v>3511</v>
      </c>
    </row>
    <row r="6" spans="1:10" ht="22.95" customHeight="1">
      <c r="A6" s="3161">
        <v>3</v>
      </c>
      <c r="B6" s="3161" t="s">
        <v>3512</v>
      </c>
      <c r="C6" s="3161" t="s">
        <v>3513</v>
      </c>
      <c r="D6" s="3161" t="s">
        <v>3514</v>
      </c>
      <c r="E6" s="3161">
        <v>1300</v>
      </c>
      <c r="F6" s="3161">
        <v>3558750</v>
      </c>
      <c r="G6" s="3161">
        <v>7.4</v>
      </c>
      <c r="H6" s="3166"/>
      <c r="I6" s="3166"/>
      <c r="J6" s="3167" t="s">
        <v>3515</v>
      </c>
    </row>
    <row r="7" spans="1:10" ht="22.95" customHeight="1">
      <c r="A7" s="3161">
        <v>4</v>
      </c>
      <c r="B7" s="3162" t="s">
        <v>3516</v>
      </c>
      <c r="C7" s="3162" t="s">
        <v>3517</v>
      </c>
      <c r="D7" s="3162" t="s">
        <v>3518</v>
      </c>
      <c r="E7" s="3163">
        <v>49</v>
      </c>
      <c r="F7" s="3161">
        <v>78292.5</v>
      </c>
      <c r="G7" s="3161">
        <v>5.67</v>
      </c>
      <c r="H7" s="3164">
        <v>0.03</v>
      </c>
      <c r="I7" s="3164" t="s">
        <v>3519</v>
      </c>
      <c r="J7" s="3165" t="s">
        <v>3520</v>
      </c>
    </row>
    <row r="8" spans="1:10" ht="22.95" customHeight="1">
      <c r="A8" s="3161">
        <v>5</v>
      </c>
      <c r="B8" s="3162" t="s">
        <v>3521</v>
      </c>
      <c r="C8" s="3162" t="s">
        <v>3504</v>
      </c>
      <c r="D8" s="3162" t="s">
        <v>3522</v>
      </c>
      <c r="E8" s="3163">
        <v>313</v>
      </c>
      <c r="F8" s="3161">
        <v>514102.5</v>
      </c>
      <c r="G8" s="3161">
        <v>4.5</v>
      </c>
      <c r="H8" s="3164"/>
      <c r="I8" s="3164"/>
      <c r="J8" s="3165" t="s">
        <v>3523</v>
      </c>
    </row>
    <row r="9" spans="1:10" ht="22.95" customHeight="1">
      <c r="A9" s="3161">
        <v>6</v>
      </c>
      <c r="B9" s="3162" t="s">
        <v>3524</v>
      </c>
      <c r="C9" s="3162" t="s">
        <v>3504</v>
      </c>
      <c r="D9" s="3162" t="s">
        <v>3525</v>
      </c>
      <c r="E9" s="3163">
        <v>70</v>
      </c>
      <c r="F9" s="3161">
        <v>114975</v>
      </c>
      <c r="G9" s="3161">
        <v>4.5</v>
      </c>
      <c r="H9" s="3164"/>
      <c r="I9" s="3164"/>
      <c r="J9" s="3165" t="s">
        <v>3523</v>
      </c>
    </row>
    <row r="10" spans="1:10" ht="22.95" customHeight="1">
      <c r="A10" s="3161">
        <v>7</v>
      </c>
      <c r="B10" s="3162" t="s">
        <v>3526</v>
      </c>
      <c r="C10" s="3162" t="s">
        <v>3504</v>
      </c>
      <c r="D10" s="3162" t="s">
        <v>3527</v>
      </c>
      <c r="E10" s="3163">
        <v>50</v>
      </c>
      <c r="F10" s="3161">
        <v>82125</v>
      </c>
      <c r="G10" s="3161">
        <v>4.5</v>
      </c>
      <c r="H10" s="3164"/>
      <c r="I10" s="3164"/>
      <c r="J10" s="3165" t="s">
        <v>3523</v>
      </c>
    </row>
    <row r="11" spans="1:10" ht="22.95" customHeight="1">
      <c r="A11" s="3161">
        <v>8</v>
      </c>
      <c r="B11" s="3162" t="s">
        <v>3528</v>
      </c>
      <c r="C11" s="3162" t="s">
        <v>3529</v>
      </c>
      <c r="D11" s="3162" t="s">
        <v>3530</v>
      </c>
      <c r="E11" s="3163">
        <v>440</v>
      </c>
      <c r="F11" s="3161">
        <v>697539.33</v>
      </c>
      <c r="G11" s="3161">
        <v>4.3</v>
      </c>
      <c r="H11" s="3164">
        <v>0.03</v>
      </c>
      <c r="I11" s="3164" t="s">
        <v>3531</v>
      </c>
      <c r="J11" s="3165" t="s">
        <v>3532</v>
      </c>
    </row>
    <row r="12" spans="1:10" ht="22.95" customHeight="1">
      <c r="A12" s="3161">
        <v>9</v>
      </c>
      <c r="B12" s="3162" t="s">
        <v>3533</v>
      </c>
      <c r="C12" s="3162" t="s">
        <v>3504</v>
      </c>
      <c r="D12" s="3162" t="s">
        <v>3534</v>
      </c>
      <c r="E12" s="3163">
        <v>177</v>
      </c>
      <c r="F12" s="3161">
        <v>290722.5</v>
      </c>
      <c r="G12" s="3161">
        <v>4.5</v>
      </c>
      <c r="H12" s="3164"/>
      <c r="I12" s="3164"/>
      <c r="J12" s="3165" t="s">
        <v>3535</v>
      </c>
    </row>
    <row r="13" spans="1:10" ht="22.95" customHeight="1">
      <c r="A13" s="3161">
        <v>10</v>
      </c>
      <c r="B13" s="3162" t="s">
        <v>3536</v>
      </c>
      <c r="C13" s="3162" t="s">
        <v>3504</v>
      </c>
      <c r="D13" s="3162" t="s">
        <v>3537</v>
      </c>
      <c r="E13" s="3163">
        <v>267</v>
      </c>
      <c r="F13" s="3161">
        <v>467784</v>
      </c>
      <c r="G13" s="3161">
        <v>4.8</v>
      </c>
      <c r="H13" s="3164">
        <v>0.03</v>
      </c>
      <c r="I13" s="3164" t="s">
        <v>3538</v>
      </c>
      <c r="J13" s="3165" t="s">
        <v>3539</v>
      </c>
    </row>
    <row r="14" spans="1:10" ht="22.95" customHeight="1">
      <c r="A14" s="3161">
        <v>11</v>
      </c>
      <c r="B14" s="3162" t="s">
        <v>3540</v>
      </c>
      <c r="C14" s="3162" t="s">
        <v>3541</v>
      </c>
      <c r="D14" s="3162" t="s">
        <v>3542</v>
      </c>
      <c r="E14" s="3163">
        <v>68</v>
      </c>
      <c r="F14" s="3161">
        <v>95556</v>
      </c>
      <c r="G14" s="3161">
        <v>3.85</v>
      </c>
      <c r="H14" s="3164"/>
      <c r="I14" s="3164"/>
      <c r="J14" s="3165" t="s">
        <v>3543</v>
      </c>
    </row>
    <row r="15" spans="1:10" ht="22.95" customHeight="1">
      <c r="A15" s="3161">
        <v>12</v>
      </c>
      <c r="B15" s="3162" t="s">
        <v>3544</v>
      </c>
      <c r="C15" s="3162" t="s">
        <v>3545</v>
      </c>
      <c r="D15" s="3162" t="s">
        <v>3546</v>
      </c>
      <c r="E15" s="3163">
        <v>1603</v>
      </c>
      <c r="F15" s="3163">
        <v>2369634.75</v>
      </c>
      <c r="G15" s="3161">
        <v>4.05</v>
      </c>
      <c r="H15" s="3164"/>
      <c r="I15" s="3164"/>
      <c r="J15" s="3165" t="s">
        <v>3547</v>
      </c>
    </row>
    <row r="16" spans="1:10" ht="22.95" customHeight="1">
      <c r="A16" s="3161">
        <v>13</v>
      </c>
      <c r="B16" s="3162" t="s">
        <v>3548</v>
      </c>
      <c r="C16" s="3162" t="s">
        <v>3517</v>
      </c>
      <c r="D16" s="3162" t="s">
        <v>3549</v>
      </c>
      <c r="E16" s="3163">
        <v>108</v>
      </c>
      <c r="F16" s="3163">
        <v>169506</v>
      </c>
      <c r="G16" s="3161">
        <v>4.3</v>
      </c>
      <c r="H16" s="3164"/>
      <c r="I16" s="3164"/>
      <c r="J16" s="3165" t="s">
        <v>3550</v>
      </c>
    </row>
    <row r="17" spans="1:10" ht="22.95" customHeight="1">
      <c r="A17" s="3161">
        <v>14</v>
      </c>
      <c r="B17" s="3168" t="s">
        <v>3551</v>
      </c>
      <c r="C17" s="3162" t="s">
        <v>3517</v>
      </c>
      <c r="D17" s="3162" t="s">
        <v>3552</v>
      </c>
      <c r="E17" s="3163">
        <v>34</v>
      </c>
      <c r="F17" s="3163">
        <v>53363</v>
      </c>
      <c r="G17" s="3161">
        <v>4.3</v>
      </c>
      <c r="H17" s="3164"/>
      <c r="I17" s="3164"/>
      <c r="J17" s="3165" t="s">
        <v>3550</v>
      </c>
    </row>
    <row r="18" spans="1:10" ht="22.95" customHeight="1">
      <c r="A18" s="3161">
        <v>15</v>
      </c>
      <c r="B18" s="3169" t="s">
        <v>3553</v>
      </c>
      <c r="C18" s="3162" t="s">
        <v>3508</v>
      </c>
      <c r="D18" s="3162" t="s">
        <v>3554</v>
      </c>
      <c r="E18" s="3163">
        <v>121</v>
      </c>
      <c r="F18" s="3163">
        <v>189909.5</v>
      </c>
      <c r="G18" s="3161">
        <v>4.3</v>
      </c>
      <c r="H18" s="3164"/>
      <c r="I18" s="3164"/>
      <c r="J18" s="3165" t="s">
        <v>3555</v>
      </c>
    </row>
    <row r="19" spans="1:10" ht="22.95" customHeight="1">
      <c r="A19" s="3161">
        <v>16</v>
      </c>
      <c r="B19" s="3170" t="s">
        <v>3556</v>
      </c>
      <c r="C19" s="3162" t="s">
        <v>3508</v>
      </c>
      <c r="D19" s="3162" t="s">
        <v>3557</v>
      </c>
      <c r="E19" s="3163">
        <v>264</v>
      </c>
      <c r="F19" s="3163">
        <v>414348</v>
      </c>
      <c r="G19" s="3161">
        <v>4.3</v>
      </c>
      <c r="H19" s="3164">
        <v>0.05</v>
      </c>
      <c r="I19" s="3164" t="s">
        <v>3558</v>
      </c>
      <c r="J19" s="3165" t="s">
        <v>3559</v>
      </c>
    </row>
    <row r="20" spans="1:10" ht="22.95" customHeight="1">
      <c r="A20" s="3161">
        <v>17</v>
      </c>
      <c r="B20" s="3170" t="s">
        <v>3560</v>
      </c>
      <c r="C20" s="3162" t="s">
        <v>3508</v>
      </c>
      <c r="D20" s="3162" t="s">
        <v>3561</v>
      </c>
      <c r="E20" s="3163">
        <v>148.5</v>
      </c>
      <c r="F20" s="3163">
        <v>233070.76</v>
      </c>
      <c r="G20" s="3161">
        <v>4.3</v>
      </c>
      <c r="H20" s="3164">
        <v>0.05</v>
      </c>
      <c r="I20" s="3164" t="s">
        <v>3558</v>
      </c>
      <c r="J20" s="3165" t="s">
        <v>3559</v>
      </c>
    </row>
    <row r="21" spans="1:10" ht="22.95" customHeight="1">
      <c r="A21" s="3161">
        <v>18</v>
      </c>
      <c r="B21" s="3170" t="s">
        <v>3562</v>
      </c>
      <c r="C21" s="3162" t="s">
        <v>3508</v>
      </c>
      <c r="D21" s="3162" t="s">
        <v>3563</v>
      </c>
      <c r="E21" s="3163">
        <v>117.5</v>
      </c>
      <c r="F21" s="3163">
        <v>193851.5</v>
      </c>
      <c r="G21" s="3161">
        <v>4.3</v>
      </c>
      <c r="H21" s="3164">
        <v>0.05</v>
      </c>
      <c r="I21" s="3164" t="s">
        <v>3558</v>
      </c>
      <c r="J21" s="3165" t="s">
        <v>3559</v>
      </c>
    </row>
    <row r="22" spans="1:10" ht="22.95" customHeight="1">
      <c r="A22" s="3161">
        <v>19</v>
      </c>
      <c r="B22" s="3170" t="s">
        <v>3564</v>
      </c>
      <c r="C22" s="3162" t="s">
        <v>3508</v>
      </c>
      <c r="D22" s="3162" t="s">
        <v>3565</v>
      </c>
      <c r="E22" s="3163">
        <v>20</v>
      </c>
      <c r="F22" s="3163">
        <v>31390</v>
      </c>
      <c r="G22" s="3161">
        <v>4.3</v>
      </c>
      <c r="H22" s="3164">
        <v>0.05</v>
      </c>
      <c r="I22" s="3164" t="s">
        <v>3558</v>
      </c>
      <c r="J22" s="3165" t="s">
        <v>3559</v>
      </c>
    </row>
    <row r="23" spans="1:10" ht="22.95" customHeight="1">
      <c r="A23" s="3161">
        <v>20</v>
      </c>
      <c r="B23" s="3171" t="s">
        <v>3566</v>
      </c>
      <c r="C23" s="3162" t="s">
        <v>3545</v>
      </c>
      <c r="D23" s="3162" t="s">
        <v>3567</v>
      </c>
      <c r="E23" s="3163">
        <v>236</v>
      </c>
      <c r="F23" s="3163">
        <v>432420</v>
      </c>
      <c r="G23" s="3161">
        <v>4.5999999999999996</v>
      </c>
      <c r="H23" s="3164">
        <v>0.06</v>
      </c>
      <c r="I23" s="3164" t="s">
        <v>3568</v>
      </c>
      <c r="J23" s="3165" t="s">
        <v>3569</v>
      </c>
    </row>
    <row r="24" spans="1:10" ht="22.95" customHeight="1">
      <c r="A24" s="3161">
        <v>21</v>
      </c>
      <c r="B24" s="3162" t="s">
        <v>3544</v>
      </c>
      <c r="C24" s="3162" t="s">
        <v>3545</v>
      </c>
      <c r="D24" s="3162" t="s">
        <v>3570</v>
      </c>
      <c r="E24" s="3163">
        <v>1286</v>
      </c>
      <c r="F24" s="3163">
        <v>1901029.56</v>
      </c>
      <c r="G24" s="3161">
        <v>4.05</v>
      </c>
      <c r="H24" s="3164" t="s">
        <v>3571</v>
      </c>
      <c r="I24" s="3164" t="s">
        <v>3572</v>
      </c>
      <c r="J24" s="3165" t="s">
        <v>3573</v>
      </c>
    </row>
    <row r="25" spans="1:10" ht="22.95" customHeight="1">
      <c r="A25" s="3161">
        <v>22</v>
      </c>
      <c r="B25" s="3162" t="s">
        <v>3574</v>
      </c>
      <c r="C25" s="3162" t="s">
        <v>3508</v>
      </c>
      <c r="D25" s="3162" t="s">
        <v>3575</v>
      </c>
      <c r="E25" s="3163">
        <v>267</v>
      </c>
      <c r="F25" s="3163">
        <v>587848.56000000006</v>
      </c>
      <c r="G25" s="3161">
        <v>5.96</v>
      </c>
      <c r="H25" s="3164">
        <v>0.03</v>
      </c>
      <c r="I25" s="3164" t="s">
        <v>3576</v>
      </c>
      <c r="J25" s="3165" t="s">
        <v>3577</v>
      </c>
    </row>
    <row r="26" spans="1:10" ht="22.95" customHeight="1">
      <c r="A26" s="3161">
        <v>23</v>
      </c>
      <c r="B26" s="3162" t="s">
        <v>3578</v>
      </c>
      <c r="C26" s="3162" t="s">
        <v>3517</v>
      </c>
      <c r="D26" s="3162" t="s">
        <v>3579</v>
      </c>
      <c r="E26" s="3163">
        <v>111</v>
      </c>
      <c r="F26" s="3163">
        <v>194472</v>
      </c>
      <c r="G26" s="3161">
        <v>4.8</v>
      </c>
      <c r="H26" s="3164"/>
      <c r="I26" s="3164"/>
      <c r="J26" s="3165" t="s">
        <v>3580</v>
      </c>
    </row>
    <row r="27" spans="1:10" ht="22.95" customHeight="1">
      <c r="A27" s="3161">
        <v>24</v>
      </c>
      <c r="B27" s="3162" t="s">
        <v>3544</v>
      </c>
      <c r="C27" s="3162" t="s">
        <v>3545</v>
      </c>
      <c r="D27" s="3162" t="s">
        <v>3581</v>
      </c>
      <c r="E27" s="3163">
        <v>590</v>
      </c>
      <c r="F27" s="3163">
        <v>872167.56</v>
      </c>
      <c r="G27" s="3161">
        <v>4.05</v>
      </c>
      <c r="H27" s="3164">
        <v>0.03</v>
      </c>
      <c r="I27" s="3164" t="s">
        <v>3582</v>
      </c>
      <c r="J27" s="3165" t="s">
        <v>3583</v>
      </c>
    </row>
    <row r="28" spans="1:10" ht="22.95" customHeight="1">
      <c r="A28" s="3161">
        <v>25</v>
      </c>
      <c r="B28" s="3162" t="s">
        <v>3544</v>
      </c>
      <c r="C28" s="3162" t="s">
        <v>3545</v>
      </c>
      <c r="D28" s="3162" t="s">
        <v>3584</v>
      </c>
      <c r="E28" s="3163">
        <v>267</v>
      </c>
      <c r="F28" s="3163">
        <v>394692.72</v>
      </c>
      <c r="G28" s="3161">
        <v>4.05</v>
      </c>
      <c r="H28" s="3164">
        <v>0.03</v>
      </c>
      <c r="I28" s="3164" t="s">
        <v>3510</v>
      </c>
      <c r="J28" s="3165" t="s">
        <v>3585</v>
      </c>
    </row>
    <row r="29" spans="1:10" ht="22.95" customHeight="1">
      <c r="A29" s="3161">
        <v>26</v>
      </c>
      <c r="B29" s="3162" t="s">
        <v>3544</v>
      </c>
      <c r="C29" s="3162" t="s">
        <v>3545</v>
      </c>
      <c r="D29" s="3162" t="s">
        <v>3586</v>
      </c>
      <c r="E29" s="3163">
        <v>186</v>
      </c>
      <c r="F29" s="3163">
        <v>312300</v>
      </c>
      <c r="G29" s="3161">
        <v>4.05</v>
      </c>
      <c r="H29" s="3164">
        <v>0.03</v>
      </c>
      <c r="I29" s="3164" t="s">
        <v>3587</v>
      </c>
      <c r="J29" s="3165" t="s">
        <v>3588</v>
      </c>
    </row>
    <row r="30" spans="1:10" ht="22.95" customHeight="1">
      <c r="A30" s="3161">
        <v>27</v>
      </c>
      <c r="B30" s="3162" t="s">
        <v>3589</v>
      </c>
      <c r="C30" s="3162" t="s">
        <v>3517</v>
      </c>
      <c r="D30" s="3162" t="s">
        <v>3590</v>
      </c>
      <c r="E30" s="3163">
        <v>133</v>
      </c>
      <c r="F30" s="3163">
        <v>230100</v>
      </c>
      <c r="G30" s="3161">
        <v>4.74</v>
      </c>
      <c r="H30" s="3164">
        <v>0.03</v>
      </c>
      <c r="I30" s="3164" t="s">
        <v>3591</v>
      </c>
      <c r="J30" s="3165" t="s">
        <v>3592</v>
      </c>
    </row>
    <row r="31" spans="1:10" ht="22.95" customHeight="1">
      <c r="A31" s="3161">
        <v>28</v>
      </c>
      <c r="B31" s="3162" t="s">
        <v>3593</v>
      </c>
      <c r="C31" s="3162" t="s">
        <v>3594</v>
      </c>
      <c r="D31" s="3162" t="s">
        <v>3595</v>
      </c>
      <c r="E31" s="3163">
        <v>25</v>
      </c>
      <c r="F31" s="3163">
        <v>47904</v>
      </c>
      <c r="G31" s="3161">
        <v>5.25</v>
      </c>
      <c r="H31" s="3164"/>
      <c r="I31" s="3164"/>
      <c r="J31" s="3165" t="s">
        <v>3596</v>
      </c>
    </row>
    <row r="32" spans="1:10" ht="22.95" customHeight="1">
      <c r="A32" s="3161">
        <v>29</v>
      </c>
      <c r="B32" s="3171" t="s">
        <v>3544</v>
      </c>
      <c r="C32" s="3162" t="s">
        <v>3517</v>
      </c>
      <c r="D32" s="3162" t="s">
        <v>3597</v>
      </c>
      <c r="E32" s="3163">
        <v>45</v>
      </c>
      <c r="F32" s="3163">
        <v>32850</v>
      </c>
      <c r="G32" s="3161">
        <v>2</v>
      </c>
      <c r="H32" s="3164"/>
      <c r="I32" s="3164"/>
      <c r="J32" s="3165" t="s">
        <v>3598</v>
      </c>
    </row>
    <row r="33" spans="1:10" ht="22.95" customHeight="1">
      <c r="A33" s="3161">
        <v>30</v>
      </c>
      <c r="B33" s="3162" t="s">
        <v>3578</v>
      </c>
      <c r="C33" s="3162" t="s">
        <v>3529</v>
      </c>
      <c r="D33" s="3162" t="s">
        <v>3599</v>
      </c>
      <c r="E33" s="3163">
        <v>25</v>
      </c>
      <c r="F33" s="3163">
        <v>22812</v>
      </c>
      <c r="G33" s="3161">
        <v>2.5</v>
      </c>
      <c r="H33" s="3164"/>
      <c r="I33" s="3164"/>
      <c r="J33" s="3165" t="s">
        <v>3600</v>
      </c>
    </row>
    <row r="34" spans="1:10" ht="22.95" customHeight="1">
      <c r="A34" s="3161">
        <v>31</v>
      </c>
      <c r="B34" s="3162" t="s">
        <v>3601</v>
      </c>
      <c r="C34" s="3162" t="s">
        <v>3545</v>
      </c>
      <c r="D34" s="3162" t="s">
        <v>3602</v>
      </c>
      <c r="E34" s="3163">
        <v>50</v>
      </c>
      <c r="F34" s="3163">
        <v>41975</v>
      </c>
      <c r="G34" s="3161">
        <v>2.2999999999999998</v>
      </c>
      <c r="H34" s="3164"/>
      <c r="I34" s="3164"/>
      <c r="J34" s="3165" t="s">
        <v>3603</v>
      </c>
    </row>
    <row r="35" spans="1:10" ht="22.95" customHeight="1">
      <c r="A35" s="3161">
        <v>32</v>
      </c>
      <c r="B35" s="3162" t="s">
        <v>3604</v>
      </c>
      <c r="C35" s="3162" t="s">
        <v>3529</v>
      </c>
      <c r="D35" s="3162" t="s">
        <v>3605</v>
      </c>
      <c r="E35" s="3163">
        <v>45</v>
      </c>
      <c r="F35" s="3163">
        <v>32850</v>
      </c>
      <c r="G35" s="3161">
        <v>2</v>
      </c>
      <c r="H35" s="3164"/>
      <c r="I35" s="3164"/>
      <c r="J35" s="3165" t="s">
        <v>3523</v>
      </c>
    </row>
    <row r="36" spans="1:10" ht="22.95" customHeight="1">
      <c r="A36" s="3161">
        <v>33</v>
      </c>
      <c r="B36" s="3162" t="s">
        <v>3544</v>
      </c>
      <c r="C36" s="3162" t="s">
        <v>3517</v>
      </c>
      <c r="D36" s="3162" t="s">
        <v>3606</v>
      </c>
      <c r="E36" s="3163">
        <v>26</v>
      </c>
      <c r="F36" s="3163">
        <v>18984</v>
      </c>
      <c r="G36" s="3161">
        <v>2</v>
      </c>
      <c r="H36" s="3164"/>
      <c r="I36" s="3164"/>
      <c r="J36" s="3165" t="s">
        <v>3607</v>
      </c>
    </row>
    <row r="37" spans="1:10" ht="22.95" customHeight="1">
      <c r="A37" s="3161">
        <v>34</v>
      </c>
      <c r="B37" s="3162" t="s">
        <v>3544</v>
      </c>
      <c r="C37" s="3162" t="s">
        <v>3517</v>
      </c>
      <c r="D37" s="3172" t="s">
        <v>3608</v>
      </c>
      <c r="E37" s="3163">
        <v>68</v>
      </c>
      <c r="F37" s="3163">
        <v>49644</v>
      </c>
      <c r="G37" s="3161">
        <v>2</v>
      </c>
      <c r="H37" s="3164"/>
      <c r="I37" s="3164"/>
      <c r="J37" s="3165" t="s">
        <v>3609</v>
      </c>
    </row>
    <row r="38" spans="1:10" ht="22.95" customHeight="1">
      <c r="A38" s="3161">
        <v>35</v>
      </c>
      <c r="B38" s="3162" t="s">
        <v>3610</v>
      </c>
      <c r="C38" s="3162" t="s">
        <v>3517</v>
      </c>
      <c r="D38" s="3162" t="s">
        <v>3611</v>
      </c>
      <c r="E38" s="3163">
        <v>8</v>
      </c>
      <c r="F38" s="3163">
        <v>16264.44</v>
      </c>
      <c r="G38" s="3161">
        <v>5.57</v>
      </c>
      <c r="H38" s="3164">
        <v>0.03</v>
      </c>
      <c r="I38" s="3164" t="s">
        <v>3587</v>
      </c>
      <c r="J38" s="3165" t="s">
        <v>3612</v>
      </c>
    </row>
    <row r="39" spans="1:10" ht="22.95" customHeight="1">
      <c r="A39" s="3161">
        <v>36</v>
      </c>
      <c r="B39" s="3162" t="s">
        <v>3613</v>
      </c>
      <c r="C39" s="3162" t="s">
        <v>3517</v>
      </c>
      <c r="D39" s="3173" t="s">
        <v>3614</v>
      </c>
      <c r="E39" s="3173">
        <v>267</v>
      </c>
      <c r="F39" s="3173">
        <v>409311</v>
      </c>
      <c r="G39" s="3174">
        <v>4.2</v>
      </c>
      <c r="H39" s="3164">
        <v>0.03</v>
      </c>
      <c r="I39" s="3173" t="s">
        <v>3615</v>
      </c>
      <c r="J39" s="3165" t="s">
        <v>3616</v>
      </c>
    </row>
    <row r="40" spans="1:10" ht="22.95" customHeight="1">
      <c r="A40" s="3161">
        <v>37</v>
      </c>
      <c r="B40" s="3162" t="s">
        <v>3617</v>
      </c>
      <c r="C40" s="3162" t="s">
        <v>3517</v>
      </c>
      <c r="D40" s="3173" t="s">
        <v>3618</v>
      </c>
      <c r="E40" s="3173">
        <v>367.41</v>
      </c>
      <c r="F40" s="3173">
        <v>549829.06000000006</v>
      </c>
      <c r="G40" s="3174">
        <v>4.0999999999999996</v>
      </c>
      <c r="H40" s="3164">
        <v>0.03</v>
      </c>
      <c r="I40" s="3173" t="s">
        <v>3619</v>
      </c>
      <c r="J40" s="3165" t="s">
        <v>3620</v>
      </c>
    </row>
    <row r="41" spans="1:10" ht="22.95" customHeight="1">
      <c r="A41" s="3161">
        <v>38</v>
      </c>
      <c r="B41" s="3162" t="s">
        <v>3621</v>
      </c>
      <c r="C41" s="3162" t="s">
        <v>3504</v>
      </c>
      <c r="D41" s="3173" t="s">
        <v>3622</v>
      </c>
      <c r="E41" s="3173">
        <v>319.17</v>
      </c>
      <c r="F41" s="3173">
        <v>465988.2</v>
      </c>
      <c r="G41" s="3174">
        <v>4</v>
      </c>
      <c r="H41" s="3173"/>
      <c r="I41" s="3173"/>
      <c r="J41" s="3165" t="s">
        <v>3623</v>
      </c>
    </row>
  </sheetData>
  <mergeCells count="9">
    <mergeCell ref="G1:G2"/>
    <mergeCell ref="H1:I2"/>
    <mergeCell ref="J1:J2"/>
    <mergeCell ref="A1:A3"/>
    <mergeCell ref="B1:B2"/>
    <mergeCell ref="C1:C2"/>
    <mergeCell ref="D1:D2"/>
    <mergeCell ref="E1:E2"/>
    <mergeCell ref="F1:F2"/>
  </mergeCells>
  <phoneticPr fontId="13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H132"/>
  <sheetViews>
    <sheetView view="pageBreakPreview" zoomScale="55" zoomScaleNormal="70" zoomScaleSheetLayoutView="55" workbookViewId="0">
      <selection activeCell="G15" sqref="G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2.21875" style="347" customWidth="1"/>
    <col min="6" max="6" width="12.21875" style="347" customWidth="1"/>
    <col min="7" max="7" width="33" style="347" customWidth="1"/>
    <col min="8" max="8" width="12.21875" style="347" customWidth="1"/>
    <col min="9" max="9" width="19.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68340</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56949</v>
      </c>
      <c r="C3" s="344" t="s">
        <v>1768</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435" t="s">
        <v>1775</v>
      </c>
      <c r="Q4" s="3436"/>
      <c r="R4" s="3441" t="s">
        <v>1771</v>
      </c>
      <c r="S4" s="3442"/>
      <c r="T4" s="3441" t="s">
        <v>1772</v>
      </c>
      <c r="U4" s="3442"/>
      <c r="V4" s="3454" t="s">
        <v>1773</v>
      </c>
      <c r="W4" s="3454"/>
      <c r="X4" s="1808"/>
      <c r="Y4" s="3441" t="s">
        <v>1775</v>
      </c>
      <c r="Z4" s="3442"/>
      <c r="AA4" s="3425" t="s">
        <v>1771</v>
      </c>
      <c r="AB4" s="3425" t="s">
        <v>1772</v>
      </c>
      <c r="AC4" s="3428" t="s">
        <v>1773</v>
      </c>
    </row>
    <row r="5" spans="1:29">
      <c r="A5" s="348"/>
      <c r="B5" s="349"/>
      <c r="C5" s="3449" t="s">
        <v>1673</v>
      </c>
      <c r="D5" s="3446"/>
      <c r="E5" s="3447" t="str">
        <f>比较法大宗案例!C2</f>
        <v>丰台金茂广场</v>
      </c>
      <c r="F5" s="3448"/>
      <c r="G5" s="3449" t="str">
        <f>比较法大宗案例!C3</f>
        <v>华樾北京</v>
      </c>
      <c r="H5" s="3446"/>
      <c r="I5" s="3449" t="str">
        <f>比较法大宗案例!D7</f>
        <v>博瑞大厦</v>
      </c>
      <c r="J5" s="3446"/>
      <c r="K5" s="537"/>
      <c r="L5" s="2482"/>
      <c r="M5" s="2483"/>
      <c r="N5" s="2483"/>
      <c r="O5" s="2483"/>
      <c r="P5" s="3437"/>
      <c r="Q5" s="3438"/>
      <c r="R5" s="3443"/>
      <c r="S5" s="3444"/>
      <c r="T5" s="3443"/>
      <c r="U5" s="3444"/>
      <c r="V5" s="3455"/>
      <c r="W5" s="3455"/>
      <c r="X5" s="1264"/>
      <c r="Y5" s="3443"/>
      <c r="Z5" s="3444"/>
      <c r="AA5" s="3426"/>
      <c r="AB5" s="3426"/>
      <c r="AC5" s="3429"/>
    </row>
    <row r="6" spans="1:29" ht="15" thickBot="1">
      <c r="A6" s="350"/>
      <c r="B6" s="351"/>
      <c r="C6" s="3513" t="s">
        <v>1677</v>
      </c>
      <c r="D6" s="3457"/>
      <c r="E6" s="3458" t="s">
        <v>3977</v>
      </c>
      <c r="F6" s="3459"/>
      <c r="G6" s="3460" t="s">
        <v>3976</v>
      </c>
      <c r="H6" s="3457"/>
      <c r="I6" s="3512" t="s">
        <v>3980</v>
      </c>
      <c r="J6" s="3457"/>
      <c r="K6" s="537" t="s">
        <v>1678</v>
      </c>
      <c r="L6" s="2482"/>
      <c r="M6" s="2483"/>
      <c r="N6" s="2483"/>
      <c r="O6" s="2483"/>
      <c r="P6" s="3439"/>
      <c r="Q6" s="3440"/>
      <c r="R6" s="3443"/>
      <c r="S6" s="3444"/>
      <c r="T6" s="3452"/>
      <c r="U6" s="3453"/>
      <c r="V6" s="3455"/>
      <c r="W6" s="3455"/>
      <c r="X6" s="1264"/>
      <c r="Y6" s="3452"/>
      <c r="Z6" s="3453"/>
      <c r="AA6" s="3427"/>
      <c r="AB6" s="3427"/>
      <c r="AC6" s="3430"/>
    </row>
    <row r="7" spans="1:29" s="102" customFormat="1" ht="15" thickBot="1">
      <c r="A7" s="352" t="s">
        <v>1679</v>
      </c>
      <c r="B7" s="353"/>
      <c r="C7" s="354">
        <f>'数据-取费表'!B2</f>
        <v>45722</v>
      </c>
      <c r="D7" s="355">
        <v>100</v>
      </c>
      <c r="E7" s="356">
        <f>比较法大宗案例!B2</f>
        <v>44791.333831018521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61" t="s">
        <v>1680</v>
      </c>
      <c r="Q7" s="3462"/>
      <c r="R7" s="664" t="s">
        <v>14</v>
      </c>
      <c r="S7" s="665">
        <f t="shared" ref="S7:S15" si="0">F7</f>
        <v>100</v>
      </c>
      <c r="T7" s="664" t="s">
        <v>14</v>
      </c>
      <c r="U7" s="665">
        <f t="shared" ref="U7:U15" si="1">H7</f>
        <v>100</v>
      </c>
      <c r="V7" s="664" t="s">
        <v>14</v>
      </c>
      <c r="W7" s="665">
        <f t="shared" ref="W7:W15" si="2">J7</f>
        <v>100</v>
      </c>
      <c r="X7" s="666"/>
      <c r="Y7" s="3450" t="s">
        <v>1680</v>
      </c>
      <c r="Z7" s="3451"/>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3918</v>
      </c>
      <c r="J8" s="355">
        <f>SUMIF(62:62,I8,63:63)-SUMIF(62:62,C8,63:63)+100</f>
        <v>80</v>
      </c>
      <c r="K8" s="38"/>
      <c r="L8" s="2484"/>
      <c r="M8" s="2436"/>
      <c r="N8" s="2436"/>
      <c r="O8" s="2436"/>
      <c r="P8" s="3461" t="s">
        <v>1683</v>
      </c>
      <c r="Q8" s="3451"/>
      <c r="R8" s="664" t="s">
        <v>14</v>
      </c>
      <c r="S8" s="665">
        <f t="shared" si="0"/>
        <v>100</v>
      </c>
      <c r="T8" s="664" t="s">
        <v>14</v>
      </c>
      <c r="U8" s="665">
        <f t="shared" si="1"/>
        <v>100</v>
      </c>
      <c r="V8" s="664" t="s">
        <v>14</v>
      </c>
      <c r="W8" s="665">
        <f t="shared" si="2"/>
        <v>80</v>
      </c>
      <c r="X8" s="666"/>
      <c r="Y8" s="3450" t="s">
        <v>1683</v>
      </c>
      <c r="Z8" s="3451"/>
      <c r="AA8" s="50">
        <f t="shared" ref="AA8:AA47" si="3">D8/F8</f>
        <v>1</v>
      </c>
      <c r="AB8" s="50">
        <f t="shared" ref="AB8:AB47" si="4">D8/H8</f>
        <v>1</v>
      </c>
      <c r="AC8" s="802">
        <f t="shared" ref="AC8:AC47" si="5">D8/J8</f>
        <v>1.25</v>
      </c>
    </row>
    <row r="9" spans="1:29" s="102" customFormat="1" ht="14.4">
      <c r="A9" s="359" t="s">
        <v>1684</v>
      </c>
      <c r="B9" s="60" t="s">
        <v>1685</v>
      </c>
      <c r="C9" s="3219"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6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463"/>
      <c r="Q10" s="530" t="str">
        <f t="shared" si="6"/>
        <v>土地使用年限（年）</v>
      </c>
      <c r="R10" s="664" t="s">
        <v>14</v>
      </c>
      <c r="S10" s="665">
        <f t="shared" si="0"/>
        <v>102</v>
      </c>
      <c r="T10" s="664" t="s">
        <v>14</v>
      </c>
      <c r="U10" s="665">
        <f t="shared" si="1"/>
        <v>102</v>
      </c>
      <c r="V10" s="664" t="s">
        <v>14</v>
      </c>
      <c r="W10" s="665">
        <f t="shared" si="2"/>
        <v>101</v>
      </c>
      <c r="X10" s="666"/>
      <c r="Y10" s="3332"/>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63"/>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227" t="s">
        <v>3935</v>
      </c>
      <c r="D12" s="372">
        <v>100</v>
      </c>
      <c r="E12" s="3227" t="s">
        <v>3934</v>
      </c>
      <c r="F12" s="119">
        <f>SUMIF(71:71,E12,72:72)-SUMIF(71:71,C12,72:72)+100</f>
        <v>100</v>
      </c>
      <c r="G12" s="3223" t="s">
        <v>3934</v>
      </c>
      <c r="H12" s="119">
        <f>SUMIF(71:71,G12,72:72)-SUMIF(71:71,C12,72:72)+100</f>
        <v>100</v>
      </c>
      <c r="I12" s="3227" t="s">
        <v>3933</v>
      </c>
      <c r="J12" s="119">
        <f>SUMIF(71:71,I12,72:72)-SUMIF(71:71,C12,72:72)+100</f>
        <v>100</v>
      </c>
      <c r="K12" s="539"/>
      <c r="L12" s="2484"/>
      <c r="M12" s="2436"/>
      <c r="N12" s="2436"/>
      <c r="O12" s="2436"/>
      <c r="P12" s="346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6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6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38">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28" t="s">
        <v>3947</v>
      </c>
      <c r="F15" s="380">
        <f>SUMIF(77:77,E16,78:78)-SUMIF(77:77,C16,78:78)+100</f>
        <v>95</v>
      </c>
      <c r="G15" s="3226" t="s">
        <v>3972</v>
      </c>
      <c r="H15" s="380">
        <f>SUMIF(77:77,G16,78:78)-SUMIF(77:77,C16,78:78)+100</f>
        <v>95</v>
      </c>
      <c r="I15" s="3226" t="s">
        <v>3981</v>
      </c>
      <c r="J15" s="380">
        <f>SUMIF(77:77,I16,78:78)-SUMIF(77:77,C16,78:78)+100</f>
        <v>100</v>
      </c>
      <c r="K15" s="540">
        <v>5</v>
      </c>
      <c r="L15" s="2488"/>
      <c r="M15" s="2483"/>
      <c r="N15" s="2483"/>
      <c r="O15" s="2483"/>
      <c r="P15" s="3464" t="s">
        <v>1691</v>
      </c>
      <c r="Q15" s="1262" t="str">
        <f t="shared" si="6"/>
        <v>办公集聚程度</v>
      </c>
      <c r="R15" s="667" t="s">
        <v>14</v>
      </c>
      <c r="S15" s="668">
        <f t="shared" si="0"/>
        <v>95</v>
      </c>
      <c r="T15" s="667" t="s">
        <v>14</v>
      </c>
      <c r="U15" s="668">
        <f t="shared" si="1"/>
        <v>95</v>
      </c>
      <c r="V15" s="667" t="s">
        <v>14</v>
      </c>
      <c r="W15" s="668">
        <f t="shared" si="2"/>
        <v>100</v>
      </c>
      <c r="X15" s="1264"/>
      <c r="Y15" s="3466" t="s">
        <v>1691</v>
      </c>
      <c r="Z15" s="1263" t="str">
        <f t="shared" si="7"/>
        <v>办公集聚程度</v>
      </c>
      <c r="AA15" s="1263">
        <f t="shared" si="3"/>
        <v>1.0526315789473684</v>
      </c>
      <c r="AB15" s="1263">
        <f t="shared" si="4"/>
        <v>1.0526315789473684</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465"/>
      <c r="Q16" s="1262"/>
      <c r="R16" s="667"/>
      <c r="S16" s="668"/>
      <c r="T16" s="667"/>
      <c r="U16" s="668"/>
      <c r="V16" s="667"/>
      <c r="W16" s="668"/>
      <c r="X16" s="1264"/>
      <c r="Y16" s="3467"/>
      <c r="Z16" s="1263"/>
      <c r="AA16" s="1263">
        <v>1</v>
      </c>
      <c r="AB16" s="1263">
        <v>1</v>
      </c>
      <c r="AC16" s="1811">
        <v>1</v>
      </c>
    </row>
    <row r="17" spans="1:29" ht="151.80000000000001">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3" t="s">
        <v>3948</v>
      </c>
      <c r="F17" s="389">
        <f>SUMIF(79:79,E18,80:80)-SUMIF(79:79,C18,80:80)+100</f>
        <v>97</v>
      </c>
      <c r="G17" s="3232" t="s">
        <v>3973</v>
      </c>
      <c r="H17" s="394">
        <f>SUMIF(79:79,G18,80:80)-SUMIF(79:79,C18,80:80)+100</f>
        <v>97</v>
      </c>
      <c r="I17" s="3232" t="s">
        <v>3982</v>
      </c>
      <c r="J17" s="394">
        <f>SUMIF(79:79,I18,80:80)-SUMIF(79:79,C18,80:80)+100</f>
        <v>100</v>
      </c>
      <c r="K17" s="540">
        <v>3</v>
      </c>
      <c r="L17" s="2488"/>
      <c r="M17" s="2483"/>
      <c r="N17" s="2483"/>
      <c r="O17" s="2483"/>
      <c r="P17" s="3465"/>
      <c r="Q17" s="1262" t="str">
        <f>B17</f>
        <v>交通便捷度</v>
      </c>
      <c r="R17" s="667" t="s">
        <v>14</v>
      </c>
      <c r="S17" s="668">
        <f>F17</f>
        <v>97</v>
      </c>
      <c r="T17" s="667" t="s">
        <v>14</v>
      </c>
      <c r="U17" s="668">
        <f>H17</f>
        <v>97</v>
      </c>
      <c r="V17" s="667" t="s">
        <v>14</v>
      </c>
      <c r="W17" s="668">
        <f>J17</f>
        <v>100</v>
      </c>
      <c r="X17" s="1264"/>
      <c r="Y17" s="3467"/>
      <c r="Z17" s="1263" t="str">
        <f>Q17</f>
        <v>交通便捷度</v>
      </c>
      <c r="AA17" s="1263">
        <f t="shared" si="3"/>
        <v>1.0309278350515463</v>
      </c>
      <c r="AB17" s="1263">
        <f t="shared" si="4"/>
        <v>1.0309278350515463</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465"/>
      <c r="Q18" s="1262"/>
      <c r="R18" s="667"/>
      <c r="S18" s="668"/>
      <c r="T18" s="667"/>
      <c r="U18" s="668"/>
      <c r="V18" s="667"/>
      <c r="W18" s="668"/>
      <c r="X18" s="1264"/>
      <c r="Y18" s="3467"/>
      <c r="Z18" s="1263"/>
      <c r="AA18" s="1263">
        <v>1</v>
      </c>
      <c r="AB18" s="1263">
        <v>1</v>
      </c>
      <c r="AC18" s="1811">
        <v>1</v>
      </c>
    </row>
    <row r="19" spans="1:29" ht="129.6">
      <c r="A19" s="367"/>
      <c r="B19" s="556" t="s">
        <v>1812</v>
      </c>
      <c r="C19" s="1812" t="str">
        <f>估价对象房地状况!C7</f>
        <v>估价对象所在区域公共配套设施齐备情况：商场（东环广场、</v>
      </c>
      <c r="D19" s="394">
        <v>100</v>
      </c>
      <c r="E19" s="3230" t="s">
        <v>3978</v>
      </c>
      <c r="F19" s="394">
        <f>SUMIF(81:81,E20,82:82)-SUMIF(81:81,C20,82:82)+100</f>
        <v>97</v>
      </c>
      <c r="G19" s="3236" t="s">
        <v>3974</v>
      </c>
      <c r="H19" s="389">
        <f>SUMIF(81:81,G20,82:82)-SUMIF(81:81,C20,82:82)+100</f>
        <v>97</v>
      </c>
      <c r="I19" s="3236" t="s">
        <v>3983</v>
      </c>
      <c r="J19" s="389">
        <f>SUMIF(81:81,I20,82:82)-SUMIF(81:81,C20,82:82)+100</f>
        <v>100</v>
      </c>
      <c r="K19" s="540">
        <v>3</v>
      </c>
      <c r="L19" s="2488"/>
      <c r="M19" s="2483"/>
      <c r="N19" s="2483"/>
      <c r="O19" s="2483"/>
      <c r="P19" s="3465"/>
      <c r="Q19" s="1262" t="str">
        <f>B19</f>
        <v>公共配套设施</v>
      </c>
      <c r="R19" s="667" t="s">
        <v>14</v>
      </c>
      <c r="S19" s="668">
        <f>F19</f>
        <v>97</v>
      </c>
      <c r="T19" s="667" t="s">
        <v>14</v>
      </c>
      <c r="U19" s="668">
        <f>H19</f>
        <v>97</v>
      </c>
      <c r="V19" s="667" t="s">
        <v>14</v>
      </c>
      <c r="W19" s="668">
        <f>J19</f>
        <v>100</v>
      </c>
      <c r="X19" s="1264"/>
      <c r="Y19" s="3467"/>
      <c r="Z19" s="1263" t="str">
        <f>Q19</f>
        <v>公共配套设施</v>
      </c>
      <c r="AA19" s="1263">
        <f t="shared" si="3"/>
        <v>1.0309278350515463</v>
      </c>
      <c r="AB19" s="1263">
        <f t="shared" si="4"/>
        <v>1.0309278350515463</v>
      </c>
      <c r="AC19" s="1811">
        <f t="shared" si="5"/>
        <v>1</v>
      </c>
    </row>
    <row r="20" spans="1:29" ht="15">
      <c r="A20" s="367"/>
      <c r="B20" s="401"/>
      <c r="C20" s="1757" t="s">
        <v>3454</v>
      </c>
      <c r="D20" s="387"/>
      <c r="E20" s="3235" t="s">
        <v>3979</v>
      </c>
      <c r="F20" s="387"/>
      <c r="G20" s="1757" t="s">
        <v>3949</v>
      </c>
      <c r="H20" s="387"/>
      <c r="I20" s="1757" t="s">
        <v>3454</v>
      </c>
      <c r="J20" s="387"/>
      <c r="K20" s="541"/>
      <c r="L20" s="2488"/>
      <c r="M20" s="2483"/>
      <c r="N20" s="2483"/>
      <c r="O20" s="2483"/>
      <c r="P20" s="3465"/>
      <c r="Q20" s="1262"/>
      <c r="R20" s="667"/>
      <c r="S20" s="668"/>
      <c r="T20" s="667"/>
      <c r="U20" s="668"/>
      <c r="V20" s="667"/>
      <c r="W20" s="668"/>
      <c r="X20" s="1264"/>
      <c r="Y20" s="346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65"/>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65"/>
      <c r="Q22" s="1262"/>
      <c r="R22" s="667"/>
      <c r="S22" s="668"/>
      <c r="T22" s="667"/>
      <c r="U22" s="668"/>
      <c r="V22" s="667"/>
      <c r="W22" s="668"/>
      <c r="X22" s="1264"/>
      <c r="Y22" s="3467"/>
      <c r="Z22" s="1263"/>
      <c r="AA22" s="1263">
        <v>1</v>
      </c>
      <c r="AB22" s="1263">
        <v>1</v>
      </c>
      <c r="AC22" s="1811">
        <v>1</v>
      </c>
    </row>
    <row r="23" spans="1:29" ht="220.8">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0" t="s">
        <v>3950</v>
      </c>
      <c r="F23" s="389">
        <f>SUMIF(85:85,E24,86:86)-SUMIF(85:85,C24,86:86)+100</f>
        <v>97</v>
      </c>
      <c r="G23" s="3232" t="s">
        <v>3975</v>
      </c>
      <c r="H23" s="389">
        <f>SUMIF(85:85,G24,86:86)-SUMIF(85:85,C24,86:86)+100</f>
        <v>97</v>
      </c>
      <c r="I23" s="3237" t="s">
        <v>3984</v>
      </c>
      <c r="J23" s="389">
        <f>SUMIF(85:85,I24,86:86)-SUMIF(85:85,C24,86:86)+100</f>
        <v>100</v>
      </c>
      <c r="K23" s="540">
        <v>3</v>
      </c>
      <c r="L23" s="2488"/>
      <c r="M23" s="2483"/>
      <c r="N23" s="2483"/>
      <c r="O23" s="2483"/>
      <c r="P23" s="3465"/>
      <c r="Q23" s="1262" t="str">
        <f>B23</f>
        <v>环境质量</v>
      </c>
      <c r="R23" s="667" t="s">
        <v>14</v>
      </c>
      <c r="S23" s="668">
        <f>F23</f>
        <v>97</v>
      </c>
      <c r="T23" s="667" t="s">
        <v>14</v>
      </c>
      <c r="U23" s="668">
        <f>H23</f>
        <v>97</v>
      </c>
      <c r="V23" s="667" t="s">
        <v>14</v>
      </c>
      <c r="W23" s="668">
        <f>J23</f>
        <v>100</v>
      </c>
      <c r="X23" s="1264"/>
      <c r="Y23" s="3467"/>
      <c r="Z23" s="1263" t="str">
        <f>Q23</f>
        <v>环境质量</v>
      </c>
      <c r="AA23" s="1263">
        <f t="shared" si="3"/>
        <v>1.0309278350515463</v>
      </c>
      <c r="AB23" s="1263">
        <f t="shared" si="4"/>
        <v>1.0309278350515463</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465"/>
      <c r="Q24" s="1262"/>
      <c r="R24" s="667"/>
      <c r="S24" s="668"/>
      <c r="T24" s="667"/>
      <c r="U24" s="668"/>
      <c r="V24" s="667"/>
      <c r="W24" s="668"/>
      <c r="X24" s="1264"/>
      <c r="Y24" s="346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65"/>
      <c r="Q25" s="1262" t="str">
        <f>B25</f>
        <v>毗邻道路的类型与等级</v>
      </c>
      <c r="R25" s="667" t="s">
        <v>14</v>
      </c>
      <c r="S25" s="668">
        <f>F25</f>
        <v>100</v>
      </c>
      <c r="T25" s="667" t="s">
        <v>14</v>
      </c>
      <c r="U25" s="668">
        <f>H25</f>
        <v>100</v>
      </c>
      <c r="V25" s="667" t="s">
        <v>14</v>
      </c>
      <c r="W25" s="668">
        <f>J25</f>
        <v>100</v>
      </c>
      <c r="X25" s="1264"/>
      <c r="Y25" s="346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5"/>
      <c r="Q26" s="1262"/>
      <c r="R26" s="667"/>
      <c r="S26" s="668"/>
      <c r="T26" s="667"/>
      <c r="U26" s="668"/>
      <c r="V26" s="667"/>
      <c r="W26" s="668"/>
      <c r="X26" s="1264"/>
      <c r="Y26" s="346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5"/>
      <c r="Q27" s="1262" t="str">
        <f t="shared" ref="Q27:Q47" si="11">B27</f>
        <v>楼层</v>
      </c>
      <c r="R27" s="667" t="s">
        <v>14</v>
      </c>
      <c r="S27" s="668">
        <f>F27</f>
        <v>100</v>
      </c>
      <c r="T27" s="667" t="s">
        <v>14</v>
      </c>
      <c r="U27" s="668">
        <f>H27</f>
        <v>100</v>
      </c>
      <c r="V27" s="667" t="s">
        <v>14</v>
      </c>
      <c r="W27" s="668">
        <f>J27</f>
        <v>100</v>
      </c>
      <c r="X27" s="1264"/>
      <c r="Y27" s="346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5"/>
      <c r="Q28" s="530" t="str">
        <f t="shared" si="11"/>
        <v>朝向</v>
      </c>
      <c r="R28" s="664" t="s">
        <v>14</v>
      </c>
      <c r="S28" s="665">
        <f>F28</f>
        <v>100</v>
      </c>
      <c r="T28" s="664" t="s">
        <v>14</v>
      </c>
      <c r="U28" s="665">
        <f>H28</f>
        <v>100</v>
      </c>
      <c r="V28" s="664" t="s">
        <v>14</v>
      </c>
      <c r="W28" s="665">
        <f>J28</f>
        <v>100</v>
      </c>
      <c r="X28" s="666"/>
      <c r="Y28" s="346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5"/>
      <c r="Q29" s="1262">
        <f t="shared" si="11"/>
        <v>111</v>
      </c>
      <c r="R29" s="667" t="s">
        <v>14</v>
      </c>
      <c r="S29" s="668">
        <f t="shared" ref="S29:S47" si="12">F29</f>
        <v>100</v>
      </c>
      <c r="T29" s="667" t="s">
        <v>14</v>
      </c>
      <c r="U29" s="668">
        <f t="shared" ref="U29:U47" si="13">H29</f>
        <v>100</v>
      </c>
      <c r="V29" s="667" t="s">
        <v>14</v>
      </c>
      <c r="W29" s="668">
        <f t="shared" ref="W29:W47" si="14">J29</f>
        <v>100</v>
      </c>
      <c r="X29" s="1264"/>
      <c r="Y29" s="346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5"/>
      <c r="Q30" s="1262">
        <f t="shared" si="11"/>
        <v>111</v>
      </c>
      <c r="R30" s="667" t="s">
        <v>14</v>
      </c>
      <c r="S30" s="668">
        <f t="shared" si="12"/>
        <v>100</v>
      </c>
      <c r="T30" s="667" t="s">
        <v>14</v>
      </c>
      <c r="U30" s="668">
        <f t="shared" si="13"/>
        <v>100</v>
      </c>
      <c r="V30" s="667" t="s">
        <v>14</v>
      </c>
      <c r="W30" s="668">
        <f t="shared" si="14"/>
        <v>100</v>
      </c>
      <c r="X30" s="1264"/>
      <c r="Y30" s="346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5"/>
      <c r="Q31" s="1262">
        <f t="shared" si="11"/>
        <v>111</v>
      </c>
      <c r="R31" s="667" t="s">
        <v>14</v>
      </c>
      <c r="S31" s="668">
        <f t="shared" si="12"/>
        <v>100</v>
      </c>
      <c r="T31" s="667" t="s">
        <v>14</v>
      </c>
      <c r="U31" s="668">
        <f t="shared" si="13"/>
        <v>100</v>
      </c>
      <c r="V31" s="667" t="s">
        <v>14</v>
      </c>
      <c r="W31" s="668">
        <f t="shared" si="14"/>
        <v>100</v>
      </c>
      <c r="X31" s="1264"/>
      <c r="Y31" s="346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5"/>
      <c r="Q32" s="1262">
        <f t="shared" si="11"/>
        <v>111</v>
      </c>
      <c r="R32" s="667" t="s">
        <v>14</v>
      </c>
      <c r="S32" s="668">
        <f t="shared" si="12"/>
        <v>100</v>
      </c>
      <c r="T32" s="667" t="s">
        <v>14</v>
      </c>
      <c r="U32" s="668">
        <f t="shared" si="13"/>
        <v>100</v>
      </c>
      <c r="V32" s="667" t="s">
        <v>14</v>
      </c>
      <c r="W32" s="668">
        <f t="shared" si="14"/>
        <v>100</v>
      </c>
      <c r="X32" s="1264"/>
      <c r="Y32" s="3467"/>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468" t="s">
        <v>1696</v>
      </c>
      <c r="Q33" s="1262" t="str">
        <f t="shared" si="11"/>
        <v>建筑类型</v>
      </c>
      <c r="R33" s="667" t="s">
        <v>14</v>
      </c>
      <c r="S33" s="668">
        <f t="shared" si="12"/>
        <v>100</v>
      </c>
      <c r="T33" s="667" t="s">
        <v>14</v>
      </c>
      <c r="U33" s="668">
        <f t="shared" si="13"/>
        <v>100</v>
      </c>
      <c r="V33" s="667" t="s">
        <v>14</v>
      </c>
      <c r="W33" s="668">
        <f t="shared" si="14"/>
        <v>100</v>
      </c>
      <c r="X33" s="1264"/>
      <c r="Y33" s="3471"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比较法大宗案例!E2</f>
        <v>7939.1199999999981</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469"/>
      <c r="Q34" s="531" t="str">
        <f t="shared" si="11"/>
        <v>项目建筑规模</v>
      </c>
      <c r="R34" s="669" t="s">
        <v>14</v>
      </c>
      <c r="S34" s="670">
        <f t="shared" si="12"/>
        <v>100</v>
      </c>
      <c r="T34" s="669" t="s">
        <v>14</v>
      </c>
      <c r="U34" s="670">
        <f t="shared" si="13"/>
        <v>100</v>
      </c>
      <c r="V34" s="669" t="s">
        <v>14</v>
      </c>
      <c r="W34" s="670">
        <f t="shared" si="14"/>
        <v>98</v>
      </c>
      <c r="X34" s="671"/>
      <c r="Y34" s="3471"/>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69"/>
      <c r="Q35" s="1262" t="str">
        <f t="shared" si="11"/>
        <v>建筑结构</v>
      </c>
      <c r="R35" s="667" t="s">
        <v>14</v>
      </c>
      <c r="S35" s="668">
        <f t="shared" si="12"/>
        <v>100</v>
      </c>
      <c r="T35" s="667" t="s">
        <v>14</v>
      </c>
      <c r="U35" s="668">
        <f t="shared" si="13"/>
        <v>100</v>
      </c>
      <c r="V35" s="667" t="s">
        <v>14</v>
      </c>
      <c r="W35" s="668">
        <f t="shared" si="14"/>
        <v>100</v>
      </c>
      <c r="X35" s="1264"/>
      <c r="Y35" s="347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9"/>
      <c r="Q36" s="1262" t="str">
        <f t="shared" si="11"/>
        <v>公共部分装修</v>
      </c>
      <c r="R36" s="667" t="s">
        <v>14</v>
      </c>
      <c r="S36" s="668">
        <f t="shared" si="12"/>
        <v>100</v>
      </c>
      <c r="T36" s="667" t="s">
        <v>14</v>
      </c>
      <c r="U36" s="668">
        <f t="shared" si="13"/>
        <v>100</v>
      </c>
      <c r="V36" s="667" t="s">
        <v>14</v>
      </c>
      <c r="W36" s="668">
        <f t="shared" si="14"/>
        <v>100</v>
      </c>
      <c r="X36" s="1264"/>
      <c r="Y36" s="3471"/>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比较法大宗案例!L2</f>
        <v>0.9</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469"/>
      <c r="Q37" s="1262" t="str">
        <f t="shared" si="11"/>
        <v>成新度</v>
      </c>
      <c r="R37" s="667" t="s">
        <v>14</v>
      </c>
      <c r="S37" s="668">
        <f t="shared" si="12"/>
        <v>102</v>
      </c>
      <c r="T37" s="667" t="s">
        <v>14</v>
      </c>
      <c r="U37" s="668">
        <f t="shared" si="13"/>
        <v>102</v>
      </c>
      <c r="V37" s="667" t="s">
        <v>14</v>
      </c>
      <c r="W37" s="668">
        <f t="shared" si="14"/>
        <v>101</v>
      </c>
      <c r="X37" s="1264"/>
      <c r="Y37" s="3471"/>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69"/>
      <c r="Q38" s="530" t="str">
        <f t="shared" si="11"/>
        <v>写字楼等级</v>
      </c>
      <c r="R38" s="664" t="s">
        <v>14</v>
      </c>
      <c r="S38" s="665">
        <f t="shared" si="12"/>
        <v>100</v>
      </c>
      <c r="T38" s="664" t="s">
        <v>14</v>
      </c>
      <c r="U38" s="665">
        <f t="shared" si="13"/>
        <v>100</v>
      </c>
      <c r="V38" s="664" t="s">
        <v>14</v>
      </c>
      <c r="W38" s="665">
        <f t="shared" si="14"/>
        <v>100</v>
      </c>
      <c r="X38" s="666"/>
      <c r="Y38" s="3471"/>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69" t="s">
        <v>1696</v>
      </c>
      <c r="Q39" s="1262" t="str">
        <f t="shared" si="11"/>
        <v>物业管理</v>
      </c>
      <c r="R39" s="667" t="s">
        <v>14</v>
      </c>
      <c r="S39" s="668">
        <f t="shared" si="12"/>
        <v>100</v>
      </c>
      <c r="T39" s="667" t="s">
        <v>14</v>
      </c>
      <c r="U39" s="668">
        <f t="shared" si="13"/>
        <v>100</v>
      </c>
      <c r="V39" s="667" t="s">
        <v>14</v>
      </c>
      <c r="W39" s="668">
        <f t="shared" si="14"/>
        <v>100</v>
      </c>
      <c r="X39" s="1264"/>
      <c r="Y39" s="3471"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69"/>
      <c r="Q40" s="1262" t="str">
        <f t="shared" si="11"/>
        <v>市政基础设施</v>
      </c>
      <c r="R40" s="667" t="s">
        <v>14</v>
      </c>
      <c r="S40" s="668">
        <f t="shared" si="12"/>
        <v>100</v>
      </c>
      <c r="T40" s="667" t="s">
        <v>14</v>
      </c>
      <c r="U40" s="668">
        <f t="shared" si="13"/>
        <v>100</v>
      </c>
      <c r="V40" s="667" t="s">
        <v>14</v>
      </c>
      <c r="W40" s="668">
        <f t="shared" si="14"/>
        <v>100</v>
      </c>
      <c r="X40" s="1264"/>
      <c r="Y40" s="347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69"/>
      <c r="Q41" s="1262" t="str">
        <f t="shared" si="11"/>
        <v>层高</v>
      </c>
      <c r="R41" s="667" t="s">
        <v>14</v>
      </c>
      <c r="S41" s="668">
        <f t="shared" si="12"/>
        <v>100</v>
      </c>
      <c r="T41" s="667" t="s">
        <v>14</v>
      </c>
      <c r="U41" s="668">
        <f t="shared" si="13"/>
        <v>100</v>
      </c>
      <c r="V41" s="667" t="s">
        <v>14</v>
      </c>
      <c r="W41" s="668">
        <f t="shared" si="14"/>
        <v>100</v>
      </c>
      <c r="X41" s="1264"/>
      <c r="Y41" s="347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9"/>
      <c r="Q42" s="531" t="str">
        <f t="shared" si="11"/>
        <v>单套建筑面积</v>
      </c>
      <c r="R42" s="669" t="s">
        <v>14</v>
      </c>
      <c r="S42" s="670">
        <f t="shared" si="12"/>
        <v>100</v>
      </c>
      <c r="T42" s="669" t="s">
        <v>14</v>
      </c>
      <c r="U42" s="670">
        <f t="shared" si="13"/>
        <v>100</v>
      </c>
      <c r="V42" s="669" t="s">
        <v>14</v>
      </c>
      <c r="W42" s="670">
        <f t="shared" si="14"/>
        <v>100</v>
      </c>
      <c r="X42" s="671"/>
      <c r="Y42" s="3471"/>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3943</v>
      </c>
      <c r="H43" s="374">
        <f>SUMIF(123:123,G43,124:124)-SUMIF(123:123,C43,124:124)+100</f>
        <v>98</v>
      </c>
      <c r="I43" s="399" t="s">
        <v>3939</v>
      </c>
      <c r="J43" s="374">
        <f>SUMIF(123:123,I43,124:124)-SUMIF(123:123,C43,124:124)+100</f>
        <v>100</v>
      </c>
      <c r="K43" s="538">
        <v>1</v>
      </c>
      <c r="L43" s="2488"/>
      <c r="M43" s="2483"/>
      <c r="N43" s="2483"/>
      <c r="O43" s="2483"/>
      <c r="P43" s="3469"/>
      <c r="Q43" s="1262" t="str">
        <f t="shared" si="11"/>
        <v>内部装修</v>
      </c>
      <c r="R43" s="667" t="s">
        <v>14</v>
      </c>
      <c r="S43" s="668">
        <f t="shared" si="12"/>
        <v>97</v>
      </c>
      <c r="T43" s="667" t="s">
        <v>14</v>
      </c>
      <c r="U43" s="668">
        <f t="shared" si="13"/>
        <v>98</v>
      </c>
      <c r="V43" s="667" t="s">
        <v>14</v>
      </c>
      <c r="W43" s="668">
        <f t="shared" si="14"/>
        <v>100</v>
      </c>
      <c r="X43" s="1264"/>
      <c r="Y43" s="3471"/>
      <c r="Z43" s="1263" t="str">
        <f t="shared" si="15"/>
        <v>内部装修</v>
      </c>
      <c r="AA43" s="1263">
        <f t="shared" si="3"/>
        <v>1.0309278350515463</v>
      </c>
      <c r="AB43" s="1263">
        <f t="shared" si="4"/>
        <v>1.0204081632653061</v>
      </c>
      <c r="AC43" s="1811">
        <f t="shared" si="5"/>
        <v>1</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69"/>
      <c r="Q44" s="1262" t="str">
        <f t="shared" si="11"/>
        <v>内部装修维护情况</v>
      </c>
      <c r="R44" s="667" t="s">
        <v>14</v>
      </c>
      <c r="S44" s="668">
        <f t="shared" si="12"/>
        <v>100</v>
      </c>
      <c r="T44" s="667" t="s">
        <v>14</v>
      </c>
      <c r="U44" s="668">
        <f t="shared" si="13"/>
        <v>100</v>
      </c>
      <c r="V44" s="667" t="s">
        <v>14</v>
      </c>
      <c r="W44" s="668">
        <f t="shared" si="14"/>
        <v>100</v>
      </c>
      <c r="X44" s="1264"/>
      <c r="Y44" s="3471"/>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71">
        <f>比较法大宗案例!G2</f>
        <v>0.04</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469"/>
      <c r="Q45" s="530">
        <f t="shared" si="11"/>
        <v>111</v>
      </c>
      <c r="R45" s="664" t="s">
        <v>14</v>
      </c>
      <c r="S45" s="665">
        <f t="shared" si="12"/>
        <v>100</v>
      </c>
      <c r="T45" s="664" t="s">
        <v>14</v>
      </c>
      <c r="U45" s="665">
        <f t="shared" si="13"/>
        <v>100</v>
      </c>
      <c r="V45" s="664" t="s">
        <v>14</v>
      </c>
      <c r="W45" s="665">
        <f t="shared" si="14"/>
        <v>100</v>
      </c>
      <c r="X45" s="666"/>
      <c r="Y45" s="3471"/>
      <c r="Z45" s="50">
        <f t="shared" si="15"/>
        <v>111</v>
      </c>
      <c r="AA45" s="50">
        <f t="shared" si="3"/>
        <v>1</v>
      </c>
      <c r="AB45" s="50">
        <f t="shared" si="4"/>
        <v>1</v>
      </c>
      <c r="AC45" s="802">
        <f t="shared" si="5"/>
        <v>1</v>
      </c>
    </row>
    <row r="46" spans="1:29" ht="15">
      <c r="A46" s="409"/>
      <c r="B46" s="3222" t="s">
        <v>3951</v>
      </c>
      <c r="C46" s="3239"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469"/>
      <c r="Q46" s="1262" t="str">
        <f t="shared" si="11"/>
        <v>地下面积占比</v>
      </c>
      <c r="R46" s="667" t="s">
        <v>14</v>
      </c>
      <c r="S46" s="668">
        <f t="shared" si="12"/>
        <v>103</v>
      </c>
      <c r="T46" s="667" t="s">
        <v>14</v>
      </c>
      <c r="U46" s="668">
        <f t="shared" si="13"/>
        <v>103</v>
      </c>
      <c r="V46" s="667" t="s">
        <v>14</v>
      </c>
      <c r="W46" s="668">
        <f t="shared" si="14"/>
        <v>97</v>
      </c>
      <c r="X46" s="1264"/>
      <c r="Y46" s="3471"/>
      <c r="Z46" s="1263" t="str">
        <f t="shared" si="15"/>
        <v>地下面积占比</v>
      </c>
      <c r="AA46" s="1263">
        <f t="shared" si="3"/>
        <v>0.970873786407767</v>
      </c>
      <c r="AB46" s="1263">
        <f t="shared" si="4"/>
        <v>0.970873786407767</v>
      </c>
      <c r="AC46" s="1811">
        <f t="shared" si="5"/>
        <v>1.0309278350515463</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70"/>
      <c r="Q47" s="1262">
        <f t="shared" si="11"/>
        <v>111</v>
      </c>
      <c r="R47" s="667" t="s">
        <v>14</v>
      </c>
      <c r="S47" s="668">
        <f t="shared" si="12"/>
        <v>100</v>
      </c>
      <c r="T47" s="667" t="s">
        <v>14</v>
      </c>
      <c r="U47" s="668">
        <f t="shared" si="13"/>
        <v>100</v>
      </c>
      <c r="V47" s="667" t="s">
        <v>14</v>
      </c>
      <c r="W47" s="668">
        <f t="shared" si="14"/>
        <v>100</v>
      </c>
      <c r="X47" s="1264"/>
      <c r="Y47" s="3472"/>
      <c r="Z47" s="1263">
        <f t="shared" si="15"/>
        <v>111</v>
      </c>
      <c r="AA47" s="1263">
        <f t="shared" si="3"/>
        <v>1</v>
      </c>
      <c r="AB47" s="1263">
        <f t="shared" si="4"/>
        <v>1</v>
      </c>
      <c r="AC47" s="1811">
        <f t="shared" si="5"/>
        <v>1</v>
      </c>
    </row>
    <row r="48" spans="1:29" ht="14.4">
      <c r="A48" s="416" t="s">
        <v>1708</v>
      </c>
      <c r="B48" s="417"/>
      <c r="C48" s="1080" t="s">
        <v>0</v>
      </c>
      <c r="D48" s="418"/>
      <c r="E48" s="419">
        <f>比较法大宗案例!F2</f>
        <v>55079</v>
      </c>
      <c r="F48" s="420"/>
      <c r="G48" s="421">
        <f>比较法大宗案例!F3</f>
        <v>46500</v>
      </c>
      <c r="H48" s="422"/>
      <c r="I48" s="419">
        <f>比较法大宗案例!H7</f>
        <v>45510</v>
      </c>
      <c r="J48" s="422"/>
      <c r="K48" s="674"/>
      <c r="L48" s="2490"/>
      <c r="M48" s="2483"/>
      <c r="N48" s="2483"/>
      <c r="O48" s="2483"/>
      <c r="P48" s="3463" t="str">
        <f>A48</f>
        <v>成交单价（元/平方米）</v>
      </c>
      <c r="Q48" s="3473"/>
      <c r="R48" s="3455">
        <f>E48</f>
        <v>55079</v>
      </c>
      <c r="S48" s="3455"/>
      <c r="T48" s="3455">
        <f>G48</f>
        <v>46500</v>
      </c>
      <c r="U48" s="3455"/>
      <c r="V48" s="3455">
        <f>I48</f>
        <v>45510</v>
      </c>
      <c r="W48" s="3455"/>
      <c r="X48" s="385"/>
      <c r="Y48" s="673"/>
      <c r="Z48" s="385"/>
      <c r="AA48" s="385"/>
      <c r="AB48" s="385"/>
      <c r="AC48" s="555"/>
    </row>
    <row r="49" spans="1:34" ht="15" thickBot="1">
      <c r="A49" s="423" t="s">
        <v>1793</v>
      </c>
      <c r="B49" s="424"/>
      <c r="C49" s="1081">
        <f>R50</f>
        <v>56949</v>
      </c>
      <c r="D49" s="2140" t="s">
        <v>2138</v>
      </c>
      <c r="E49" s="1082">
        <f>R49</f>
        <v>61114</v>
      </c>
      <c r="F49" s="2141"/>
      <c r="G49" s="1081">
        <f>T49</f>
        <v>51068</v>
      </c>
      <c r="H49" s="2141"/>
      <c r="I49" s="1082">
        <f>V49</f>
        <v>58665</v>
      </c>
      <c r="J49" s="2141"/>
      <c r="K49" s="2143">
        <f>F49+H49+J49</f>
        <v>0</v>
      </c>
      <c r="L49" s="2490"/>
      <c r="M49" s="2483"/>
      <c r="N49" s="2483"/>
      <c r="O49" s="2483"/>
      <c r="P49" s="3463" t="str">
        <f>A49</f>
        <v>比较价值（元/平方米）</v>
      </c>
      <c r="Q49" s="3473"/>
      <c r="R49" s="3455">
        <f>IF(F1="售价",ROUND(PRODUCT(R48,AA7:AA47),0),ROUND(PRODUCT(R48,AA7:AA47),1))</f>
        <v>61114</v>
      </c>
      <c r="S49" s="3455"/>
      <c r="T49" s="3455">
        <f>IF(F1="售价",ROUND(PRODUCT(T48,AB7:AB47),0),ROUND(PRODUCT(T48,AB7:AB47),1))</f>
        <v>51068</v>
      </c>
      <c r="U49" s="3455"/>
      <c r="V49" s="3455">
        <f>IF(F1="售价",ROUND(PRODUCT(V48,AC7:AC47),0),ROUND(PRODUCT(V48,AC7:AC47),1))</f>
        <v>58665</v>
      </c>
      <c r="W49" s="3455"/>
      <c r="X49" s="385"/>
      <c r="Y49" s="385"/>
      <c r="Z49" s="385"/>
      <c r="AA49" s="385"/>
      <c r="AB49" s="385"/>
      <c r="AC49" s="555"/>
    </row>
    <row r="50" spans="1:34" ht="15" thickBot="1">
      <c r="A50" s="427" t="s">
        <v>1794</v>
      </c>
      <c r="B50" s="428"/>
      <c r="C50" s="351">
        <f>R50</f>
        <v>56949</v>
      </c>
      <c r="D50" s="351"/>
      <c r="E50" s="351"/>
      <c r="F50" s="351"/>
      <c r="G50" s="351"/>
      <c r="H50" s="351"/>
      <c r="I50" s="351"/>
      <c r="J50" s="429"/>
      <c r="K50" s="675"/>
      <c r="L50" s="2490"/>
      <c r="M50" s="2483"/>
      <c r="N50" s="2483"/>
      <c r="O50" s="2483"/>
      <c r="P50" s="3474" t="str">
        <f>A50</f>
        <v>估价对象XX用房的比较价值（楼面单价，元/平方米）</v>
      </c>
      <c r="Q50" s="3475"/>
      <c r="R50" s="3476">
        <f>IF(F1="售价",ROUND(IF(D49="简单平均",AVERAGE(R49:V49),R49*F49+T49*H49+V49*J49),0),ROUND(IF(D49="简单平均",AVERAGE(R49:V49),R49*F49+T49*H49+V49*J49),1))</f>
        <v>56949</v>
      </c>
      <c r="S50" s="3476"/>
      <c r="T50" s="3476"/>
      <c r="U50" s="3476"/>
      <c r="V50" s="3476"/>
      <c r="W50" s="3476"/>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1795</v>
      </c>
      <c r="D53" s="433"/>
      <c r="E53" s="434">
        <f>IF(E48&lt;E49,E49/E48-1,E48/E49-1)</f>
        <v>0.10956989052088817</v>
      </c>
      <c r="F53" s="435" t="str">
        <f>IF(OR(E53&gt;=0.3,E53&lt;=-0.3),"超过30%","")</f>
        <v/>
      </c>
      <c r="G53" s="434">
        <f>IF(G48&lt;G49,G49/G48-1,G48/G49-1)</f>
        <v>9.8236559139784907E-2</v>
      </c>
      <c r="H53" s="435" t="str">
        <f>IF(OR(G53&gt;=0.3,G53&lt;=-0.3),"超过30%","")</f>
        <v/>
      </c>
      <c r="I53" s="434">
        <f>IF(I48&lt;I49,I49/I48-1,I48/I49-1)</f>
        <v>0.28905735003295985</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1796</v>
      </c>
      <c r="D54" s="436"/>
      <c r="E54" s="434">
        <f>IF(E49&lt;G49,G49/E49-1,E49/G49-1)</f>
        <v>0.19671810135505607</v>
      </c>
      <c r="F54" s="435" t="str">
        <f>IF(OR(E54&gt;=0.2,E54&lt;=-0.2),"超过20%","")</f>
        <v/>
      </c>
      <c r="G54" s="434">
        <f>IF(G49&lt;I49,I49/G49-1,G49/I49-1)</f>
        <v>0.14876243440119064</v>
      </c>
      <c r="H54" s="435" t="str">
        <f>IF(OR(G54&gt;=0.2,G54&lt;=-0.2),"超过20%","")</f>
        <v/>
      </c>
      <c r="I54" s="434">
        <f>IF(I49&lt;E49,E49/I49-1,I49/E49-1)</f>
        <v>4.1745504133640088E-2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1797</v>
      </c>
      <c r="D55" s="436"/>
      <c r="E55" s="434">
        <f>IF(E48&lt;G48,G48/E48-1,E48/G48-1)</f>
        <v>0.18449462365591396</v>
      </c>
      <c r="F55" s="435" t="str">
        <f>IF(OR(E55&gt;=0.3,E55&lt;=-0.3),"超过30%","")</f>
        <v/>
      </c>
      <c r="G55" s="434">
        <f>IF(G48&lt;I48,I48/G48-1,G48/I48-1)</f>
        <v>2.1753460777851119E-2</v>
      </c>
      <c r="H55" s="435" t="str">
        <f>IF(OR(G55&gt;=0.3,G55&lt;=-0.3),"超过30%","")</f>
        <v/>
      </c>
      <c r="I55" s="434">
        <f>IF(I48&lt;E48,E48/I48-1,I48/E48-1)</f>
        <v>0.21026148099318842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4.4">
      <c r="A59" s="440" t="s">
        <v>1679</v>
      </c>
      <c r="B59" s="441"/>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29">
        <f t="shared" ref="P59" si="17">EDATE(O59,-1)</f>
        <v>45323</v>
      </c>
      <c r="Q59" s="3229">
        <f t="shared" ref="Q59" si="18">EDATE(P59,-1)</f>
        <v>45292</v>
      </c>
      <c r="R59" s="3229">
        <f t="shared" ref="R59" si="19">EDATE(Q59,-1)</f>
        <v>45261</v>
      </c>
      <c r="S59" s="3229">
        <f t="shared" ref="S59" si="20">EDATE(R59,-1)</f>
        <v>45231</v>
      </c>
      <c r="T59" s="3229">
        <f t="shared" ref="T59" si="21">EDATE(S59,-1)</f>
        <v>45200</v>
      </c>
      <c r="U59" s="3229">
        <f t="shared" ref="U59" si="22">EDATE(T59,-1)</f>
        <v>45170</v>
      </c>
      <c r="V59" s="3229">
        <f t="shared" ref="V59" si="23">EDATE(U59,-1)</f>
        <v>45139</v>
      </c>
      <c r="W59" s="3229">
        <f t="shared" ref="W59" si="24">EDATE(V59,-1)</f>
        <v>45108</v>
      </c>
      <c r="X59" s="3229">
        <f t="shared" ref="X59" si="25">EDATE(W59,-1)</f>
        <v>45078</v>
      </c>
      <c r="Y59" s="3229">
        <f t="shared" ref="Y59" si="26">EDATE(X59,-1)</f>
        <v>45047</v>
      </c>
      <c r="Z59" s="3229">
        <f t="shared" ref="Z59" si="27">EDATE(Y59,-1)</f>
        <v>45017</v>
      </c>
      <c r="AA59" s="3229">
        <f t="shared" ref="AA59" si="28">EDATE(Z59,-1)</f>
        <v>44986</v>
      </c>
      <c r="AB59" s="3229">
        <f t="shared" ref="AB59" si="29">EDATE(AA59,-1)</f>
        <v>44958</v>
      </c>
      <c r="AC59" s="3229">
        <f t="shared" ref="AC59" si="30">EDATE(AB59,-1)</f>
        <v>44927</v>
      </c>
      <c r="AD59" s="3229">
        <f t="shared" ref="AD59" si="31">EDATE(AC59,-1)</f>
        <v>44896</v>
      </c>
      <c r="AE59" s="3229">
        <f t="shared" ref="AE59" si="32">EDATE(AD59,-1)</f>
        <v>44866</v>
      </c>
      <c r="AF59" s="3229">
        <f t="shared" ref="AF59" si="33">EDATE(AE59,-1)</f>
        <v>44835</v>
      </c>
      <c r="AG59" s="3229">
        <f t="shared" ref="AG59:AH59" si="34">EDATE(AF59,-1)</f>
        <v>44805</v>
      </c>
      <c r="AH59" s="3229">
        <f t="shared" si="34"/>
        <v>44774</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4.4">
      <c r="A62" s="455" t="s">
        <v>1681</v>
      </c>
      <c r="B62" s="444"/>
      <c r="C62" s="456" t="s">
        <v>1776</v>
      </c>
      <c r="D62" s="3231"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4.4"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f>
        <v>98</v>
      </c>
      <c r="D67" s="467">
        <f t="shared" ref="D67:F67" si="35">E67-1</f>
        <v>98</v>
      </c>
      <c r="E67" s="467">
        <f>F67</f>
        <v>99</v>
      </c>
      <c r="F67" s="467">
        <f t="shared" si="35"/>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36">D69&amp;"（含）"&amp;"-"&amp;E69</f>
        <v>3（含）-</v>
      </c>
      <c r="E68" s="478" t="str">
        <f t="shared" si="36"/>
        <v>（含）-</v>
      </c>
      <c r="F68" s="478" t="str">
        <f t="shared" si="36"/>
        <v>（含）-</v>
      </c>
      <c r="G68" s="478" t="str">
        <f t="shared" si="36"/>
        <v>（含）-</v>
      </c>
      <c r="H68" s="478" t="str">
        <f t="shared" si="36"/>
        <v>（含）-</v>
      </c>
      <c r="I68" s="478" t="str">
        <f t="shared" si="36"/>
        <v>（含）-</v>
      </c>
      <c r="J68" s="478" t="str">
        <f t="shared" si="36"/>
        <v>（含）-</v>
      </c>
      <c r="K68" s="478" t="str">
        <f t="shared" si="36"/>
        <v>（含）-</v>
      </c>
      <c r="L68" s="478" t="str">
        <f t="shared" si="36"/>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37">C70-$K11</f>
        <v>100</v>
      </c>
      <c r="E70" s="475">
        <f t="shared" si="37"/>
        <v>100</v>
      </c>
      <c r="F70" s="475">
        <f t="shared" si="37"/>
        <v>100</v>
      </c>
      <c r="G70" s="475">
        <f t="shared" si="37"/>
        <v>100</v>
      </c>
      <c r="H70" s="475">
        <f t="shared" si="37"/>
        <v>100</v>
      </c>
      <c r="I70" s="475">
        <f t="shared" si="37"/>
        <v>100</v>
      </c>
      <c r="J70" s="475">
        <f t="shared" si="37"/>
        <v>100</v>
      </c>
      <c r="K70" s="475">
        <f t="shared" si="37"/>
        <v>100</v>
      </c>
      <c r="L70" s="475">
        <f t="shared" si="37"/>
        <v>100</v>
      </c>
      <c r="M70" s="476">
        <f t="shared" si="37"/>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95</v>
      </c>
      <c r="E78" s="475">
        <f>D78-$K15</f>
        <v>90</v>
      </c>
      <c r="F78" s="475">
        <f>E78-$K15</f>
        <v>85</v>
      </c>
      <c r="G78" s="475">
        <f>F78-$K15</f>
        <v>80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97</v>
      </c>
      <c r="E80" s="475">
        <f>D80-$K17</f>
        <v>94</v>
      </c>
      <c r="F80" s="475">
        <f>E80-$K17</f>
        <v>91</v>
      </c>
      <c r="G80" s="475">
        <f>F80-$K17</f>
        <v>88</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97</v>
      </c>
      <c r="E82" s="475">
        <f>D82-$K19</f>
        <v>94</v>
      </c>
      <c r="F82" s="475">
        <f>E82-$K19</f>
        <v>91</v>
      </c>
      <c r="G82" s="475">
        <f>F82-$K19</f>
        <v>88</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97</v>
      </c>
      <c r="E86" s="475">
        <f>D86-$K23</f>
        <v>94</v>
      </c>
      <c r="F86" s="475">
        <f>E86-$K23</f>
        <v>91</v>
      </c>
      <c r="G86" s="475">
        <f>F86-$K23</f>
        <v>88</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38">C88-$K25</f>
        <v>100</v>
      </c>
      <c r="E88" s="475">
        <f t="shared" si="38"/>
        <v>100</v>
      </c>
      <c r="F88" s="475">
        <f t="shared" si="38"/>
        <v>100</v>
      </c>
      <c r="G88" s="475">
        <f t="shared" si="38"/>
        <v>100</v>
      </c>
      <c r="H88" s="475">
        <f t="shared" si="38"/>
        <v>100</v>
      </c>
      <c r="I88" s="475">
        <f t="shared" si="38"/>
        <v>100</v>
      </c>
      <c r="J88" s="475">
        <f t="shared" si="38"/>
        <v>100</v>
      </c>
      <c r="K88" s="475">
        <f t="shared" si="38"/>
        <v>100</v>
      </c>
      <c r="L88" s="475">
        <f t="shared" si="38"/>
        <v>100</v>
      </c>
      <c r="M88" s="475">
        <f t="shared" si="38"/>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39">D90-$K27</f>
        <v>100</v>
      </c>
      <c r="F90" s="475">
        <f t="shared" si="39"/>
        <v>100</v>
      </c>
      <c r="G90" s="475">
        <f t="shared" si="39"/>
        <v>100</v>
      </c>
      <c r="H90" s="475">
        <f t="shared" si="39"/>
        <v>100</v>
      </c>
      <c r="I90" s="475">
        <f t="shared" si="39"/>
        <v>100</v>
      </c>
      <c r="J90" s="475">
        <f t="shared" si="39"/>
        <v>100</v>
      </c>
      <c r="K90" s="475">
        <f t="shared" si="39"/>
        <v>100</v>
      </c>
      <c r="L90" s="475">
        <f t="shared" si="39"/>
        <v>100</v>
      </c>
      <c r="M90" s="475">
        <f t="shared" si="39"/>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40">C92-$K28</f>
        <v>100</v>
      </c>
      <c r="E92" s="475">
        <f t="shared" si="40"/>
        <v>100</v>
      </c>
      <c r="F92" s="475">
        <f t="shared" si="40"/>
        <v>100</v>
      </c>
      <c r="G92" s="475">
        <f t="shared" si="40"/>
        <v>100</v>
      </c>
      <c r="H92" s="475">
        <f t="shared" si="40"/>
        <v>100</v>
      </c>
      <c r="I92" s="475">
        <f t="shared" si="40"/>
        <v>100</v>
      </c>
      <c r="J92" s="475">
        <f t="shared" si="40"/>
        <v>100</v>
      </c>
      <c r="K92" s="475">
        <f t="shared" si="40"/>
        <v>100</v>
      </c>
      <c r="L92" s="475">
        <f t="shared" si="40"/>
        <v>100</v>
      </c>
      <c r="M92" s="475">
        <f t="shared" si="40"/>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225"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41">C102-$K33</f>
        <v>95</v>
      </c>
      <c r="E102" s="475">
        <f t="shared" si="41"/>
        <v>90</v>
      </c>
      <c r="F102" s="475">
        <f t="shared" si="41"/>
        <v>85</v>
      </c>
      <c r="G102" s="475">
        <f t="shared" si="41"/>
        <v>80</v>
      </c>
      <c r="H102" s="475">
        <f t="shared" si="41"/>
        <v>75</v>
      </c>
      <c r="I102" s="475">
        <f t="shared" si="41"/>
        <v>70</v>
      </c>
      <c r="J102" s="475">
        <f t="shared" si="41"/>
        <v>65</v>
      </c>
      <c r="K102" s="475">
        <f t="shared" si="41"/>
        <v>60</v>
      </c>
      <c r="L102" s="475">
        <f t="shared" si="41"/>
        <v>55</v>
      </c>
      <c r="M102" s="476">
        <f t="shared" si="41"/>
        <v>50</v>
      </c>
      <c r="N102" s="2518"/>
      <c r="O102" s="2518"/>
      <c r="P102" s="2526"/>
      <c r="Q102" s="2504"/>
      <c r="R102" s="2483"/>
      <c r="S102" s="2483"/>
      <c r="T102" s="2483"/>
      <c r="U102" s="2483"/>
      <c r="V102" s="2483"/>
      <c r="W102" s="2483"/>
      <c r="X102" s="2483"/>
      <c r="Y102" s="2483"/>
      <c r="Z102" s="2483"/>
      <c r="AA102" s="2483"/>
      <c r="AB102" s="2483"/>
      <c r="AC102" s="2483"/>
    </row>
    <row r="103" spans="1:29" ht="28.2" thickTop="1">
      <c r="A103" s="367"/>
      <c r="B103" s="469" t="s">
        <v>1737</v>
      </c>
      <c r="C103" s="509" t="str">
        <f>C104&amp;"(含)"&amp;"-"&amp;D104</f>
        <v>0(含)-20000</v>
      </c>
      <c r="D103" s="509" t="str">
        <f t="shared" ref="D103:L103" si="42">D104&amp;"(含)"&amp;"-"&amp;E104</f>
        <v>20000(含)-40000</v>
      </c>
      <c r="E103" s="509" t="str">
        <f t="shared" si="42"/>
        <v>40000(含)-60000</v>
      </c>
      <c r="F103" s="509" t="str">
        <f t="shared" si="42"/>
        <v>60000(含)-80000</v>
      </c>
      <c r="G103" s="509" t="str">
        <f t="shared" si="42"/>
        <v>80000(含)-</v>
      </c>
      <c r="H103" s="509" t="str">
        <f t="shared" si="42"/>
        <v>(含)-</v>
      </c>
      <c r="I103" s="509" t="str">
        <f t="shared" si="42"/>
        <v>(含)-</v>
      </c>
      <c r="J103" s="509" t="str">
        <f t="shared" si="42"/>
        <v>(含)-</v>
      </c>
      <c r="K103" s="509" t="str">
        <f t="shared" si="42"/>
        <v>(含)-</v>
      </c>
      <c r="L103" s="509" t="str">
        <f t="shared" si="42"/>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G105" si="43">D105-1</f>
        <v>98</v>
      </c>
      <c r="F105" s="467">
        <f t="shared" si="43"/>
        <v>97</v>
      </c>
      <c r="G105" s="467">
        <f t="shared" si="43"/>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1"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44">C107-$K35</f>
        <v>98</v>
      </c>
      <c r="E107" s="475">
        <f t="shared" si="44"/>
        <v>96</v>
      </c>
      <c r="F107" s="475">
        <f t="shared" si="44"/>
        <v>94</v>
      </c>
      <c r="G107" s="475">
        <f t="shared" si="44"/>
        <v>92</v>
      </c>
      <c r="H107" s="475">
        <f t="shared" si="44"/>
        <v>90</v>
      </c>
      <c r="I107" s="475">
        <f t="shared" si="44"/>
        <v>88</v>
      </c>
      <c r="J107" s="475">
        <f t="shared" si="44"/>
        <v>86</v>
      </c>
      <c r="K107" s="475">
        <f t="shared" si="44"/>
        <v>84</v>
      </c>
      <c r="L107" s="475">
        <f t="shared" si="44"/>
        <v>82</v>
      </c>
      <c r="M107" s="476">
        <f t="shared" si="44"/>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1" t="s">
        <v>3940</v>
      </c>
      <c r="D108" s="3221" t="s">
        <v>3942</v>
      </c>
      <c r="E108" s="3221" t="s">
        <v>3944</v>
      </c>
      <c r="F108" s="3224"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45">C109-$K36</f>
        <v>100</v>
      </c>
      <c r="E109" s="475">
        <f t="shared" si="45"/>
        <v>100</v>
      </c>
      <c r="F109" s="475">
        <f t="shared" si="45"/>
        <v>100</v>
      </c>
      <c r="G109" s="475">
        <f t="shared" si="45"/>
        <v>100</v>
      </c>
      <c r="H109" s="475">
        <f t="shared" si="45"/>
        <v>100</v>
      </c>
      <c r="I109" s="475">
        <f t="shared" si="45"/>
        <v>100</v>
      </c>
      <c r="J109" s="475">
        <f t="shared" si="45"/>
        <v>100</v>
      </c>
      <c r="K109" s="475">
        <f t="shared" si="45"/>
        <v>100</v>
      </c>
      <c r="L109" s="475">
        <f t="shared" si="45"/>
        <v>100</v>
      </c>
      <c r="M109" s="476">
        <f t="shared" si="4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46">D112+$K37</f>
        <v>102</v>
      </c>
      <c r="F112" s="475">
        <f t="shared" si="46"/>
        <v>103</v>
      </c>
      <c r="G112" s="475">
        <f t="shared" si="46"/>
        <v>104</v>
      </c>
      <c r="H112" s="475">
        <f t="shared" si="46"/>
        <v>105</v>
      </c>
      <c r="I112" s="475">
        <f t="shared" si="46"/>
        <v>106</v>
      </c>
      <c r="J112" s="475">
        <f t="shared" si="46"/>
        <v>107</v>
      </c>
      <c r="K112" s="475">
        <f t="shared" si="46"/>
        <v>108</v>
      </c>
      <c r="L112" s="475">
        <f t="shared" si="46"/>
        <v>109</v>
      </c>
      <c r="M112" s="475">
        <f t="shared" si="46"/>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1" t="s">
        <v>3958</v>
      </c>
      <c r="D113" s="3221" t="s">
        <v>3959</v>
      </c>
      <c r="E113" s="3221" t="s">
        <v>3960</v>
      </c>
      <c r="F113" s="3221"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47">D114-$K38</f>
        <v>96</v>
      </c>
      <c r="F114" s="475">
        <f t="shared" si="47"/>
        <v>94</v>
      </c>
      <c r="G114" s="475">
        <f t="shared" si="47"/>
        <v>92</v>
      </c>
      <c r="H114" s="475">
        <f t="shared" si="47"/>
        <v>90</v>
      </c>
      <c r="I114" s="475">
        <f t="shared" si="47"/>
        <v>88</v>
      </c>
      <c r="J114" s="475">
        <f t="shared" si="47"/>
        <v>86</v>
      </c>
      <c r="K114" s="475">
        <f t="shared" si="47"/>
        <v>84</v>
      </c>
      <c r="L114" s="475">
        <f t="shared" si="47"/>
        <v>82</v>
      </c>
      <c r="M114" s="475">
        <f t="shared" si="47"/>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1" t="s">
        <v>3963</v>
      </c>
      <c r="D115" s="3221" t="s">
        <v>3964</v>
      </c>
      <c r="E115" s="3224"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48">C116-$K39</f>
        <v>98</v>
      </c>
      <c r="E116" s="475">
        <f t="shared" si="48"/>
        <v>96</v>
      </c>
      <c r="F116" s="475">
        <f t="shared" si="48"/>
        <v>94</v>
      </c>
      <c r="G116" s="475">
        <f t="shared" si="48"/>
        <v>92</v>
      </c>
      <c r="H116" s="475">
        <f t="shared" si="48"/>
        <v>90</v>
      </c>
      <c r="I116" s="475">
        <f t="shared" si="48"/>
        <v>88</v>
      </c>
      <c r="J116" s="475">
        <f t="shared" si="48"/>
        <v>86</v>
      </c>
      <c r="K116" s="475">
        <f t="shared" si="48"/>
        <v>84</v>
      </c>
      <c r="L116" s="475">
        <f t="shared" si="48"/>
        <v>82</v>
      </c>
      <c r="M116" s="476">
        <f t="shared" si="48"/>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1" t="s">
        <v>3966</v>
      </c>
      <c r="D117" s="3221" t="s">
        <v>3967</v>
      </c>
      <c r="E117" s="3221"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4"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49">D120-$K41</f>
        <v>90</v>
      </c>
      <c r="F120" s="475">
        <f t="shared" si="49"/>
        <v>85</v>
      </c>
      <c r="G120" s="475">
        <f t="shared" si="49"/>
        <v>80</v>
      </c>
      <c r="H120" s="475">
        <f t="shared" si="49"/>
        <v>75</v>
      </c>
      <c r="I120" s="475">
        <f t="shared" si="49"/>
        <v>70</v>
      </c>
      <c r="J120" s="475">
        <f t="shared" si="49"/>
        <v>65</v>
      </c>
      <c r="K120" s="475">
        <f t="shared" si="49"/>
        <v>60</v>
      </c>
      <c r="L120" s="475">
        <f t="shared" si="49"/>
        <v>55</v>
      </c>
      <c r="M120" s="475">
        <f t="shared" si="49"/>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1" t="s">
        <v>3940</v>
      </c>
      <c r="D123" s="3221" t="s">
        <v>3942</v>
      </c>
      <c r="E123" s="3221" t="s">
        <v>3944</v>
      </c>
      <c r="F123" s="3224"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50">C124-$K43</f>
        <v>99</v>
      </c>
      <c r="E124" s="475">
        <f t="shared" si="50"/>
        <v>98</v>
      </c>
      <c r="F124" s="475">
        <f t="shared" si="50"/>
        <v>97</v>
      </c>
      <c r="G124" s="475">
        <f t="shared" si="50"/>
        <v>96</v>
      </c>
      <c r="H124" s="475">
        <f t="shared" si="50"/>
        <v>95</v>
      </c>
      <c r="I124" s="475">
        <f t="shared" si="50"/>
        <v>94</v>
      </c>
      <c r="J124" s="475">
        <f t="shared" si="50"/>
        <v>93</v>
      </c>
      <c r="K124" s="475">
        <f t="shared" si="50"/>
        <v>92</v>
      </c>
      <c r="L124" s="475">
        <f t="shared" si="50"/>
        <v>91</v>
      </c>
      <c r="M124" s="476">
        <f t="shared" si="50"/>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3952</v>
      </c>
      <c r="D129" s="3238"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C130-3</f>
        <v>97</v>
      </c>
      <c r="E130" s="491">
        <f t="shared" ref="E130:G130" si="51">D130-3</f>
        <v>94</v>
      </c>
      <c r="F130" s="491">
        <f t="shared" si="51"/>
        <v>91</v>
      </c>
      <c r="G130" s="491">
        <f t="shared" si="51"/>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F7:F47 H7:H47 J7:J47">
    <cfRule type="cellIs" dxfId="137" priority="1" operator="notEqual">
      <formula>100</formula>
    </cfRule>
  </conditionalFormatting>
  <conditionalFormatting sqref="F49">
    <cfRule type="expression" dxfId="136" priority="4">
      <formula>$D$49="简单平均"</formula>
    </cfRule>
  </conditionalFormatting>
  <conditionalFormatting sqref="F53:F55 H53:H55">
    <cfRule type="containsText" dxfId="135" priority="17" stopIfTrue="1" operator="containsText" text="超过">
      <formula>NOT(ISERROR(SEARCH("超过",F53)))</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G55">
    <cfRule type="expression" dxfId="132" priority="13"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conditionalFormatting sqref="J53:J55">
    <cfRule type="containsText" dxfId="126"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H132"/>
  <sheetViews>
    <sheetView view="pageBreakPreview" topLeftCell="A22" zoomScale="55" zoomScaleNormal="70" zoomScaleSheetLayoutView="55" workbookViewId="0">
      <selection activeCell="E5" sqref="E5:F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32" width="9" style="347"/>
    <col min="33" max="33" width="12.77734375" style="347" customWidth="1"/>
    <col min="34" max="16384" width="9" style="347"/>
  </cols>
  <sheetData>
    <row r="1" spans="1:29" s="1149" customFormat="1" ht="28.5" customHeight="1" thickBot="1">
      <c r="A1" s="1138" t="s">
        <v>1660</v>
      </c>
      <c r="B1" s="1807" t="s">
        <v>1810</v>
      </c>
      <c r="C1" s="1140" t="s">
        <v>1662</v>
      </c>
      <c r="D1" s="1141" t="s">
        <v>21</v>
      </c>
      <c r="E1" s="3127" t="s">
        <v>3624</v>
      </c>
      <c r="F1" s="1734" t="s">
        <v>3625</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58489</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48740</v>
      </c>
      <c r="C3" s="344" t="s">
        <v>1665</v>
      </c>
      <c r="D3" s="343">
        <f>IF(D1="",'数据-汇总表'!E3,SUMIF('数据-汇总表'!$C19:$C33,D1,'数据-汇总表'!$E19:$E33))</f>
        <v>12000.23</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1666</v>
      </c>
      <c r="B4" s="346"/>
      <c r="C4" s="3431" t="s">
        <v>1667</v>
      </c>
      <c r="D4" s="3432"/>
      <c r="E4" s="3433" t="s">
        <v>1668</v>
      </c>
      <c r="F4" s="3434"/>
      <c r="G4" s="3431" t="s">
        <v>1669</v>
      </c>
      <c r="H4" s="3432"/>
      <c r="I4" s="3431" t="s">
        <v>1670</v>
      </c>
      <c r="J4" s="3432"/>
      <c r="K4" s="537" t="s">
        <v>1671</v>
      </c>
      <c r="L4" s="2482"/>
      <c r="M4" s="2483"/>
      <c r="N4" s="2483"/>
      <c r="O4" s="2483"/>
      <c r="P4" s="3435" t="s">
        <v>1672</v>
      </c>
      <c r="Q4" s="3436"/>
      <c r="R4" s="3441" t="s">
        <v>1668</v>
      </c>
      <c r="S4" s="3442"/>
      <c r="T4" s="3441" t="s">
        <v>1669</v>
      </c>
      <c r="U4" s="3442"/>
      <c r="V4" s="3454" t="s">
        <v>1670</v>
      </c>
      <c r="W4" s="3454"/>
      <c r="X4" s="1808"/>
      <c r="Y4" s="3441" t="s">
        <v>1672</v>
      </c>
      <c r="Z4" s="3442"/>
      <c r="AA4" s="3425" t="s">
        <v>1668</v>
      </c>
      <c r="AB4" s="3425" t="s">
        <v>1669</v>
      </c>
      <c r="AC4" s="3428" t="s">
        <v>1670</v>
      </c>
    </row>
    <row r="5" spans="1:29">
      <c r="A5" s="348"/>
      <c r="B5" s="349"/>
      <c r="C5" s="3449" t="s">
        <v>1673</v>
      </c>
      <c r="D5" s="3446"/>
      <c r="E5" s="3447" t="str">
        <f>比较法大宗案例!C5</f>
        <v>保利佲悦大都汇</v>
      </c>
      <c r="F5" s="3448"/>
      <c r="G5" s="3449" t="str">
        <f>比较法大宗案例!C3</f>
        <v>华樾北京</v>
      </c>
      <c r="H5" s="3446"/>
      <c r="I5" s="3449" t="str">
        <f>比较法大宗案例!D7</f>
        <v>博瑞大厦</v>
      </c>
      <c r="J5" s="3446"/>
      <c r="K5" s="537"/>
      <c r="L5" s="2482"/>
      <c r="M5" s="2483">
        <f>B2/D3</f>
        <v>4.8739899151932926</v>
      </c>
      <c r="N5" s="2483"/>
      <c r="O5" s="2483"/>
      <c r="P5" s="3437"/>
      <c r="Q5" s="3438"/>
      <c r="R5" s="3443"/>
      <c r="S5" s="3444"/>
      <c r="T5" s="3443"/>
      <c r="U5" s="3444"/>
      <c r="V5" s="3455"/>
      <c r="W5" s="3455"/>
      <c r="X5" s="1264"/>
      <c r="Y5" s="3443"/>
      <c r="Z5" s="3444"/>
      <c r="AA5" s="3426"/>
      <c r="AB5" s="3426"/>
      <c r="AC5" s="3429"/>
    </row>
    <row r="6" spans="1:29" ht="15" thickBot="1">
      <c r="A6" s="350"/>
      <c r="B6" s="351"/>
      <c r="C6" s="3513" t="s">
        <v>1677</v>
      </c>
      <c r="D6" s="3457"/>
      <c r="E6" s="3458"/>
      <c r="F6" s="3459"/>
      <c r="G6" s="3460" t="s">
        <v>3976</v>
      </c>
      <c r="H6" s="3457"/>
      <c r="I6" s="3512" t="s">
        <v>3980</v>
      </c>
      <c r="J6" s="3457"/>
      <c r="K6" s="537" t="s">
        <v>1678</v>
      </c>
      <c r="L6" s="2482"/>
      <c r="M6" s="2483"/>
      <c r="N6" s="2483"/>
      <c r="O6" s="2483"/>
      <c r="P6" s="3439"/>
      <c r="Q6" s="3440"/>
      <c r="R6" s="3443"/>
      <c r="S6" s="3444"/>
      <c r="T6" s="3452"/>
      <c r="U6" s="3453"/>
      <c r="V6" s="3455"/>
      <c r="W6" s="3455"/>
      <c r="X6" s="1264"/>
      <c r="Y6" s="3452"/>
      <c r="Z6" s="3453"/>
      <c r="AA6" s="3427"/>
      <c r="AB6" s="3427"/>
      <c r="AC6" s="3430"/>
    </row>
    <row r="7" spans="1:29" s="102" customFormat="1" ht="15" thickBot="1">
      <c r="A7" s="352" t="s">
        <v>1679</v>
      </c>
      <c r="B7" s="353"/>
      <c r="C7" s="354">
        <f>'数据-取费表'!B2</f>
        <v>45722</v>
      </c>
      <c r="D7" s="355">
        <v>100</v>
      </c>
      <c r="E7" s="356">
        <f>比较法大宗案例!B5</f>
        <v>44906.333831018521</v>
      </c>
      <c r="F7" s="357">
        <f>SUMIF(59:59,YEAR(E7)&amp;"-"&amp;MONTH(E7),60:60)</f>
        <v>100</v>
      </c>
      <c r="G7" s="356">
        <f>比较法大宗案例!B3</f>
        <v>45602.333831018521</v>
      </c>
      <c r="H7" s="355">
        <f>SUMIF(59:59,YEAR(G7)&amp;"-"&amp;MONTH(G7),60:60)</f>
        <v>100</v>
      </c>
      <c r="I7" s="356">
        <f>比较法大宗案例!B7</f>
        <v>44835</v>
      </c>
      <c r="J7" s="355">
        <f>SUMIF(59:59,YEAR(I7)&amp;"-"&amp;MONTH(I7),60:60)</f>
        <v>100</v>
      </c>
      <c r="K7" s="38"/>
      <c r="L7" s="2484"/>
      <c r="M7" s="2436"/>
      <c r="N7" s="2436"/>
      <c r="O7" s="2436"/>
      <c r="P7" s="3461" t="s">
        <v>1680</v>
      </c>
      <c r="Q7" s="3462"/>
      <c r="R7" s="664" t="s">
        <v>14</v>
      </c>
      <c r="S7" s="665">
        <f t="shared" ref="S7:S15" si="0">F7</f>
        <v>100</v>
      </c>
      <c r="T7" s="664" t="s">
        <v>14</v>
      </c>
      <c r="U7" s="665">
        <f t="shared" ref="U7:U15" si="1">H7</f>
        <v>100</v>
      </c>
      <c r="V7" s="664" t="s">
        <v>14</v>
      </c>
      <c r="W7" s="665">
        <f t="shared" ref="W7:W15" si="2">J7</f>
        <v>100</v>
      </c>
      <c r="X7" s="666"/>
      <c r="Y7" s="3450" t="s">
        <v>1680</v>
      </c>
      <c r="Z7" s="3451"/>
      <c r="AA7" s="50">
        <f>D7/F7</f>
        <v>1</v>
      </c>
      <c r="AB7" s="50">
        <f>D7/H7</f>
        <v>1</v>
      </c>
      <c r="AC7" s="802">
        <f>D7/J7</f>
        <v>1</v>
      </c>
    </row>
    <row r="8" spans="1:29" s="102" customFormat="1" ht="15" thickBot="1">
      <c r="A8" s="352" t="s">
        <v>1681</v>
      </c>
      <c r="B8" s="353"/>
      <c r="C8" s="358" t="s">
        <v>3909</v>
      </c>
      <c r="D8" s="355">
        <v>100</v>
      </c>
      <c r="E8" s="358" t="s">
        <v>3909</v>
      </c>
      <c r="F8" s="357">
        <f>SUMIF(62:62,E8,63:63)-SUMIF(62:62,C8,63:63)+100</f>
        <v>100</v>
      </c>
      <c r="G8" s="358" t="s">
        <v>3909</v>
      </c>
      <c r="H8" s="355">
        <f>SUMIF(62:62,G8,63:63)-SUMIF(62:62,C8,63:63)+100</f>
        <v>100</v>
      </c>
      <c r="I8" s="358" t="s">
        <v>3909</v>
      </c>
      <c r="J8" s="355">
        <f>SUMIF(62:62,I8,63:63)-SUMIF(62:62,C8,63:63)+100</f>
        <v>100</v>
      </c>
      <c r="K8" s="38"/>
      <c r="L8" s="2484"/>
      <c r="M8" s="2436"/>
      <c r="N8" s="2436"/>
      <c r="O8" s="2436"/>
      <c r="P8" s="3461" t="s">
        <v>1683</v>
      </c>
      <c r="Q8" s="3451"/>
      <c r="R8" s="664" t="s">
        <v>14</v>
      </c>
      <c r="S8" s="665">
        <f t="shared" si="0"/>
        <v>100</v>
      </c>
      <c r="T8" s="664" t="s">
        <v>14</v>
      </c>
      <c r="U8" s="665">
        <f t="shared" si="1"/>
        <v>100</v>
      </c>
      <c r="V8" s="664" t="s">
        <v>14</v>
      </c>
      <c r="W8" s="665">
        <f t="shared" si="2"/>
        <v>100</v>
      </c>
      <c r="X8" s="666"/>
      <c r="Y8" s="3450" t="s">
        <v>1683</v>
      </c>
      <c r="Z8" s="3451"/>
      <c r="AA8" s="50">
        <f t="shared" ref="AA8:AA47" si="3">D8/F8</f>
        <v>1</v>
      </c>
      <c r="AB8" s="50">
        <f t="shared" ref="AB8:AB47" si="4">D8/H8</f>
        <v>1</v>
      </c>
      <c r="AC8" s="802">
        <f t="shared" ref="AC8:AC47" si="5">D8/J8</f>
        <v>1</v>
      </c>
    </row>
    <row r="9" spans="1:29" s="102" customFormat="1" ht="14.4">
      <c r="A9" s="359" t="s">
        <v>1684</v>
      </c>
      <c r="B9" s="60" t="s">
        <v>1685</v>
      </c>
      <c r="C9" s="3219" t="s">
        <v>3910</v>
      </c>
      <c r="D9" s="59">
        <v>100</v>
      </c>
      <c r="E9" s="362" t="s">
        <v>21</v>
      </c>
      <c r="F9" s="59">
        <f>SUMIF(64:64,E9,65:65)-SUMIF(64:64,C9,65:65)+100</f>
        <v>100</v>
      </c>
      <c r="G9" s="361" t="s">
        <v>21</v>
      </c>
      <c r="H9" s="59">
        <f>SUMIF(64:64,G9,65:65)-SUMIF(64:64,C9,65:65)+100</f>
        <v>100</v>
      </c>
      <c r="I9" s="361" t="s">
        <v>21</v>
      </c>
      <c r="J9" s="59">
        <f>SUMIF(64:64,I9,65:65)-SUMIF(64:64,C9,65:65)+100</f>
        <v>100</v>
      </c>
      <c r="K9" s="38"/>
      <c r="L9" s="2484"/>
      <c r="M9" s="2436"/>
      <c r="N9" s="2436"/>
      <c r="O9" s="2436"/>
      <c r="P9" s="346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802">
        <f t="shared" si="5"/>
        <v>1</v>
      </c>
    </row>
    <row r="10" spans="1:29" s="366" customFormat="1" ht="28.8">
      <c r="A10" s="363"/>
      <c r="B10" s="364" t="s">
        <v>1688</v>
      </c>
      <c r="C10" s="3128" t="s">
        <v>3990</v>
      </c>
      <c r="D10" s="119">
        <v>100</v>
      </c>
      <c r="E10" s="3128" t="s">
        <v>3991</v>
      </c>
      <c r="F10" s="119">
        <f>SUMIF(66:66,E10,67:67)-SUMIF(66:66,C10,67:67)+100</f>
        <v>102</v>
      </c>
      <c r="G10" s="3128" t="s">
        <v>3991</v>
      </c>
      <c r="H10" s="119">
        <f>SUMIF(66:66,G10,67:67)-SUMIF(66:66,C10,67:67)+100</f>
        <v>102</v>
      </c>
      <c r="I10" s="3128" t="s">
        <v>3992</v>
      </c>
      <c r="J10" s="119">
        <f>SUMIF(66:66,I10,67:67)-SUMIF(66:66,C10,67:67)+100</f>
        <v>101</v>
      </c>
      <c r="K10" s="38"/>
      <c r="L10" s="2485"/>
      <c r="M10" s="2486"/>
      <c r="N10" s="2486"/>
      <c r="O10" s="2486"/>
      <c r="P10" s="3463"/>
      <c r="Q10" s="530" t="str">
        <f t="shared" si="6"/>
        <v>土地使用年限（年）</v>
      </c>
      <c r="R10" s="664" t="s">
        <v>14</v>
      </c>
      <c r="S10" s="665">
        <f t="shared" si="0"/>
        <v>102</v>
      </c>
      <c r="T10" s="664" t="s">
        <v>14</v>
      </c>
      <c r="U10" s="665">
        <f t="shared" si="1"/>
        <v>102</v>
      </c>
      <c r="V10" s="664" t="s">
        <v>14</v>
      </c>
      <c r="W10" s="665">
        <f t="shared" si="2"/>
        <v>101</v>
      </c>
      <c r="X10" s="666"/>
      <c r="Y10" s="3332"/>
      <c r="Z10" s="50" t="str">
        <f t="shared" si="7"/>
        <v>土地使用年限（年）</v>
      </c>
      <c r="AA10" s="50">
        <f t="shared" si="3"/>
        <v>0.98039215686274506</v>
      </c>
      <c r="AB10" s="50">
        <f t="shared" si="4"/>
        <v>0.98039215686274506</v>
      </c>
      <c r="AC10" s="802">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63"/>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802">
        <f t="shared" si="5"/>
        <v>1</v>
      </c>
    </row>
    <row r="12" spans="1:29" s="102" customFormat="1" ht="15">
      <c r="A12" s="370"/>
      <c r="B12" s="447">
        <v>111</v>
      </c>
      <c r="C12" s="3227" t="s">
        <v>3935</v>
      </c>
      <c r="D12" s="372">
        <v>100</v>
      </c>
      <c r="E12" s="3227" t="s">
        <v>3934</v>
      </c>
      <c r="F12" s="119">
        <f>SUMIF(71:71,E12,72:72)-SUMIF(71:71,C12,72:72)+100</f>
        <v>100</v>
      </c>
      <c r="G12" s="3223" t="s">
        <v>3934</v>
      </c>
      <c r="H12" s="119">
        <f>SUMIF(71:71,G12,72:72)-SUMIF(71:71,C12,72:72)+100</f>
        <v>100</v>
      </c>
      <c r="I12" s="3227" t="s">
        <v>3933</v>
      </c>
      <c r="J12" s="119">
        <f>SUMIF(71:71,I12,72:72)-SUMIF(71:71,C12,72:72)+100</f>
        <v>100</v>
      </c>
      <c r="K12" s="539"/>
      <c r="L12" s="2484"/>
      <c r="M12" s="2436"/>
      <c r="N12" s="2436"/>
      <c r="O12" s="2436"/>
      <c r="P12" s="346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6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6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802">
        <f t="shared" si="5"/>
        <v>1</v>
      </c>
    </row>
    <row r="15" spans="1:29" ht="138">
      <c r="A15" s="379" t="s">
        <v>1690</v>
      </c>
      <c r="B15" s="554" t="s">
        <v>1811</v>
      </c>
      <c r="C15" s="1810" t="str">
        <f>估价对象房地状况!C5</f>
        <v>估价对象位于东二环至东三环，周边有首创大厦、鸿晟国际中心、美惠大厦、港澳中心、五矿大厦等办公楼项目较多，入驻率高，办公集聚程度较好</v>
      </c>
      <c r="D15" s="380">
        <v>100</v>
      </c>
      <c r="E15" s="3228" t="s">
        <v>3999</v>
      </c>
      <c r="F15" s="380">
        <f>SUMIF(77:77,E16,78:78)-SUMIF(77:77,C16,78:78)+100</f>
        <v>97</v>
      </c>
      <c r="G15" s="3226" t="s">
        <v>3972</v>
      </c>
      <c r="H15" s="380">
        <f>SUMIF(77:77,G16,78:78)-SUMIF(77:77,C16,78:78)+100</f>
        <v>97</v>
      </c>
      <c r="I15" s="3226" t="s">
        <v>3981</v>
      </c>
      <c r="J15" s="380">
        <f>SUMIF(77:77,I16,78:78)-SUMIF(77:77,C16,78:78)+100</f>
        <v>100</v>
      </c>
      <c r="K15" s="540">
        <v>3</v>
      </c>
      <c r="L15" s="2488"/>
      <c r="M15" s="2483"/>
      <c r="N15" s="2483"/>
      <c r="O15" s="2483"/>
      <c r="P15" s="3464" t="s">
        <v>1691</v>
      </c>
      <c r="Q15" s="1262" t="str">
        <f t="shared" si="6"/>
        <v>办公集聚程度</v>
      </c>
      <c r="R15" s="667" t="s">
        <v>14</v>
      </c>
      <c r="S15" s="668">
        <f t="shared" si="0"/>
        <v>97</v>
      </c>
      <c r="T15" s="667" t="s">
        <v>14</v>
      </c>
      <c r="U15" s="668">
        <f t="shared" si="1"/>
        <v>97</v>
      </c>
      <c r="V15" s="667" t="s">
        <v>14</v>
      </c>
      <c r="W15" s="668">
        <f t="shared" si="2"/>
        <v>100</v>
      </c>
      <c r="X15" s="1264"/>
      <c r="Y15" s="3466" t="s">
        <v>1691</v>
      </c>
      <c r="Z15" s="1263" t="str">
        <f t="shared" si="7"/>
        <v>办公集聚程度</v>
      </c>
      <c r="AA15" s="1263">
        <f t="shared" si="3"/>
        <v>1.0309278350515463</v>
      </c>
      <c r="AB15" s="1263">
        <f t="shared" si="4"/>
        <v>1.0309278350515463</v>
      </c>
      <c r="AC15" s="1811">
        <f t="shared" si="5"/>
        <v>1</v>
      </c>
    </row>
    <row r="16" spans="1:29" ht="15">
      <c r="A16" s="367"/>
      <c r="B16" s="555"/>
      <c r="C16" s="1757" t="s">
        <v>3454</v>
      </c>
      <c r="D16" s="387"/>
      <c r="E16" s="386" t="s">
        <v>3949</v>
      </c>
      <c r="F16" s="387"/>
      <c r="G16" s="1757" t="s">
        <v>3949</v>
      </c>
      <c r="H16" s="389"/>
      <c r="I16" s="1757" t="s">
        <v>3454</v>
      </c>
      <c r="J16" s="387"/>
      <c r="K16" s="541"/>
      <c r="L16" s="2488"/>
      <c r="M16" s="2483"/>
      <c r="N16" s="2483"/>
      <c r="O16" s="2483"/>
      <c r="P16" s="3465"/>
      <c r="Q16" s="1262"/>
      <c r="R16" s="667"/>
      <c r="S16" s="668"/>
      <c r="T16" s="667"/>
      <c r="U16" s="668"/>
      <c r="V16" s="667"/>
      <c r="W16" s="668"/>
      <c r="X16" s="1264"/>
      <c r="Y16" s="3467"/>
      <c r="Z16" s="1263"/>
      <c r="AA16" s="1263">
        <v>1</v>
      </c>
      <c r="AB16" s="1263">
        <v>1</v>
      </c>
      <c r="AC16" s="1811">
        <v>1</v>
      </c>
    </row>
    <row r="17" spans="1:29" ht="151.80000000000001">
      <c r="A17" s="367"/>
      <c r="B17" s="556" t="s">
        <v>1259</v>
      </c>
      <c r="C17" s="1812" t="str">
        <f>估价对象房地状况!C6</f>
        <v>估价对象临城市快速路——东二环，公交：44、75、142、200，距地铁2号线、3号线东四十条站约352米，项目内部有停车位，停车便捷程度较好，综合评价交通便捷度较好</v>
      </c>
      <c r="D17" s="389">
        <v>100</v>
      </c>
      <c r="E17" s="3233" t="s">
        <v>4000</v>
      </c>
      <c r="F17" s="389">
        <f>SUMIF(79:79,E18,80:80)-SUMIF(79:79,C18,80:80)+100</f>
        <v>98</v>
      </c>
      <c r="G17" s="3232" t="s">
        <v>3973</v>
      </c>
      <c r="H17" s="394">
        <f>SUMIF(79:79,G18,80:80)-SUMIF(79:79,C18,80:80)+100</f>
        <v>98</v>
      </c>
      <c r="I17" s="3232" t="s">
        <v>3982</v>
      </c>
      <c r="J17" s="394">
        <f>SUMIF(79:79,I18,80:80)-SUMIF(79:79,C18,80:80)+100</f>
        <v>100</v>
      </c>
      <c r="K17" s="540">
        <v>2</v>
      </c>
      <c r="L17" s="2488"/>
      <c r="M17" s="2483"/>
      <c r="N17" s="2483"/>
      <c r="O17" s="2483"/>
      <c r="P17" s="3465"/>
      <c r="Q17" s="1262" t="str">
        <f>B17</f>
        <v>交通便捷度</v>
      </c>
      <c r="R17" s="667" t="s">
        <v>14</v>
      </c>
      <c r="S17" s="668">
        <f>F17</f>
        <v>98</v>
      </c>
      <c r="T17" s="667" t="s">
        <v>14</v>
      </c>
      <c r="U17" s="668">
        <f>H17</f>
        <v>98</v>
      </c>
      <c r="V17" s="667" t="s">
        <v>14</v>
      </c>
      <c r="W17" s="668">
        <f>J17</f>
        <v>100</v>
      </c>
      <c r="X17" s="1264"/>
      <c r="Y17" s="3467"/>
      <c r="Z17" s="1263" t="str">
        <f>Q17</f>
        <v>交通便捷度</v>
      </c>
      <c r="AA17" s="1263">
        <f t="shared" si="3"/>
        <v>1.0204081632653061</v>
      </c>
      <c r="AB17" s="1263">
        <f t="shared" si="4"/>
        <v>1.0204081632653061</v>
      </c>
      <c r="AC17" s="1811">
        <f t="shared" si="5"/>
        <v>1</v>
      </c>
    </row>
    <row r="18" spans="1:29" ht="15">
      <c r="A18" s="367"/>
      <c r="B18" s="401"/>
      <c r="C18" s="1813" t="s">
        <v>3454</v>
      </c>
      <c r="D18" s="389"/>
      <c r="E18" s="1755" t="s">
        <v>3949</v>
      </c>
      <c r="F18" s="389"/>
      <c r="G18" s="1757" t="s">
        <v>3949</v>
      </c>
      <c r="H18" s="387"/>
      <c r="I18" s="1757" t="s">
        <v>3454</v>
      </c>
      <c r="J18" s="387"/>
      <c r="K18" s="541"/>
      <c r="L18" s="2488"/>
      <c r="M18" s="2483"/>
      <c r="N18" s="2483"/>
      <c r="O18" s="2483"/>
      <c r="P18" s="3465"/>
      <c r="Q18" s="1262"/>
      <c r="R18" s="667"/>
      <c r="S18" s="668"/>
      <c r="T18" s="667"/>
      <c r="U18" s="668"/>
      <c r="V18" s="667"/>
      <c r="W18" s="668"/>
      <c r="X18" s="1264"/>
      <c r="Y18" s="3467"/>
      <c r="Z18" s="1263"/>
      <c r="AA18" s="1263">
        <v>1</v>
      </c>
      <c r="AB18" s="1263">
        <v>1</v>
      </c>
      <c r="AC18" s="1811">
        <v>1</v>
      </c>
    </row>
    <row r="19" spans="1:29" ht="187.2">
      <c r="A19" s="367"/>
      <c r="B19" s="556" t="s">
        <v>1812</v>
      </c>
      <c r="C19" s="1812" t="str">
        <f>估价对象房地状况!C7</f>
        <v>估价对象所在区域公共配套设施齐备情况：商场（东环广场、</v>
      </c>
      <c r="D19" s="394">
        <v>100</v>
      </c>
      <c r="E19" s="3230" t="s">
        <v>3978</v>
      </c>
      <c r="F19" s="394">
        <f>SUMIF(81:81,E20,82:82)-SUMIF(81:81,C20,82:82)+100</f>
        <v>98</v>
      </c>
      <c r="G19" s="3236" t="s">
        <v>3974</v>
      </c>
      <c r="H19" s="389">
        <f>SUMIF(81:81,G20,82:82)-SUMIF(81:81,C20,82:82)+100</f>
        <v>98</v>
      </c>
      <c r="I19" s="3236" t="s">
        <v>3983</v>
      </c>
      <c r="J19" s="389">
        <f>SUMIF(81:81,I20,82:82)-SUMIF(81:81,C20,82:82)+100</f>
        <v>100</v>
      </c>
      <c r="K19" s="540">
        <v>2</v>
      </c>
      <c r="L19" s="2488"/>
      <c r="M19" s="2483"/>
      <c r="N19" s="2483"/>
      <c r="O19" s="2483"/>
      <c r="P19" s="3465"/>
      <c r="Q19" s="1262" t="str">
        <f>B19</f>
        <v>公共配套设施</v>
      </c>
      <c r="R19" s="667" t="s">
        <v>14</v>
      </c>
      <c r="S19" s="668">
        <f>F19</f>
        <v>98</v>
      </c>
      <c r="T19" s="667" t="s">
        <v>14</v>
      </c>
      <c r="U19" s="668">
        <f>H19</f>
        <v>98</v>
      </c>
      <c r="V19" s="667" t="s">
        <v>14</v>
      </c>
      <c r="W19" s="668">
        <f>J19</f>
        <v>100</v>
      </c>
      <c r="X19" s="1264"/>
      <c r="Y19" s="3467"/>
      <c r="Z19" s="1263" t="str">
        <f>Q19</f>
        <v>公共配套设施</v>
      </c>
      <c r="AA19" s="1263">
        <f t="shared" si="3"/>
        <v>1.0204081632653061</v>
      </c>
      <c r="AB19" s="1263">
        <f t="shared" si="4"/>
        <v>1.0204081632653061</v>
      </c>
      <c r="AC19" s="1811">
        <f t="shared" si="5"/>
        <v>1</v>
      </c>
    </row>
    <row r="20" spans="1:29" ht="15">
      <c r="A20" s="367"/>
      <c r="B20" s="401"/>
      <c r="C20" s="1757" t="s">
        <v>3454</v>
      </c>
      <c r="D20" s="387"/>
      <c r="E20" s="3235" t="s">
        <v>3979</v>
      </c>
      <c r="F20" s="387"/>
      <c r="G20" s="1757" t="s">
        <v>3949</v>
      </c>
      <c r="H20" s="387"/>
      <c r="I20" s="1757" t="s">
        <v>3454</v>
      </c>
      <c r="J20" s="387"/>
      <c r="K20" s="541"/>
      <c r="L20" s="2488"/>
      <c r="M20" s="2483"/>
      <c r="N20" s="2483"/>
      <c r="O20" s="2483"/>
      <c r="P20" s="3465"/>
      <c r="Q20" s="1262"/>
      <c r="R20" s="667"/>
      <c r="S20" s="668"/>
      <c r="T20" s="667"/>
      <c r="U20" s="668"/>
      <c r="V20" s="667"/>
      <c r="W20" s="668"/>
      <c r="X20" s="1264"/>
      <c r="Y20" s="346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65"/>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811">
        <f t="shared" ref="AC21" si="10">D21/J21</f>
        <v>1</v>
      </c>
    </row>
    <row r="22" spans="1:29" ht="15">
      <c r="A22" s="367"/>
      <c r="B22" s="557"/>
      <c r="C22" s="1813" t="s">
        <v>3937</v>
      </c>
      <c r="D22" s="387"/>
      <c r="E22" s="386" t="s">
        <v>3937</v>
      </c>
      <c r="F22" s="387"/>
      <c r="G22" s="386" t="s">
        <v>3937</v>
      </c>
      <c r="H22" s="387"/>
      <c r="I22" s="386" t="s">
        <v>3937</v>
      </c>
      <c r="J22" s="387"/>
      <c r="K22" s="1064"/>
      <c r="L22" s="2488"/>
      <c r="M22" s="2483"/>
      <c r="N22" s="2483"/>
      <c r="O22" s="2483"/>
      <c r="P22" s="3465"/>
      <c r="Q22" s="1262"/>
      <c r="R22" s="667"/>
      <c r="S22" s="668"/>
      <c r="T22" s="667"/>
      <c r="U22" s="668"/>
      <c r="V22" s="667"/>
      <c r="W22" s="668"/>
      <c r="X22" s="1264"/>
      <c r="Y22" s="3467"/>
      <c r="Z22" s="1263"/>
      <c r="AA22" s="1263">
        <v>1</v>
      </c>
      <c r="AB22" s="1263">
        <v>1</v>
      </c>
      <c r="AC22" s="1811">
        <v>1</v>
      </c>
    </row>
    <row r="23" spans="1:29" ht="220.8">
      <c r="A23" s="367"/>
      <c r="B23" s="556" t="s">
        <v>1814</v>
      </c>
      <c r="C23" s="1812"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220" t="s">
        <v>3950</v>
      </c>
      <c r="F23" s="389">
        <f>SUMIF(85:85,E24,86:86)-SUMIF(85:85,C24,86:86)+100</f>
        <v>98</v>
      </c>
      <c r="G23" s="3232" t="s">
        <v>3975</v>
      </c>
      <c r="H23" s="389">
        <f>SUMIF(85:85,G24,86:86)-SUMIF(85:85,C24,86:86)+100</f>
        <v>98</v>
      </c>
      <c r="I23" s="3237" t="s">
        <v>3984</v>
      </c>
      <c r="J23" s="389">
        <f>SUMIF(85:85,I24,86:86)-SUMIF(85:85,C24,86:86)+100</f>
        <v>100</v>
      </c>
      <c r="K23" s="540">
        <v>2</v>
      </c>
      <c r="L23" s="2488"/>
      <c r="M23" s="2483"/>
      <c r="N23" s="2483"/>
      <c r="O23" s="2483"/>
      <c r="P23" s="3465"/>
      <c r="Q23" s="1262" t="str">
        <f>B23</f>
        <v>环境质量</v>
      </c>
      <c r="R23" s="667" t="s">
        <v>14</v>
      </c>
      <c r="S23" s="668">
        <f>F23</f>
        <v>98</v>
      </c>
      <c r="T23" s="667" t="s">
        <v>14</v>
      </c>
      <c r="U23" s="668">
        <f>H23</f>
        <v>98</v>
      </c>
      <c r="V23" s="667" t="s">
        <v>14</v>
      </c>
      <c r="W23" s="668">
        <f>J23</f>
        <v>100</v>
      </c>
      <c r="X23" s="1264"/>
      <c r="Y23" s="3467"/>
      <c r="Z23" s="1263" t="str">
        <f>Q23</f>
        <v>环境质量</v>
      </c>
      <c r="AA23" s="1263">
        <f t="shared" si="3"/>
        <v>1.0204081632653061</v>
      </c>
      <c r="AB23" s="1263">
        <f t="shared" si="4"/>
        <v>1.0204081632653061</v>
      </c>
      <c r="AC23" s="1811">
        <f t="shared" si="5"/>
        <v>1</v>
      </c>
    </row>
    <row r="24" spans="1:29" ht="15">
      <c r="A24" s="367"/>
      <c r="B24" s="557"/>
      <c r="C24" s="1757" t="s">
        <v>3454</v>
      </c>
      <c r="D24" s="387"/>
      <c r="E24" s="1750" t="s">
        <v>3949</v>
      </c>
      <c r="F24" s="387"/>
      <c r="G24" s="1757" t="s">
        <v>3949</v>
      </c>
      <c r="H24" s="387"/>
      <c r="I24" s="1757" t="s">
        <v>3454</v>
      </c>
      <c r="J24" s="387"/>
      <c r="K24" s="541"/>
      <c r="L24" s="2488"/>
      <c r="M24" s="2483"/>
      <c r="N24" s="2483"/>
      <c r="O24" s="2483"/>
      <c r="P24" s="3465"/>
      <c r="Q24" s="1262"/>
      <c r="R24" s="667"/>
      <c r="S24" s="668"/>
      <c r="T24" s="667"/>
      <c r="U24" s="668"/>
      <c r="V24" s="667"/>
      <c r="W24" s="668"/>
      <c r="X24" s="1264"/>
      <c r="Y24" s="346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65"/>
      <c r="Q25" s="1262" t="str">
        <f>B25</f>
        <v>毗邻道路的类型与等级</v>
      </c>
      <c r="R25" s="667" t="s">
        <v>14</v>
      </c>
      <c r="S25" s="668">
        <f>F25</f>
        <v>100</v>
      </c>
      <c r="T25" s="667" t="s">
        <v>14</v>
      </c>
      <c r="U25" s="668">
        <f>H25</f>
        <v>100</v>
      </c>
      <c r="V25" s="667" t="s">
        <v>14</v>
      </c>
      <c r="W25" s="668">
        <f>J25</f>
        <v>100</v>
      </c>
      <c r="X25" s="1264"/>
      <c r="Y25" s="346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65"/>
      <c r="Q26" s="1262"/>
      <c r="R26" s="667"/>
      <c r="S26" s="668"/>
      <c r="T26" s="667"/>
      <c r="U26" s="668"/>
      <c r="V26" s="667"/>
      <c r="W26" s="668"/>
      <c r="X26" s="1264"/>
      <c r="Y26" s="346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65"/>
      <c r="Q27" s="1262" t="str">
        <f t="shared" ref="Q27:Q47" si="11">B27</f>
        <v>楼层</v>
      </c>
      <c r="R27" s="667" t="s">
        <v>14</v>
      </c>
      <c r="S27" s="668">
        <f>F27</f>
        <v>100</v>
      </c>
      <c r="T27" s="667" t="s">
        <v>14</v>
      </c>
      <c r="U27" s="668">
        <f>H27</f>
        <v>100</v>
      </c>
      <c r="V27" s="667" t="s">
        <v>14</v>
      </c>
      <c r="W27" s="668">
        <f>J27</f>
        <v>100</v>
      </c>
      <c r="X27" s="1264"/>
      <c r="Y27" s="346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65"/>
      <c r="Q28" s="530" t="str">
        <f t="shared" si="11"/>
        <v>朝向</v>
      </c>
      <c r="R28" s="664" t="s">
        <v>14</v>
      </c>
      <c r="S28" s="665">
        <f>F28</f>
        <v>100</v>
      </c>
      <c r="T28" s="664" t="s">
        <v>14</v>
      </c>
      <c r="U28" s="665">
        <f>H28</f>
        <v>100</v>
      </c>
      <c r="V28" s="664" t="s">
        <v>14</v>
      </c>
      <c r="W28" s="665">
        <f>J28</f>
        <v>100</v>
      </c>
      <c r="X28" s="666"/>
      <c r="Y28" s="346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65"/>
      <c r="Q29" s="1262">
        <f t="shared" si="11"/>
        <v>111</v>
      </c>
      <c r="R29" s="667" t="s">
        <v>14</v>
      </c>
      <c r="S29" s="668">
        <f t="shared" ref="S29:S47" si="12">F29</f>
        <v>100</v>
      </c>
      <c r="T29" s="667" t="s">
        <v>14</v>
      </c>
      <c r="U29" s="668">
        <f t="shared" ref="U29:U47" si="13">H29</f>
        <v>100</v>
      </c>
      <c r="V29" s="667" t="s">
        <v>14</v>
      </c>
      <c r="W29" s="668">
        <f t="shared" ref="W29:W47" si="14">J29</f>
        <v>100</v>
      </c>
      <c r="X29" s="1264"/>
      <c r="Y29" s="346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65"/>
      <c r="Q30" s="1262">
        <f t="shared" si="11"/>
        <v>111</v>
      </c>
      <c r="R30" s="667" t="s">
        <v>14</v>
      </c>
      <c r="S30" s="668">
        <f t="shared" si="12"/>
        <v>100</v>
      </c>
      <c r="T30" s="667" t="s">
        <v>14</v>
      </c>
      <c r="U30" s="668">
        <f t="shared" si="13"/>
        <v>100</v>
      </c>
      <c r="V30" s="667" t="s">
        <v>14</v>
      </c>
      <c r="W30" s="668">
        <f t="shared" si="14"/>
        <v>100</v>
      </c>
      <c r="X30" s="1264"/>
      <c r="Y30" s="346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65"/>
      <c r="Q31" s="1262">
        <f t="shared" si="11"/>
        <v>111</v>
      </c>
      <c r="R31" s="667" t="s">
        <v>14</v>
      </c>
      <c r="S31" s="668">
        <f t="shared" si="12"/>
        <v>100</v>
      </c>
      <c r="T31" s="667" t="s">
        <v>14</v>
      </c>
      <c r="U31" s="668">
        <f t="shared" si="13"/>
        <v>100</v>
      </c>
      <c r="V31" s="667" t="s">
        <v>14</v>
      </c>
      <c r="W31" s="668">
        <f t="shared" si="14"/>
        <v>100</v>
      </c>
      <c r="X31" s="1264"/>
      <c r="Y31" s="346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65"/>
      <c r="Q32" s="1262">
        <f t="shared" si="11"/>
        <v>111</v>
      </c>
      <c r="R32" s="667" t="s">
        <v>14</v>
      </c>
      <c r="S32" s="668">
        <f t="shared" si="12"/>
        <v>100</v>
      </c>
      <c r="T32" s="667" t="s">
        <v>14</v>
      </c>
      <c r="U32" s="668">
        <f t="shared" si="13"/>
        <v>100</v>
      </c>
      <c r="V32" s="667" t="s">
        <v>14</v>
      </c>
      <c r="W32" s="668">
        <f t="shared" si="14"/>
        <v>100</v>
      </c>
      <c r="X32" s="1264"/>
      <c r="Y32" s="3467"/>
      <c r="Z32" s="1263">
        <f t="shared" si="15"/>
        <v>111</v>
      </c>
      <c r="AA32" s="1263">
        <f t="shared" si="3"/>
        <v>1</v>
      </c>
      <c r="AB32" s="1263">
        <f t="shared" si="4"/>
        <v>1</v>
      </c>
      <c r="AC32" s="1811">
        <f t="shared" si="5"/>
        <v>1</v>
      </c>
    </row>
    <row r="33" spans="1:29" ht="15">
      <c r="A33" s="379" t="s">
        <v>1694</v>
      </c>
      <c r="B33" s="60" t="s">
        <v>1817</v>
      </c>
      <c r="C33" s="1763" t="s">
        <v>3409</v>
      </c>
      <c r="D33" s="405">
        <v>100</v>
      </c>
      <c r="E33" s="1763" t="s">
        <v>3409</v>
      </c>
      <c r="F33" s="400">
        <f>SUMIF(101:101,E33,102:102)-SUMIF(101:101,C33,102:102)+100</f>
        <v>100</v>
      </c>
      <c r="G33" s="1763" t="s">
        <v>3409</v>
      </c>
      <c r="H33" s="374">
        <f>SUMIF(101:101,G33,102:102)-SUMIF(101:101,C33,102:102)+100</f>
        <v>100</v>
      </c>
      <c r="I33" s="1763" t="s">
        <v>3409</v>
      </c>
      <c r="J33" s="405">
        <f>SUMIF(101:101,I33,102:102)-SUMIF(101:101,C33,102:102)+100</f>
        <v>100</v>
      </c>
      <c r="K33" s="538">
        <v>5</v>
      </c>
      <c r="L33" s="2488"/>
      <c r="M33" s="2483"/>
      <c r="N33" s="2483"/>
      <c r="O33" s="2483"/>
      <c r="P33" s="3468" t="s">
        <v>1696</v>
      </c>
      <c r="Q33" s="1262" t="str">
        <f t="shared" si="11"/>
        <v>建筑类型</v>
      </c>
      <c r="R33" s="667" t="s">
        <v>14</v>
      </c>
      <c r="S33" s="668">
        <f t="shared" si="12"/>
        <v>100</v>
      </c>
      <c r="T33" s="667" t="s">
        <v>14</v>
      </c>
      <c r="U33" s="668">
        <f t="shared" si="13"/>
        <v>100</v>
      </c>
      <c r="V33" s="667" t="s">
        <v>14</v>
      </c>
      <c r="W33" s="668">
        <f t="shared" si="14"/>
        <v>100</v>
      </c>
      <c r="X33" s="1264"/>
      <c r="Y33" s="3471"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12000.23</v>
      </c>
      <c r="D34" s="119">
        <v>100</v>
      </c>
      <c r="E34" s="369">
        <f>比较法大宗案例!E5</f>
        <v>19608.829999999994</v>
      </c>
      <c r="F34" s="364">
        <f>LOOKUP(E34,104:104,105:105)-LOOKUP(C34,104:104,105:105)+100</f>
        <v>100</v>
      </c>
      <c r="G34" s="368">
        <f>比较法大宗案例!E3</f>
        <v>16877.499999999996</v>
      </c>
      <c r="H34" s="119">
        <f>LOOKUP(G34,104:104,105:105)-LOOKUP(C34,104:104,105:105)+100</f>
        <v>100</v>
      </c>
      <c r="I34" s="368">
        <f>比较法大宗案例!N7</f>
        <v>58239.38</v>
      </c>
      <c r="J34" s="119">
        <f>LOOKUP(I34,104:104,105:105)-LOOKUP(C34,104:104,105:105)+100</f>
        <v>98</v>
      </c>
      <c r="K34" s="539"/>
      <c r="L34" s="2487"/>
      <c r="M34" s="2489"/>
      <c r="N34" s="2489"/>
      <c r="O34" s="2489"/>
      <c r="P34" s="3469"/>
      <c r="Q34" s="531" t="str">
        <f t="shared" si="11"/>
        <v>项目建筑规模</v>
      </c>
      <c r="R34" s="669" t="s">
        <v>14</v>
      </c>
      <c r="S34" s="670">
        <f t="shared" si="12"/>
        <v>100</v>
      </c>
      <c r="T34" s="669" t="s">
        <v>14</v>
      </c>
      <c r="U34" s="670">
        <f t="shared" si="13"/>
        <v>100</v>
      </c>
      <c r="V34" s="669" t="s">
        <v>14</v>
      </c>
      <c r="W34" s="670">
        <f t="shared" si="14"/>
        <v>98</v>
      </c>
      <c r="X34" s="671"/>
      <c r="Y34" s="3471"/>
      <c r="Z34" s="672" t="str">
        <f t="shared" si="15"/>
        <v>项目建筑规模</v>
      </c>
      <c r="AA34" s="1263">
        <f t="shared" si="3"/>
        <v>1</v>
      </c>
      <c r="AB34" s="1263">
        <f t="shared" si="4"/>
        <v>1</v>
      </c>
      <c r="AC34" s="1811">
        <f t="shared" si="5"/>
        <v>1.0204081632653061</v>
      </c>
    </row>
    <row r="35" spans="1:29" ht="15">
      <c r="A35" s="409"/>
      <c r="B35" s="364" t="s">
        <v>1698</v>
      </c>
      <c r="C35" s="399" t="s">
        <v>3469</v>
      </c>
      <c r="D35" s="374">
        <v>100</v>
      </c>
      <c r="E35" s="399" t="s">
        <v>3469</v>
      </c>
      <c r="F35" s="400">
        <f>SUMIF(106:106,E35,107:107)-SUMIF(106:106,C35,107:107)+100</f>
        <v>100</v>
      </c>
      <c r="G35" s="399" t="s">
        <v>3469</v>
      </c>
      <c r="H35" s="374">
        <f>SUMIF(106:106,G35,107:107)-SUMIF(106:106,C35,107:107)+100</f>
        <v>100</v>
      </c>
      <c r="I35" s="399" t="s">
        <v>3469</v>
      </c>
      <c r="J35" s="374">
        <f>SUMIF(106:106,I35,107:107)-SUMIF(106:106,C35,107:107)+100</f>
        <v>100</v>
      </c>
      <c r="K35" s="538">
        <v>2</v>
      </c>
      <c r="L35" s="2488"/>
      <c r="M35" s="2483"/>
      <c r="N35" s="2483"/>
      <c r="O35" s="2483"/>
      <c r="P35" s="3469"/>
      <c r="Q35" s="1262" t="str">
        <f t="shared" si="11"/>
        <v>建筑结构</v>
      </c>
      <c r="R35" s="667" t="s">
        <v>14</v>
      </c>
      <c r="S35" s="668">
        <f t="shared" si="12"/>
        <v>100</v>
      </c>
      <c r="T35" s="667" t="s">
        <v>14</v>
      </c>
      <c r="U35" s="668">
        <f t="shared" si="13"/>
        <v>100</v>
      </c>
      <c r="V35" s="667" t="s">
        <v>14</v>
      </c>
      <c r="W35" s="668">
        <f t="shared" si="14"/>
        <v>100</v>
      </c>
      <c r="X35" s="1264"/>
      <c r="Y35" s="347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69"/>
      <c r="Q36" s="1262" t="str">
        <f t="shared" si="11"/>
        <v>公共部分装修</v>
      </c>
      <c r="R36" s="667" t="s">
        <v>14</v>
      </c>
      <c r="S36" s="668">
        <f t="shared" si="12"/>
        <v>100</v>
      </c>
      <c r="T36" s="667" t="s">
        <v>14</v>
      </c>
      <c r="U36" s="668">
        <f t="shared" si="13"/>
        <v>100</v>
      </c>
      <c r="V36" s="667" t="s">
        <v>14</v>
      </c>
      <c r="W36" s="668">
        <f t="shared" si="14"/>
        <v>100</v>
      </c>
      <c r="X36" s="1264"/>
      <c r="Y36" s="3471"/>
      <c r="Z36" s="1263" t="str">
        <f t="shared" si="15"/>
        <v>公共部分装修</v>
      </c>
      <c r="AA36" s="1263">
        <f t="shared" si="3"/>
        <v>1</v>
      </c>
      <c r="AB36" s="1263">
        <f t="shared" si="4"/>
        <v>1</v>
      </c>
      <c r="AC36" s="1811">
        <f t="shared" si="5"/>
        <v>1</v>
      </c>
    </row>
    <row r="37" spans="1:29" ht="15">
      <c r="A37" s="409"/>
      <c r="B37" s="364" t="s">
        <v>1786</v>
      </c>
      <c r="C37" s="411">
        <f>'数据-取费表'!Y6</f>
        <v>0.71</v>
      </c>
      <c r="D37" s="374">
        <v>100</v>
      </c>
      <c r="E37" s="411">
        <f>比较法大宗案例!L5</f>
        <v>0.92</v>
      </c>
      <c r="F37" s="400">
        <f>LOOKUP(E37,111:111,112:112)-LOOKUP(C37,111:111,112:112)+100</f>
        <v>102</v>
      </c>
      <c r="G37" s="411">
        <f>比较法大宗案例!L3</f>
        <v>0.93</v>
      </c>
      <c r="H37" s="400">
        <f>LOOKUP(G37,111:111,112:112)-LOOKUP(C37,111:111,112:112)+100</f>
        <v>102</v>
      </c>
      <c r="I37" s="411">
        <f>比较法大宗案例!P7</f>
        <v>0.86</v>
      </c>
      <c r="J37" s="374">
        <f>LOOKUP(I37,111:111,112:112)-LOOKUP(C37,111:111,112:112)+100</f>
        <v>101</v>
      </c>
      <c r="K37" s="538">
        <v>1</v>
      </c>
      <c r="L37" s="2488"/>
      <c r="M37" s="2483"/>
      <c r="N37" s="2483"/>
      <c r="O37" s="2483"/>
      <c r="P37" s="3469"/>
      <c r="Q37" s="1262" t="str">
        <f t="shared" si="11"/>
        <v>成新度</v>
      </c>
      <c r="R37" s="667" t="s">
        <v>14</v>
      </c>
      <c r="S37" s="668">
        <f t="shared" si="12"/>
        <v>102</v>
      </c>
      <c r="T37" s="667" t="s">
        <v>14</v>
      </c>
      <c r="U37" s="668">
        <f t="shared" si="13"/>
        <v>102</v>
      </c>
      <c r="V37" s="667" t="s">
        <v>14</v>
      </c>
      <c r="W37" s="668">
        <f t="shared" si="14"/>
        <v>101</v>
      </c>
      <c r="X37" s="1264"/>
      <c r="Y37" s="3471"/>
      <c r="Z37" s="1263" t="str">
        <f t="shared" si="15"/>
        <v>成新度</v>
      </c>
      <c r="AA37" s="1263">
        <f t="shared" si="3"/>
        <v>0.98039215686274506</v>
      </c>
      <c r="AB37" s="1263">
        <f t="shared" si="4"/>
        <v>0.98039215686274506</v>
      </c>
      <c r="AC37" s="1811">
        <f t="shared" si="5"/>
        <v>0.99009900990099009</v>
      </c>
    </row>
    <row r="38" spans="1:29" s="102" customFormat="1" ht="15">
      <c r="A38" s="410"/>
      <c r="B38" s="364" t="s">
        <v>1818</v>
      </c>
      <c r="C38" s="399" t="s">
        <v>3957</v>
      </c>
      <c r="D38" s="119">
        <v>100</v>
      </c>
      <c r="E38" s="399" t="s">
        <v>3957</v>
      </c>
      <c r="F38" s="400">
        <f>SUMIF(113:113,E38,114:114)-SUMIF(113:113,C38,114:114)+100</f>
        <v>100</v>
      </c>
      <c r="G38" s="399" t="s">
        <v>3957</v>
      </c>
      <c r="H38" s="374">
        <f>SUMIF(113:113,G38,114:114)-SUMIF(113:113,C38,114:114)+100</f>
        <v>100</v>
      </c>
      <c r="I38" s="399" t="s">
        <v>3957</v>
      </c>
      <c r="J38" s="374">
        <f>SUMIF(113:113,I38,114:114)-SUMIF(113:113,C38,114:114)+100</f>
        <v>100</v>
      </c>
      <c r="K38" s="538">
        <v>2</v>
      </c>
      <c r="L38" s="2484"/>
      <c r="M38" s="2436"/>
      <c r="N38" s="2436"/>
      <c r="O38" s="2436"/>
      <c r="P38" s="3469"/>
      <c r="Q38" s="530" t="str">
        <f t="shared" si="11"/>
        <v>写字楼等级</v>
      </c>
      <c r="R38" s="664" t="s">
        <v>14</v>
      </c>
      <c r="S38" s="665">
        <f t="shared" si="12"/>
        <v>100</v>
      </c>
      <c r="T38" s="664" t="s">
        <v>14</v>
      </c>
      <c r="U38" s="665">
        <f t="shared" si="13"/>
        <v>100</v>
      </c>
      <c r="V38" s="664" t="s">
        <v>14</v>
      </c>
      <c r="W38" s="665">
        <f t="shared" si="14"/>
        <v>100</v>
      </c>
      <c r="X38" s="666"/>
      <c r="Y38" s="3471"/>
      <c r="Z38" s="50" t="str">
        <f t="shared" si="15"/>
        <v>写字楼等级</v>
      </c>
      <c r="AA38" s="50">
        <f t="shared" si="3"/>
        <v>1</v>
      </c>
      <c r="AB38" s="50">
        <f t="shared" si="4"/>
        <v>1</v>
      </c>
      <c r="AC38" s="802">
        <f t="shared" si="5"/>
        <v>1</v>
      </c>
    </row>
    <row r="39" spans="1:29" ht="15">
      <c r="A39" s="409"/>
      <c r="B39" s="364" t="s">
        <v>1819</v>
      </c>
      <c r="C39" s="399" t="s">
        <v>3962</v>
      </c>
      <c r="D39" s="374">
        <v>100</v>
      </c>
      <c r="E39" s="399" t="s">
        <v>3962</v>
      </c>
      <c r="F39" s="400">
        <f>SUMIF(115:115,E39,116:116)-SUMIF(115:115,C39,116:116)+100</f>
        <v>100</v>
      </c>
      <c r="G39" s="399" t="s">
        <v>3962</v>
      </c>
      <c r="H39" s="374">
        <f>SUMIF(115:115,G39,116:116)-SUMIF(115:115,C39,116:116)+100</f>
        <v>100</v>
      </c>
      <c r="I39" s="399" t="s">
        <v>3962</v>
      </c>
      <c r="J39" s="374">
        <f>SUMIF(115:115,I39,116:116)-SUMIF(115:115,C39,116:116)+100</f>
        <v>100</v>
      </c>
      <c r="K39" s="538">
        <v>2</v>
      </c>
      <c r="L39" s="2488"/>
      <c r="M39" s="2483"/>
      <c r="N39" s="2483"/>
      <c r="O39" s="2483"/>
      <c r="P39" s="3469" t="s">
        <v>1696</v>
      </c>
      <c r="Q39" s="1262" t="str">
        <f t="shared" si="11"/>
        <v>物业管理</v>
      </c>
      <c r="R39" s="667" t="s">
        <v>14</v>
      </c>
      <c r="S39" s="668">
        <f t="shared" si="12"/>
        <v>100</v>
      </c>
      <c r="T39" s="667" t="s">
        <v>14</v>
      </c>
      <c r="U39" s="668">
        <f t="shared" si="13"/>
        <v>100</v>
      </c>
      <c r="V39" s="667" t="s">
        <v>14</v>
      </c>
      <c r="W39" s="668">
        <f t="shared" si="14"/>
        <v>100</v>
      </c>
      <c r="X39" s="1264"/>
      <c r="Y39" s="3471" t="s">
        <v>1696</v>
      </c>
      <c r="Z39" s="1263" t="str">
        <f t="shared" si="15"/>
        <v>物业管理</v>
      </c>
      <c r="AA39" s="1263">
        <f t="shared" si="3"/>
        <v>1</v>
      </c>
      <c r="AB39" s="1263">
        <f t="shared" si="4"/>
        <v>1</v>
      </c>
      <c r="AC39" s="1811">
        <f t="shared" si="5"/>
        <v>1</v>
      </c>
    </row>
    <row r="40" spans="1:29" ht="15">
      <c r="A40" s="409"/>
      <c r="B40" s="364" t="s">
        <v>1787</v>
      </c>
      <c r="C40" s="399" t="s">
        <v>3968</v>
      </c>
      <c r="D40" s="374">
        <v>100</v>
      </c>
      <c r="E40" s="399" t="s">
        <v>3968</v>
      </c>
      <c r="F40" s="400">
        <f>SUMIF(117:117,E40,118:118)-SUMIF(117:117,C40,118:118)+100</f>
        <v>100</v>
      </c>
      <c r="G40" s="399" t="s">
        <v>3968</v>
      </c>
      <c r="H40" s="374">
        <f>SUMIF(117:117,G40,118:118)-SUMIF(117:117,C40,118:118)+100</f>
        <v>100</v>
      </c>
      <c r="I40" s="399" t="s">
        <v>3968</v>
      </c>
      <c r="J40" s="374">
        <f>SUMIF(117:117,I40,118:118)-SUMIF(117:117,C40,118:118)+100</f>
        <v>100</v>
      </c>
      <c r="K40" s="538">
        <v>1</v>
      </c>
      <c r="L40" s="2488"/>
      <c r="M40" s="2483"/>
      <c r="N40" s="2483"/>
      <c r="O40" s="2483"/>
      <c r="P40" s="3469"/>
      <c r="Q40" s="1262" t="str">
        <f t="shared" si="11"/>
        <v>市政基础设施</v>
      </c>
      <c r="R40" s="667" t="s">
        <v>14</v>
      </c>
      <c r="S40" s="668">
        <f t="shared" si="12"/>
        <v>100</v>
      </c>
      <c r="T40" s="667" t="s">
        <v>14</v>
      </c>
      <c r="U40" s="668">
        <f t="shared" si="13"/>
        <v>100</v>
      </c>
      <c r="V40" s="667" t="s">
        <v>14</v>
      </c>
      <c r="W40" s="668">
        <f t="shared" si="14"/>
        <v>100</v>
      </c>
      <c r="X40" s="1264"/>
      <c r="Y40" s="347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88"/>
      <c r="M41" s="2483"/>
      <c r="N41" s="2483"/>
      <c r="O41" s="2483"/>
      <c r="P41" s="3469"/>
      <c r="Q41" s="1262" t="str">
        <f t="shared" si="11"/>
        <v>层高</v>
      </c>
      <c r="R41" s="667" t="s">
        <v>14</v>
      </c>
      <c r="S41" s="668">
        <f t="shared" si="12"/>
        <v>100</v>
      </c>
      <c r="T41" s="667" t="s">
        <v>14</v>
      </c>
      <c r="U41" s="668">
        <f t="shared" si="13"/>
        <v>100</v>
      </c>
      <c r="V41" s="667" t="s">
        <v>14</v>
      </c>
      <c r="W41" s="668">
        <f t="shared" si="14"/>
        <v>100</v>
      </c>
      <c r="X41" s="1264"/>
      <c r="Y41" s="347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69"/>
      <c r="Q42" s="531" t="str">
        <f t="shared" si="11"/>
        <v>单套建筑面积</v>
      </c>
      <c r="R42" s="669" t="s">
        <v>14</v>
      </c>
      <c r="S42" s="670">
        <f t="shared" si="12"/>
        <v>100</v>
      </c>
      <c r="T42" s="669" t="s">
        <v>14</v>
      </c>
      <c r="U42" s="670">
        <f t="shared" si="13"/>
        <v>100</v>
      </c>
      <c r="V42" s="669" t="s">
        <v>14</v>
      </c>
      <c r="W42" s="670">
        <f t="shared" si="14"/>
        <v>100</v>
      </c>
      <c r="X42" s="671"/>
      <c r="Y42" s="3471"/>
      <c r="Z42" s="672" t="str">
        <f t="shared" si="15"/>
        <v>单套建筑面积</v>
      </c>
      <c r="AA42" s="1263">
        <f t="shared" si="3"/>
        <v>1</v>
      </c>
      <c r="AB42" s="1263">
        <f t="shared" si="4"/>
        <v>1</v>
      </c>
      <c r="AC42" s="1811">
        <f t="shared" si="5"/>
        <v>1</v>
      </c>
    </row>
    <row r="43" spans="1:29" ht="15">
      <c r="A43" s="409"/>
      <c r="B43" s="364" t="s">
        <v>1792</v>
      </c>
      <c r="C43" s="399" t="s">
        <v>3939</v>
      </c>
      <c r="D43" s="374">
        <v>100</v>
      </c>
      <c r="E43" s="399" t="s">
        <v>3913</v>
      </c>
      <c r="F43" s="400">
        <f>SUMIF(123:123,E43,124:124)-SUMIF(123:123,C43,124:124)+100</f>
        <v>97</v>
      </c>
      <c r="G43" s="399" t="s">
        <v>3941</v>
      </c>
      <c r="H43" s="374">
        <f>SUMIF(123:123,G43,124:124)-SUMIF(123:123,C43,124:124)+100</f>
        <v>99</v>
      </c>
      <c r="I43" s="399" t="s">
        <v>3939</v>
      </c>
      <c r="J43" s="374">
        <f>SUMIF(123:123,I43,124:124)-SUMIF(123:123,C43,124:124)+100</f>
        <v>100</v>
      </c>
      <c r="K43" s="538">
        <v>1</v>
      </c>
      <c r="L43" s="2488"/>
      <c r="M43" s="2483"/>
      <c r="N43" s="2483"/>
      <c r="O43" s="2483"/>
      <c r="P43" s="3469"/>
      <c r="Q43" s="1262" t="str">
        <f t="shared" si="11"/>
        <v>内部装修</v>
      </c>
      <c r="R43" s="667" t="s">
        <v>14</v>
      </c>
      <c r="S43" s="668">
        <f t="shared" si="12"/>
        <v>97</v>
      </c>
      <c r="T43" s="667" t="s">
        <v>14</v>
      </c>
      <c r="U43" s="668">
        <f t="shared" si="13"/>
        <v>99</v>
      </c>
      <c r="V43" s="667" t="s">
        <v>14</v>
      </c>
      <c r="W43" s="668">
        <f t="shared" si="14"/>
        <v>100</v>
      </c>
      <c r="X43" s="1264"/>
      <c r="Y43" s="3471"/>
      <c r="Z43" s="1263" t="str">
        <f t="shared" si="15"/>
        <v>内部装修</v>
      </c>
      <c r="AA43" s="1263">
        <f t="shared" si="3"/>
        <v>1.0309278350515463</v>
      </c>
      <c r="AB43" s="1263">
        <f t="shared" si="4"/>
        <v>1.0101010101010102</v>
      </c>
      <c r="AC43" s="1811">
        <f t="shared" si="5"/>
        <v>1</v>
      </c>
    </row>
    <row r="44" spans="1:29" ht="28.8">
      <c r="A44" s="409"/>
      <c r="B44" s="364" t="s">
        <v>1707</v>
      </c>
      <c r="C44" s="399" t="s">
        <v>3454</v>
      </c>
      <c r="D44" s="374">
        <v>100</v>
      </c>
      <c r="E44" s="399" t="s">
        <v>3454</v>
      </c>
      <c r="F44" s="400">
        <f>SUMIF(125:125,E44,126:126)-SUMIF(125:125,C44,126:126)+100</f>
        <v>100</v>
      </c>
      <c r="G44" s="399" t="s">
        <v>3454</v>
      </c>
      <c r="H44" s="374">
        <f>SUMIF(125:125,G44,126:126)-SUMIF(125:125,C44,126:126)+100</f>
        <v>100</v>
      </c>
      <c r="I44" s="399" t="s">
        <v>3454</v>
      </c>
      <c r="J44" s="374">
        <f>SUMIF(125:125,I44,126:126)-SUMIF(125:125,C44,126:126)+100</f>
        <v>100</v>
      </c>
      <c r="K44" s="538">
        <v>2</v>
      </c>
      <c r="L44" s="2488"/>
      <c r="M44" s="2483"/>
      <c r="N44" s="2483"/>
      <c r="O44" s="2483"/>
      <c r="P44" s="3469"/>
      <c r="Q44" s="1262" t="str">
        <f t="shared" si="11"/>
        <v>内部装修维护情况</v>
      </c>
      <c r="R44" s="667" t="s">
        <v>14</v>
      </c>
      <c r="S44" s="668">
        <f t="shared" si="12"/>
        <v>100</v>
      </c>
      <c r="T44" s="667" t="s">
        <v>14</v>
      </c>
      <c r="U44" s="668">
        <f t="shared" si="13"/>
        <v>100</v>
      </c>
      <c r="V44" s="667" t="s">
        <v>14</v>
      </c>
      <c r="W44" s="668">
        <f t="shared" si="14"/>
        <v>100</v>
      </c>
      <c r="X44" s="1264"/>
      <c r="Y44" s="3471"/>
      <c r="Z44" s="1263" t="str">
        <f t="shared" si="15"/>
        <v>内部装修维护情况</v>
      </c>
      <c r="AA44" s="1263">
        <f t="shared" si="3"/>
        <v>1</v>
      </c>
      <c r="AB44" s="1263">
        <f t="shared" si="4"/>
        <v>1</v>
      </c>
      <c r="AC44" s="1811">
        <f t="shared" si="5"/>
        <v>1</v>
      </c>
    </row>
    <row r="45" spans="1:29" s="102" customFormat="1" ht="15">
      <c r="A45" s="410"/>
      <c r="B45" s="1066">
        <v>111</v>
      </c>
      <c r="C45" s="407">
        <f>信息!D16</f>
        <v>0.19</v>
      </c>
      <c r="D45" s="119">
        <v>100</v>
      </c>
      <c r="E45" s="371">
        <v>0</v>
      </c>
      <c r="F45" s="364">
        <f>SUMIF(127:127,E45,128:128)-SUMIF(127:127,C45,128:128)+100</f>
        <v>100</v>
      </c>
      <c r="G45" s="371">
        <f>比较法大宗案例!G3</f>
        <v>0</v>
      </c>
      <c r="H45" s="119">
        <f>SUMIF(127:127,G45,128:128)-SUMIF(127:127,C45,128:128)+100</f>
        <v>100</v>
      </c>
      <c r="I45" s="371">
        <f>比较法大宗案例!M7</f>
        <v>0.23</v>
      </c>
      <c r="J45" s="119">
        <f>SUMIF(127:127,I45,128:128)-SUMIF(127:127,C45,128:128)+100</f>
        <v>100</v>
      </c>
      <c r="K45" s="539"/>
      <c r="L45" s="2484"/>
      <c r="M45" s="2436"/>
      <c r="N45" s="2436"/>
      <c r="O45" s="2436"/>
      <c r="P45" s="3469"/>
      <c r="Q45" s="530">
        <f t="shared" si="11"/>
        <v>111</v>
      </c>
      <c r="R45" s="664" t="s">
        <v>14</v>
      </c>
      <c r="S45" s="665">
        <f t="shared" si="12"/>
        <v>100</v>
      </c>
      <c r="T45" s="664" t="s">
        <v>14</v>
      </c>
      <c r="U45" s="665">
        <f t="shared" si="13"/>
        <v>100</v>
      </c>
      <c r="V45" s="664" t="s">
        <v>14</v>
      </c>
      <c r="W45" s="665">
        <f t="shared" si="14"/>
        <v>100</v>
      </c>
      <c r="X45" s="666"/>
      <c r="Y45" s="3471"/>
      <c r="Z45" s="50">
        <f t="shared" si="15"/>
        <v>111</v>
      </c>
      <c r="AA45" s="50">
        <f t="shared" si="3"/>
        <v>1</v>
      </c>
      <c r="AB45" s="50">
        <f t="shared" si="4"/>
        <v>1</v>
      </c>
      <c r="AC45" s="802">
        <f t="shared" si="5"/>
        <v>1</v>
      </c>
    </row>
    <row r="46" spans="1:29" ht="15">
      <c r="A46" s="409"/>
      <c r="B46" s="3222" t="s">
        <v>3951</v>
      </c>
      <c r="C46" s="3239" t="s">
        <v>3953</v>
      </c>
      <c r="D46" s="374">
        <v>100</v>
      </c>
      <c r="E46" s="371" t="s">
        <v>3952</v>
      </c>
      <c r="F46" s="400">
        <f>SUMIF(129:129,E46,130:130)-SUMIF(129:129,C46,130:130)+100</f>
        <v>103</v>
      </c>
      <c r="G46" s="371" t="s">
        <v>3952</v>
      </c>
      <c r="H46" s="374">
        <f>SUMIF(129:129,G46,130:130)-SUMIF(129:129,C46,130:130)+100</f>
        <v>103</v>
      </c>
      <c r="I46" s="371" t="s">
        <v>3954</v>
      </c>
      <c r="J46" s="374">
        <f>SUMIF(129:129,I46,130:130)-SUMIF(129:129,C46,130:130)+100</f>
        <v>97</v>
      </c>
      <c r="K46" s="539"/>
      <c r="L46" s="2488"/>
      <c r="M46" s="2483"/>
      <c r="N46" s="2483"/>
      <c r="O46" s="2483"/>
      <c r="P46" s="3469"/>
      <c r="Q46" s="1262" t="str">
        <f t="shared" si="11"/>
        <v>地下面积占比</v>
      </c>
      <c r="R46" s="667" t="s">
        <v>14</v>
      </c>
      <c r="S46" s="668">
        <f t="shared" si="12"/>
        <v>103</v>
      </c>
      <c r="T46" s="667" t="s">
        <v>14</v>
      </c>
      <c r="U46" s="668">
        <f t="shared" si="13"/>
        <v>103</v>
      </c>
      <c r="V46" s="667" t="s">
        <v>14</v>
      </c>
      <c r="W46" s="668">
        <f t="shared" si="14"/>
        <v>97</v>
      </c>
      <c r="X46" s="1264"/>
      <c r="Y46" s="3471"/>
      <c r="Z46" s="1263" t="str">
        <f t="shared" si="15"/>
        <v>地下面积占比</v>
      </c>
      <c r="AA46" s="1263">
        <f t="shared" si="3"/>
        <v>0.970873786407767</v>
      </c>
      <c r="AB46" s="1263">
        <f t="shared" si="4"/>
        <v>0.970873786407767</v>
      </c>
      <c r="AC46" s="1811">
        <f t="shared" si="5"/>
        <v>1.0309278350515463</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70"/>
      <c r="Q47" s="1262">
        <f t="shared" si="11"/>
        <v>111</v>
      </c>
      <c r="R47" s="667" t="s">
        <v>14</v>
      </c>
      <c r="S47" s="668">
        <f t="shared" si="12"/>
        <v>100</v>
      </c>
      <c r="T47" s="667" t="s">
        <v>14</v>
      </c>
      <c r="U47" s="668">
        <f t="shared" si="13"/>
        <v>100</v>
      </c>
      <c r="V47" s="667" t="s">
        <v>14</v>
      </c>
      <c r="W47" s="668">
        <f t="shared" si="14"/>
        <v>100</v>
      </c>
      <c r="X47" s="1264"/>
      <c r="Y47" s="3472"/>
      <c r="Z47" s="1263">
        <f t="shared" si="15"/>
        <v>111</v>
      </c>
      <c r="AA47" s="1263">
        <f t="shared" si="3"/>
        <v>1</v>
      </c>
      <c r="AB47" s="1263">
        <f t="shared" si="4"/>
        <v>1</v>
      </c>
      <c r="AC47" s="1811">
        <f t="shared" si="5"/>
        <v>1</v>
      </c>
    </row>
    <row r="48" spans="1:29" ht="14.4">
      <c r="A48" s="416" t="s">
        <v>1708</v>
      </c>
      <c r="B48" s="417"/>
      <c r="C48" s="1080" t="s">
        <v>0</v>
      </c>
      <c r="D48" s="418"/>
      <c r="E48" s="419">
        <f>比较法大宗案例!F5</f>
        <v>48663</v>
      </c>
      <c r="F48" s="420"/>
      <c r="G48" s="421">
        <f>比较法大宗案例!F3</f>
        <v>46500</v>
      </c>
      <c r="H48" s="422"/>
      <c r="I48" s="419">
        <f>比较法大宗案例!H7</f>
        <v>45510</v>
      </c>
      <c r="J48" s="422"/>
      <c r="K48" s="674"/>
      <c r="L48" s="2490"/>
      <c r="M48" s="2483"/>
      <c r="N48" s="2483"/>
      <c r="O48" s="2483"/>
      <c r="P48" s="3463" t="str">
        <f>A48</f>
        <v>成交单价（元/平方米）</v>
      </c>
      <c r="Q48" s="3473"/>
      <c r="R48" s="3455">
        <f>E48</f>
        <v>48663</v>
      </c>
      <c r="S48" s="3455"/>
      <c r="T48" s="3455">
        <f>G48</f>
        <v>46500</v>
      </c>
      <c r="U48" s="3455"/>
      <c r="V48" s="3455">
        <f>I48</f>
        <v>45510</v>
      </c>
      <c r="W48" s="3455"/>
      <c r="X48" s="385"/>
      <c r="Y48" s="673"/>
      <c r="Z48" s="385"/>
      <c r="AA48" s="385"/>
      <c r="AB48" s="385"/>
      <c r="AC48" s="555"/>
    </row>
    <row r="49" spans="1:34" ht="15" thickBot="1">
      <c r="A49" s="423" t="s">
        <v>1709</v>
      </c>
      <c r="B49" s="424"/>
      <c r="C49" s="1081">
        <f>R50</f>
        <v>48740</v>
      </c>
      <c r="D49" s="2140" t="s">
        <v>2138</v>
      </c>
      <c r="E49" s="1082">
        <f>R49</f>
        <v>51279</v>
      </c>
      <c r="F49" s="2141"/>
      <c r="G49" s="1081">
        <f>T49</f>
        <v>48010</v>
      </c>
      <c r="H49" s="2141"/>
      <c r="I49" s="1082">
        <f>V49</f>
        <v>46932</v>
      </c>
      <c r="J49" s="2141"/>
      <c r="K49" s="2143">
        <f>F49+H49+J49</f>
        <v>0</v>
      </c>
      <c r="L49" s="2490"/>
      <c r="M49" s="2483"/>
      <c r="N49" s="2483"/>
      <c r="O49" s="2483"/>
      <c r="P49" s="3463" t="str">
        <f>A49</f>
        <v>比较价值（元/平方米）</v>
      </c>
      <c r="Q49" s="3473"/>
      <c r="R49" s="3455">
        <f>IF(F1="售价",ROUND(PRODUCT(R48,AA7:AA47),0),ROUND(PRODUCT(R48,AA7:AA47),1))</f>
        <v>51279</v>
      </c>
      <c r="S49" s="3455"/>
      <c r="T49" s="3455">
        <f>IF(F1="售价",ROUND(PRODUCT(T48,AB7:AB47),0),ROUND(PRODUCT(T48,AB7:AB47),1))</f>
        <v>48010</v>
      </c>
      <c r="U49" s="3455"/>
      <c r="V49" s="3455">
        <f>IF(F1="售价",ROUND(PRODUCT(V48,AC7:AC47),0),ROUND(PRODUCT(V48,AC7:AC47),1))</f>
        <v>46932</v>
      </c>
      <c r="W49" s="3455"/>
      <c r="X49" s="385"/>
      <c r="Y49" s="385"/>
      <c r="Z49" s="385"/>
      <c r="AA49" s="385"/>
      <c r="AB49" s="385"/>
      <c r="AC49" s="555"/>
    </row>
    <row r="50" spans="1:34" ht="15" thickBot="1">
      <c r="A50" s="427" t="s">
        <v>1710</v>
      </c>
      <c r="B50" s="428"/>
      <c r="C50" s="351">
        <f>R50</f>
        <v>48740</v>
      </c>
      <c r="D50" s="351"/>
      <c r="E50" s="351"/>
      <c r="F50" s="351"/>
      <c r="G50" s="351"/>
      <c r="H50" s="351"/>
      <c r="I50" s="351"/>
      <c r="J50" s="429"/>
      <c r="K50" s="675"/>
      <c r="L50" s="2490"/>
      <c r="M50" s="2483"/>
      <c r="N50" s="2483"/>
      <c r="O50" s="2483"/>
      <c r="P50" s="3474" t="str">
        <f>A50</f>
        <v>估价对象XX用房的比较价值（楼面单价，元/平方米）</v>
      </c>
      <c r="Q50" s="3475"/>
      <c r="R50" s="3476">
        <f>IF(F1="售价",ROUND(IF(D49="简单平均",AVERAGE(R49:V49),R49*F49+T49*H49+V49*J49),0),ROUND(IF(D49="简单平均",AVERAGE(R49:V49),R49*F49+T49*H49+V49*J49),1))</f>
        <v>48740</v>
      </c>
      <c r="S50" s="3476"/>
      <c r="T50" s="3476"/>
      <c r="U50" s="3476"/>
      <c r="V50" s="3476"/>
      <c r="W50" s="3476"/>
      <c r="X50" s="1797"/>
      <c r="Y50" s="1797"/>
      <c r="Z50" s="1797"/>
      <c r="AA50" s="1797"/>
      <c r="AB50" s="1797"/>
      <c r="AC50" s="1798"/>
    </row>
    <row r="51" spans="1:34">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34">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34" ht="13.5" customHeight="1">
      <c r="A53" s="2483"/>
      <c r="B53" s="2483"/>
      <c r="C53" s="432" t="s">
        <v>1711</v>
      </c>
      <c r="D53" s="433"/>
      <c r="E53" s="434">
        <f>IF(E48&lt;E49,E49/E48-1,E48/E49-1)</f>
        <v>5.3757474878244338E-2</v>
      </c>
      <c r="F53" s="435" t="str">
        <f>IF(OR(E53&gt;=0.3,E53&lt;=-0.3),"超过30%","")</f>
        <v/>
      </c>
      <c r="G53" s="434">
        <f>IF(G48&lt;G49,G49/G48-1,G48/G49-1)</f>
        <v>3.247311827956989E-2</v>
      </c>
      <c r="H53" s="435" t="str">
        <f>IF(OR(G53&gt;=0.3,G53&lt;=-0.3),"超过30%","")</f>
        <v/>
      </c>
      <c r="I53" s="434">
        <f>IF(I48&lt;I49,I49/I48-1,I48/I49-1)</f>
        <v>3.1245880026367745E-2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34" ht="13.5" customHeight="1">
      <c r="A54" s="2483"/>
      <c r="B54" s="2483"/>
      <c r="C54" s="432" t="s">
        <v>1712</v>
      </c>
      <c r="D54" s="436"/>
      <c r="E54" s="434">
        <f>IF(E49&lt;G49,G49/E49-1,E49/G49-1)</f>
        <v>6.8089981253905529E-2</v>
      </c>
      <c r="F54" s="435" t="str">
        <f>IF(OR(E54&gt;=0.2,E54&lt;=-0.2),"超过20%","")</f>
        <v/>
      </c>
      <c r="G54" s="434">
        <f>IF(G49&lt;I49,I49/G49-1,G49/I49-1)</f>
        <v>2.2969402539844808E-2</v>
      </c>
      <c r="H54" s="435" t="str">
        <f>IF(OR(G54&gt;=0.2,G54&lt;=-0.2),"超过20%","")</f>
        <v/>
      </c>
      <c r="I54" s="434">
        <f>IF(I49&lt;E49,E49/I49-1,I49/E49-1)</f>
        <v>9.2623369982101744E-2</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34" s="437" customFormat="1" ht="13.5" customHeight="1">
      <c r="A55" s="2493"/>
      <c r="B55" s="2493"/>
      <c r="C55" s="432" t="s">
        <v>1713</v>
      </c>
      <c r="D55" s="436"/>
      <c r="E55" s="434">
        <f>IF(E48&lt;G48,G48/E48-1,E48/G48-1)</f>
        <v>4.6516129032257991E-2</v>
      </c>
      <c r="F55" s="435" t="str">
        <f>IF(OR(E55&gt;=0.3,E55&lt;=-0.3),"超过30%","")</f>
        <v/>
      </c>
      <c r="G55" s="434">
        <f>IF(G48&lt;I48,I48/G48-1,G48/I48-1)</f>
        <v>2.1753460777851119E-2</v>
      </c>
      <c r="H55" s="435" t="str">
        <f>IF(OR(G55&gt;=0.3,G55&lt;=-0.3),"超过30%","")</f>
        <v/>
      </c>
      <c r="I55" s="434">
        <f>IF(I48&lt;E48,E48/I48-1,I48/E48-1)</f>
        <v>6.9281476598549663E-2</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34"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34">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34" ht="22.2" thickBot="1">
      <c r="A58" s="658" t="s">
        <v>1714</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34" s="442" customFormat="1" ht="14.4">
      <c r="A59" s="440" t="s">
        <v>1679</v>
      </c>
      <c r="B59" s="441"/>
      <c r="C59" s="1102" t="str">
        <f>YEAR(C7)&amp;"-"&amp;MONTH(C7)</f>
        <v>2025-3</v>
      </c>
      <c r="D59" s="1103">
        <f>EDATE(C59,-1)</f>
        <v>45689</v>
      </c>
      <c r="E59" s="1103">
        <f>EDATE(D59,-1)</f>
        <v>45658</v>
      </c>
      <c r="F59" s="1103">
        <f t="shared" ref="F59:AH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3229">
        <f t="shared" si="16"/>
        <v>45323</v>
      </c>
      <c r="Q59" s="3229">
        <f t="shared" si="16"/>
        <v>45292</v>
      </c>
      <c r="R59" s="3229">
        <f t="shared" si="16"/>
        <v>45261</v>
      </c>
      <c r="S59" s="3229">
        <f t="shared" si="16"/>
        <v>45231</v>
      </c>
      <c r="T59" s="3229">
        <f t="shared" si="16"/>
        <v>45200</v>
      </c>
      <c r="U59" s="3229">
        <f t="shared" si="16"/>
        <v>45170</v>
      </c>
      <c r="V59" s="3229">
        <f t="shared" si="16"/>
        <v>45139</v>
      </c>
      <c r="W59" s="3229">
        <f t="shared" si="16"/>
        <v>45108</v>
      </c>
      <c r="X59" s="3229">
        <f t="shared" si="16"/>
        <v>45078</v>
      </c>
      <c r="Y59" s="3229">
        <f t="shared" si="16"/>
        <v>45047</v>
      </c>
      <c r="Z59" s="3229">
        <f t="shared" si="16"/>
        <v>45017</v>
      </c>
      <c r="AA59" s="3229">
        <f t="shared" si="16"/>
        <v>44986</v>
      </c>
      <c r="AB59" s="3229">
        <f t="shared" si="16"/>
        <v>44958</v>
      </c>
      <c r="AC59" s="3229">
        <f t="shared" si="16"/>
        <v>44927</v>
      </c>
      <c r="AD59" s="3229">
        <f t="shared" si="16"/>
        <v>44896</v>
      </c>
      <c r="AE59" s="3229">
        <f t="shared" si="16"/>
        <v>44866</v>
      </c>
      <c r="AF59" s="3229">
        <f t="shared" si="16"/>
        <v>44835</v>
      </c>
      <c r="AG59" s="3229">
        <f t="shared" si="16"/>
        <v>44805</v>
      </c>
      <c r="AH59" s="3229">
        <f t="shared" si="16"/>
        <v>44774</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102">
        <v>100</v>
      </c>
    </row>
    <row r="61" spans="1:34"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34" s="102" customFormat="1" ht="14.4">
      <c r="A62" s="455" t="s">
        <v>1681</v>
      </c>
      <c r="B62" s="444"/>
      <c r="C62" s="456" t="s">
        <v>1718</v>
      </c>
      <c r="D62" s="3231" t="s">
        <v>3933</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34" s="102" customFormat="1" ht="14.4" thickBot="1">
      <c r="A63" s="455"/>
      <c r="B63" s="444"/>
      <c r="C63" s="445">
        <v>100</v>
      </c>
      <c r="D63" s="446">
        <v>80</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34" ht="14.4">
      <c r="A64" s="379" t="s">
        <v>1719</v>
      </c>
      <c r="B64" s="460" t="s">
        <v>1685</v>
      </c>
      <c r="C64" s="461" t="str">
        <f>C9</f>
        <v>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3971</v>
      </c>
      <c r="D66" s="513" t="s">
        <v>3986</v>
      </c>
      <c r="E66" s="513" t="s">
        <v>3987</v>
      </c>
      <c r="F66" s="513" t="s">
        <v>3988</v>
      </c>
      <c r="G66" s="513" t="s">
        <v>3989</v>
      </c>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D67</f>
        <v>98</v>
      </c>
      <c r="D67" s="467">
        <f t="shared" ref="D67:F67" si="17">E67-1</f>
        <v>98</v>
      </c>
      <c r="E67" s="467">
        <f>F67</f>
        <v>99</v>
      </c>
      <c r="F67" s="467">
        <f t="shared" si="17"/>
        <v>99</v>
      </c>
      <c r="G67" s="467">
        <v>100</v>
      </c>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225" t="s">
        <v>3946</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95</v>
      </c>
      <c r="E102" s="475">
        <f t="shared" si="23"/>
        <v>90</v>
      </c>
      <c r="F102" s="475">
        <f t="shared" si="23"/>
        <v>85</v>
      </c>
      <c r="G102" s="475">
        <f t="shared" si="23"/>
        <v>80</v>
      </c>
      <c r="H102" s="475">
        <f t="shared" si="23"/>
        <v>75</v>
      </c>
      <c r="I102" s="475">
        <f t="shared" si="23"/>
        <v>70</v>
      </c>
      <c r="J102" s="475">
        <f t="shared" si="23"/>
        <v>65</v>
      </c>
      <c r="K102" s="475">
        <f t="shared" si="23"/>
        <v>60</v>
      </c>
      <c r="L102" s="475">
        <f t="shared" si="23"/>
        <v>55</v>
      </c>
      <c r="M102" s="476">
        <f t="shared" si="23"/>
        <v>50</v>
      </c>
      <c r="N102" s="2518"/>
      <c r="O102" s="2518"/>
      <c r="P102" s="2526"/>
      <c r="Q102" s="2504"/>
      <c r="R102" s="2483"/>
      <c r="S102" s="2483"/>
      <c r="T102" s="2483"/>
      <c r="U102" s="2483"/>
      <c r="V102" s="2483"/>
      <c r="W102" s="2483"/>
      <c r="X102" s="2483"/>
      <c r="Y102" s="2483"/>
      <c r="Z102" s="2483"/>
      <c r="AA102" s="2483"/>
      <c r="AB102" s="2483"/>
      <c r="AC102" s="2483"/>
    </row>
    <row r="103" spans="1:29" ht="28.2" thickTop="1">
      <c r="A103" s="367"/>
      <c r="B103" s="469" t="s">
        <v>1737</v>
      </c>
      <c r="C103" s="509" t="str">
        <f>C104&amp;"(含)"&amp;"-"&amp;D104</f>
        <v>0(含)-20000</v>
      </c>
      <c r="D103" s="509" t="str">
        <f t="shared" ref="D103:L103" si="24">D104&amp;"(含)"&amp;"-"&amp;E104</f>
        <v>20000(含)-40000</v>
      </c>
      <c r="E103" s="509" t="str">
        <f t="shared" si="24"/>
        <v>40000(含)-60000</v>
      </c>
      <c r="F103" s="509" t="str">
        <f t="shared" si="24"/>
        <v>60000(含)-80000</v>
      </c>
      <c r="G103" s="509" t="str">
        <f t="shared" si="24"/>
        <v>80000(含)-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20000</v>
      </c>
      <c r="E104" s="6">
        <v>40000</v>
      </c>
      <c r="F104" s="6">
        <v>60000</v>
      </c>
      <c r="G104" s="6">
        <v>80000</v>
      </c>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221" t="s">
        <v>3938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221" t="s">
        <v>3940</v>
      </c>
      <c r="D108" s="3221" t="s">
        <v>3942</v>
      </c>
      <c r="E108" s="3221" t="s">
        <v>3944</v>
      </c>
      <c r="F108" s="3224" t="s">
        <v>3945</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3221" t="s">
        <v>3958</v>
      </c>
      <c r="D113" s="3221" t="s">
        <v>3959</v>
      </c>
      <c r="E113" s="3221" t="s">
        <v>3960</v>
      </c>
      <c r="F113" s="3221" t="s">
        <v>3961</v>
      </c>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3221" t="s">
        <v>3963</v>
      </c>
      <c r="D115" s="3221" t="s">
        <v>3964</v>
      </c>
      <c r="E115" s="3224" t="s">
        <v>3965</v>
      </c>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221" t="s">
        <v>3966</v>
      </c>
      <c r="D117" s="3221" t="s">
        <v>3967</v>
      </c>
      <c r="E117" s="3221" t="s">
        <v>3969</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224" t="s">
        <v>3970</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221" t="s">
        <v>3940</v>
      </c>
      <c r="D123" s="3221" t="s">
        <v>3942</v>
      </c>
      <c r="E123" s="3221" t="s">
        <v>3944</v>
      </c>
      <c r="F123" s="3224" t="s">
        <v>3945</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t="str">
        <f>B46</f>
        <v>地下面积占比</v>
      </c>
      <c r="C129" s="485" t="s">
        <v>3952</v>
      </c>
      <c r="D129" s="3238" t="s">
        <v>3953</v>
      </c>
      <c r="E129" s="485" t="s">
        <v>3954</v>
      </c>
      <c r="F129" s="485" t="s">
        <v>3985</v>
      </c>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v>100</v>
      </c>
      <c r="D130" s="491">
        <f>C130-3</f>
        <v>97</v>
      </c>
      <c r="E130" s="491">
        <f t="shared" ref="E130:G130" si="33">D130-3</f>
        <v>94</v>
      </c>
      <c r="F130" s="491">
        <f t="shared" si="33"/>
        <v>91</v>
      </c>
      <c r="G130" s="491">
        <f t="shared" si="33"/>
        <v>88</v>
      </c>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5" type="noConversion"/>
  <conditionalFormatting sqref="E53">
    <cfRule type="expression" dxfId="125" priority="14" stopIfTrue="1">
      <formula>$F$53="超过30%"</formula>
    </cfRule>
  </conditionalFormatting>
  <conditionalFormatting sqref="E54">
    <cfRule type="expression" dxfId="124" priority="13" stopIfTrue="1">
      <formula>$F$54="超过20%"</formula>
    </cfRule>
  </conditionalFormatting>
  <conditionalFormatting sqref="E55">
    <cfRule type="expression" dxfId="123" priority="12"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5" stopIfTrue="1" operator="containsText" text="超过">
      <formula>NOT(ISERROR(SEARCH("超过",F53)))</formula>
    </cfRule>
  </conditionalFormatting>
  <conditionalFormatting sqref="G53">
    <cfRule type="expression" dxfId="119" priority="10" stopIfTrue="1">
      <formula>$H$53="超过30%"</formula>
    </cfRule>
  </conditionalFormatting>
  <conditionalFormatting sqref="G54">
    <cfRule type="expression" dxfId="118" priority="9" stopIfTrue="1">
      <formula>$H$54="超过20%"</formula>
    </cfRule>
  </conditionalFormatting>
  <conditionalFormatting sqref="G55">
    <cfRule type="expression" dxfId="117" priority="11"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E1" xr:uid="{00000000-0002-0000-1A00-000000000000}">
      <formula1>"项目模式,单套模式"</formula1>
    </dataValidation>
    <dataValidation type="list" allowBlank="1" showInputMessage="1" showErrorMessage="1" sqref="D49" xr:uid="{00000000-0002-0000-1A00-000001000000}">
      <formula1>"简单平均,加权平均"</formula1>
    </dataValidation>
    <dataValidation type="list" allowBlank="1" showInputMessage="1" showErrorMessage="1" sqref="F2" xr:uid="{00000000-0002-0000-1A00-000002000000}">
      <formula1>估价方法</formula1>
    </dataValidation>
    <dataValidation type="list" allowBlank="1" showInputMessage="1" showErrorMessage="1" sqref="C2" xr:uid="{00000000-0002-0000-1A00-000003000000}">
      <formula1>"需扣减承租人权益,——"</formula1>
    </dataValidation>
    <dataValidation type="list" allowBlank="1" showInputMessage="1" showErrorMessage="1" sqref="F1" xr:uid="{00000000-0002-0000-1A00-000004000000}">
      <formula1>"售价,租金"</formula1>
    </dataValidation>
    <dataValidation type="list" allowBlank="1" showInputMessage="1" showErrorMessage="1" sqref="C22 E22 G22 I22" xr:uid="{00000000-0002-0000-1A00-000005000000}">
      <formula1>基础设施水平</formula1>
    </dataValidation>
    <dataValidation type="list" allowBlank="1" showInputMessage="1" showErrorMessage="1" sqref="C8 E8 G8 I8" xr:uid="{00000000-0002-0000-1A00-000006000000}">
      <formula1>办公交易情况</formula1>
    </dataValidation>
    <dataValidation type="list" allowBlank="1" showInputMessage="1" showErrorMessage="1" sqref="C43 E43 G43 I43" xr:uid="{00000000-0002-0000-1A00-000007000000}">
      <formula1>办公内部装修</formula1>
    </dataValidation>
    <dataValidation type="list" allowBlank="1" showInputMessage="1" showErrorMessage="1" sqref="C41 E41 G41 I41" xr:uid="{00000000-0002-0000-1A00-000008000000}">
      <formula1>办公层高</formula1>
    </dataValidation>
    <dataValidation type="list" allowBlank="1" showInputMessage="1" showErrorMessage="1" sqref="C40 E40 G40 I40" xr:uid="{00000000-0002-0000-1A00-000009000000}">
      <formula1>办公基础设施水平</formula1>
    </dataValidation>
    <dataValidation type="list" allowBlank="1" showInputMessage="1" showErrorMessage="1" sqref="C39 E39 G39 I39" xr:uid="{00000000-0002-0000-1A00-00000A000000}">
      <formula1>办公物业管理</formula1>
    </dataValidation>
    <dataValidation type="list" allowBlank="1" showInputMessage="1" showErrorMessage="1" sqref="C38 E38 G38 I38" xr:uid="{00000000-0002-0000-1A00-00000B000000}">
      <formula1>写字楼等级</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3 E33 G33 I33" xr:uid="{00000000-0002-0000-1A00-00000D000000}">
      <formula1>办公建筑类型</formula1>
    </dataValidation>
    <dataValidation type="list" allowBlank="1" showInputMessage="1" showErrorMessage="1" sqref="C27 E27 G27 I27" xr:uid="{00000000-0002-0000-1A00-00000E000000}">
      <formula1>办公楼层</formula1>
    </dataValidation>
    <dataValidation type="list" allowBlank="1" showInputMessage="1" showErrorMessage="1" sqref="C28 E28 G28 I28" xr:uid="{00000000-0002-0000-1A00-00000F000000}">
      <formula1>办公朝向</formula1>
    </dataValidation>
    <dataValidation type="list" allowBlank="1" showInputMessage="1" showErrorMessage="1" sqref="G26 C26 E26 I26" xr:uid="{00000000-0002-0000-1A00-000010000000}">
      <formula1>办公道路级别</formula1>
    </dataValidation>
    <dataValidation type="list" allowBlank="1" showInputMessage="1" showErrorMessage="1" sqref="C16 E16 G16 I16" xr:uid="{00000000-0002-0000-1A00-000011000000}">
      <formula1>办公集聚程度</formula1>
    </dataValidation>
    <dataValidation type="list" allowBlank="1" showInputMessage="1" showErrorMessage="1" sqref="E9 G9 I9" xr:uid="{00000000-0002-0000-1A00-000012000000}">
      <formula1>办公用途</formula1>
    </dataValidation>
    <dataValidation type="list" allowBlank="1" showInputMessage="1" showErrorMessage="1" sqref="D1" xr:uid="{00000000-0002-0000-1A00-000013000000}">
      <formula1>项目类型</formula1>
    </dataValidation>
    <dataValidation type="list" allowBlank="1" showInputMessage="1" showErrorMessage="1" sqref="C44 E44 G44 I44" xr:uid="{00000000-0002-0000-1A00-000014000000}">
      <formula1>内部装修维护情况</formula1>
    </dataValidation>
    <dataValidation type="list" allowBlank="1" showInputMessage="1" showErrorMessage="1" sqref="E20 I20 G20 C20" xr:uid="{00000000-0002-0000-1A00-000015000000}">
      <formula1>公共配套设施</formula1>
    </dataValidation>
    <dataValidation type="list" allowBlank="1" showInputMessage="1" showErrorMessage="1" sqref="E18 G18 I18 C18" xr:uid="{00000000-0002-0000-1A00-000016000000}">
      <formula1>交通便捷度</formula1>
    </dataValidation>
    <dataValidation type="list" allowBlank="1" showInputMessage="1" showErrorMessage="1" sqref="E24 G24 I24 C24" xr:uid="{00000000-0002-0000-1A00-000017000000}">
      <formula1>环境</formula1>
    </dataValidation>
    <dataValidation type="list" allowBlank="1" showInputMessage="1" showErrorMessage="1" sqref="C35 E35 G35 I35" xr:uid="{00000000-0002-0000-1A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P7"/>
  <sheetViews>
    <sheetView workbookViewId="0">
      <selection activeCell="M3" sqref="M3:M5"/>
    </sheetView>
  </sheetViews>
  <sheetFormatPr defaultRowHeight="14.4"/>
  <cols>
    <col min="2" max="2" width="17.109375" customWidth="1"/>
  </cols>
  <sheetData>
    <row r="1" spans="2:16">
      <c r="B1" s="2577" t="s">
        <v>3906</v>
      </c>
      <c r="C1" s="1155"/>
      <c r="D1" s="1155"/>
      <c r="E1" s="2577" t="s">
        <v>3905</v>
      </c>
      <c r="F1" s="2577" t="s">
        <v>3897</v>
      </c>
      <c r="G1" s="2577" t="s">
        <v>3899</v>
      </c>
      <c r="H1" s="1155"/>
      <c r="I1" s="1155" t="s">
        <v>3911</v>
      </c>
      <c r="J1" s="1155" t="s">
        <v>3912</v>
      </c>
      <c r="K1" s="1155" t="s">
        <v>3915</v>
      </c>
      <c r="L1" s="1155" t="s">
        <v>3932</v>
      </c>
      <c r="M1" s="1155" t="s">
        <v>3936</v>
      </c>
      <c r="N1" s="1155"/>
      <c r="O1" s="1155"/>
      <c r="P1" s="1155"/>
    </row>
    <row r="2" spans="2:16">
      <c r="B2" s="3215">
        <f>丰台金茂广场!A51</f>
        <v>44791.333831018521</v>
      </c>
      <c r="C2" s="2577" t="s">
        <v>3903</v>
      </c>
      <c r="D2" s="1155"/>
      <c r="E2" s="1155">
        <f>丰台金茂广场!L60</f>
        <v>7939.1199999999981</v>
      </c>
      <c r="F2" s="1155">
        <f>丰台金茂广场!N61</f>
        <v>55079</v>
      </c>
      <c r="G2" s="1155">
        <f>丰台金茂广场!M64</f>
        <v>0.04</v>
      </c>
      <c r="H2" s="1155"/>
      <c r="I2" s="1155">
        <v>2019</v>
      </c>
      <c r="J2" s="2577" t="s">
        <v>3914</v>
      </c>
      <c r="K2" s="1155">
        <v>50</v>
      </c>
      <c r="L2" s="1155">
        <f>ROUND(1-(1-0)*(2025-I2)/60,2)</f>
        <v>0.9</v>
      </c>
      <c r="M2" s="1155">
        <f>50-(2025-I2)</f>
        <v>44</v>
      </c>
      <c r="N2" s="1155"/>
      <c r="O2" s="1155"/>
      <c r="P2" s="1155"/>
    </row>
    <row r="3" spans="2:16">
      <c r="B3" s="3215">
        <f>华樾北京!A3</f>
        <v>45602.333831018521</v>
      </c>
      <c r="C3" s="2577" t="s">
        <v>3907</v>
      </c>
      <c r="D3" s="1155"/>
      <c r="E3" s="1155">
        <f>华樾北京!L22</f>
        <v>16877.499999999996</v>
      </c>
      <c r="F3" s="1155">
        <f>华樾北京!N23</f>
        <v>46500</v>
      </c>
      <c r="G3" s="1155">
        <f>华樾北京!M24</f>
        <v>0</v>
      </c>
      <c r="H3" s="1155"/>
      <c r="I3" s="1155">
        <v>2021</v>
      </c>
      <c r="J3" s="1155"/>
      <c r="K3" s="1155">
        <v>50</v>
      </c>
      <c r="L3" s="1155">
        <f>ROUND(1-(1-0)*(2025-I3)/60,2)</f>
        <v>0.93</v>
      </c>
      <c r="M3" s="1155">
        <f>50-(2025-I3)</f>
        <v>46</v>
      </c>
      <c r="N3" s="1155"/>
      <c r="O3" s="1155"/>
      <c r="P3" s="1155"/>
    </row>
    <row r="4" spans="2:16">
      <c r="B4" s="3215">
        <f>新景家园!A2</f>
        <v>45545.333831018521</v>
      </c>
      <c r="C4" s="2577" t="s">
        <v>3908</v>
      </c>
      <c r="D4" s="1155"/>
      <c r="E4" s="1155">
        <f>新景家园!L11</f>
        <v>13179.630000000001</v>
      </c>
      <c r="F4" s="1155">
        <f>新景家园!N12</f>
        <v>55246</v>
      </c>
      <c r="G4" s="1155">
        <v>0</v>
      </c>
      <c r="H4" s="1155"/>
      <c r="I4" s="1155"/>
      <c r="J4" s="1155"/>
      <c r="K4" s="1155"/>
      <c r="L4" s="1155">
        <f t="shared" ref="L4:L5" si="0">ROUND(1-(1-0)*(2025-I4)/60,2)</f>
        <v>-32.75</v>
      </c>
      <c r="M4" s="1155">
        <f t="shared" ref="M4:M5" si="1">50-(2025-I4)</f>
        <v>-1975</v>
      </c>
      <c r="N4" s="1155"/>
      <c r="O4" s="1155"/>
      <c r="P4" s="1155"/>
    </row>
    <row r="5" spans="2:16">
      <c r="B5" s="3215">
        <f>保利佲悦大都汇!$A$24</f>
        <v>44906.333831018521</v>
      </c>
      <c r="C5" s="2577" t="s">
        <v>3998</v>
      </c>
      <c r="D5" s="1155"/>
      <c r="E5" s="1155">
        <f>保利佲悦大都汇!$L$25</f>
        <v>19608.829999999994</v>
      </c>
      <c r="F5" s="1155">
        <f>保利佲悦大都汇!$N$25</f>
        <v>48663</v>
      </c>
      <c r="G5" s="1155">
        <v>0</v>
      </c>
      <c r="H5" s="1155"/>
      <c r="I5" s="1155">
        <v>2020</v>
      </c>
      <c r="J5" s="2577" t="s">
        <v>3914</v>
      </c>
      <c r="K5" s="1155">
        <v>50</v>
      </c>
      <c r="L5" s="1155">
        <f t="shared" si="0"/>
        <v>0.92</v>
      </c>
      <c r="M5" s="1155">
        <f t="shared" si="1"/>
        <v>45</v>
      </c>
      <c r="N5" s="1155"/>
      <c r="O5" s="1155"/>
      <c r="P5" s="1155"/>
    </row>
    <row r="6" spans="2:16">
      <c r="B6" s="2577" t="s">
        <v>3926</v>
      </c>
      <c r="C6" s="2577" t="s">
        <v>3927</v>
      </c>
      <c r="D6" s="2577" t="s">
        <v>3389</v>
      </c>
      <c r="E6" s="2577" t="s">
        <v>3928</v>
      </c>
      <c r="F6" s="2577" t="s">
        <v>3929</v>
      </c>
      <c r="G6" s="2577" t="s">
        <v>3930</v>
      </c>
      <c r="H6" s="2577" t="s">
        <v>3931</v>
      </c>
      <c r="I6" s="1155" t="s">
        <v>3921</v>
      </c>
      <c r="J6" s="1155" t="s">
        <v>3922</v>
      </c>
      <c r="K6" s="1155" t="s">
        <v>3923</v>
      </c>
      <c r="L6" s="1155" t="s">
        <v>3924</v>
      </c>
      <c r="M6" s="1155" t="s">
        <v>3898</v>
      </c>
      <c r="N6" s="1155" t="s">
        <v>3904</v>
      </c>
      <c r="O6" s="1155" t="s">
        <v>3925</v>
      </c>
      <c r="P6" s="1155" t="s">
        <v>3932</v>
      </c>
    </row>
    <row r="7" spans="2:16">
      <c r="B7" s="3215">
        <v>44835</v>
      </c>
      <c r="C7" s="1155" t="s">
        <v>21</v>
      </c>
      <c r="D7" s="1155" t="s">
        <v>3916</v>
      </c>
      <c r="E7" s="1155" t="s">
        <v>3917</v>
      </c>
      <c r="F7" s="1155">
        <v>20.37</v>
      </c>
      <c r="G7" s="1155">
        <v>44759.39</v>
      </c>
      <c r="H7" s="1155">
        <v>45510</v>
      </c>
      <c r="I7" s="1155" t="s">
        <v>3918</v>
      </c>
      <c r="J7" s="1155" t="s">
        <v>3919</v>
      </c>
      <c r="K7" s="1155" t="s">
        <v>3920</v>
      </c>
      <c r="L7" s="1155">
        <v>6.07</v>
      </c>
      <c r="M7" s="1155">
        <v>0.23</v>
      </c>
      <c r="N7" s="1155">
        <v>58239.38</v>
      </c>
      <c r="O7" s="1155"/>
      <c r="P7" s="1155">
        <v>0.86</v>
      </c>
    </row>
  </sheetData>
  <phoneticPr fontId="13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5"/>
  <sheetViews>
    <sheetView topLeftCell="A40" workbookViewId="0">
      <selection sqref="A1:XFD1048576"/>
    </sheetView>
  </sheetViews>
  <sheetFormatPr defaultColWidth="19.21875" defaultRowHeight="14.4"/>
  <cols>
    <col min="1" max="1" width="19.21875" style="1155"/>
    <col min="2" max="3" width="6.44140625" style="1155" customWidth="1"/>
    <col min="4" max="4" width="19.21875" style="1155"/>
    <col min="5" max="6" width="1.77734375" style="1155" customWidth="1"/>
    <col min="7" max="8" width="7.77734375" style="1155" customWidth="1"/>
    <col min="9" max="9" width="13.44140625" style="1155" customWidth="1"/>
    <col min="10" max="11" width="10.21875" style="1155" customWidth="1"/>
    <col min="12" max="13" width="19.21875" style="1155"/>
    <col min="14" max="14" width="12.44140625" style="1155" customWidth="1"/>
    <col min="15" max="16384" width="19.2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5">
        <v>44907.333831018521</v>
      </c>
      <c r="B2" s="1155" t="s">
        <v>3883</v>
      </c>
      <c r="C2" s="1155" t="s">
        <v>3883</v>
      </c>
      <c r="D2" s="1155" t="s">
        <v>3995</v>
      </c>
      <c r="E2" s="1155" t="s">
        <v>3883</v>
      </c>
      <c r="F2" s="1155" t="s">
        <v>3883</v>
      </c>
      <c r="G2" s="1155">
        <v>12</v>
      </c>
      <c r="H2" s="1155">
        <v>1201</v>
      </c>
      <c r="I2" s="1155" t="s">
        <v>3996</v>
      </c>
      <c r="J2" s="1155" t="s">
        <v>21</v>
      </c>
      <c r="K2" s="1155" t="s">
        <v>3886</v>
      </c>
      <c r="L2" s="1155">
        <v>873.03</v>
      </c>
      <c r="M2" s="1155">
        <v>4266.76</v>
      </c>
      <c r="N2" s="1155">
        <v>48873</v>
      </c>
    </row>
    <row r="3" spans="1:14">
      <c r="A3" s="3215">
        <v>44906.333831018521</v>
      </c>
      <c r="B3" s="1155" t="s">
        <v>3883</v>
      </c>
      <c r="C3" s="1155" t="s">
        <v>3883</v>
      </c>
      <c r="D3" s="1155" t="s">
        <v>3995</v>
      </c>
      <c r="E3" s="1155" t="s">
        <v>3883</v>
      </c>
      <c r="F3" s="1155" t="s">
        <v>3883</v>
      </c>
      <c r="G3" s="1155">
        <v>4</v>
      </c>
      <c r="H3" s="1155">
        <v>401</v>
      </c>
      <c r="I3" s="1155" t="s">
        <v>3996</v>
      </c>
      <c r="J3" s="1155" t="s">
        <v>21</v>
      </c>
      <c r="K3" s="1155" t="s">
        <v>3886</v>
      </c>
      <c r="L3" s="1155">
        <v>873.6</v>
      </c>
      <c r="M3" s="1155">
        <v>4269.55</v>
      </c>
      <c r="N3" s="1155">
        <v>48873</v>
      </c>
    </row>
    <row r="4" spans="1:14">
      <c r="A4" s="3215">
        <v>44906.333831018521</v>
      </c>
      <c r="B4" s="1155" t="s">
        <v>3883</v>
      </c>
      <c r="C4" s="1155" t="s">
        <v>3883</v>
      </c>
      <c r="D4" s="1155" t="s">
        <v>3995</v>
      </c>
      <c r="E4" s="1155" t="s">
        <v>3883</v>
      </c>
      <c r="F4" s="1155" t="s">
        <v>3883</v>
      </c>
      <c r="G4" s="1155">
        <v>6</v>
      </c>
      <c r="H4" s="1155">
        <v>602</v>
      </c>
      <c r="I4" s="1155" t="s">
        <v>3996</v>
      </c>
      <c r="J4" s="1155" t="s">
        <v>21</v>
      </c>
      <c r="K4" s="1155" t="s">
        <v>3886</v>
      </c>
      <c r="L4" s="1155">
        <v>846.05</v>
      </c>
      <c r="M4" s="1155">
        <v>4134.8999999999996</v>
      </c>
      <c r="N4" s="1155">
        <v>48873</v>
      </c>
    </row>
    <row r="5" spans="1:14">
      <c r="A5" s="3215">
        <v>44906.333831018521</v>
      </c>
      <c r="B5" s="1155" t="s">
        <v>3883</v>
      </c>
      <c r="C5" s="1155" t="s">
        <v>3883</v>
      </c>
      <c r="D5" s="1155" t="s">
        <v>3995</v>
      </c>
      <c r="E5" s="1155" t="s">
        <v>3883</v>
      </c>
      <c r="F5" s="1155" t="s">
        <v>3883</v>
      </c>
      <c r="G5" s="1155">
        <v>9</v>
      </c>
      <c r="H5" s="1155">
        <v>902</v>
      </c>
      <c r="I5" s="1155" t="s">
        <v>3996</v>
      </c>
      <c r="J5" s="1155" t="s">
        <v>21</v>
      </c>
      <c r="K5" s="1155" t="s">
        <v>3886</v>
      </c>
      <c r="L5" s="1155">
        <v>843.1</v>
      </c>
      <c r="M5" s="1155">
        <v>4120.4799999999996</v>
      </c>
      <c r="N5" s="1155">
        <v>48873</v>
      </c>
    </row>
    <row r="6" spans="1:14">
      <c r="A6" s="3215">
        <v>44906.333831018521</v>
      </c>
      <c r="B6" s="1155" t="s">
        <v>3883</v>
      </c>
      <c r="C6" s="1155" t="s">
        <v>3883</v>
      </c>
      <c r="D6" s="1155" t="s">
        <v>3995</v>
      </c>
      <c r="E6" s="1155" t="s">
        <v>3883</v>
      </c>
      <c r="F6" s="1155" t="s">
        <v>3883</v>
      </c>
      <c r="G6" s="1155">
        <v>2</v>
      </c>
      <c r="H6" s="1155">
        <v>202</v>
      </c>
      <c r="I6" s="1155" t="s">
        <v>3996</v>
      </c>
      <c r="J6" s="1155" t="s">
        <v>21</v>
      </c>
      <c r="K6" s="1155" t="s">
        <v>3886</v>
      </c>
      <c r="L6" s="1155">
        <v>720.56</v>
      </c>
      <c r="M6" s="1155">
        <v>3521.59</v>
      </c>
      <c r="N6" s="1155">
        <v>48873</v>
      </c>
    </row>
    <row r="7" spans="1:14">
      <c r="A7" s="3215">
        <v>44906.333831018521</v>
      </c>
      <c r="B7" s="1155" t="s">
        <v>3883</v>
      </c>
      <c r="C7" s="1155" t="s">
        <v>3883</v>
      </c>
      <c r="D7" s="1155" t="s">
        <v>3995</v>
      </c>
      <c r="E7" s="1155" t="s">
        <v>3883</v>
      </c>
      <c r="F7" s="1155" t="s">
        <v>3883</v>
      </c>
      <c r="G7" s="1155">
        <v>8</v>
      </c>
      <c r="H7" s="1155">
        <v>802</v>
      </c>
      <c r="I7" s="1155" t="s">
        <v>3996</v>
      </c>
      <c r="J7" s="1155" t="s">
        <v>21</v>
      </c>
      <c r="K7" s="1155" t="s">
        <v>3886</v>
      </c>
      <c r="L7" s="1155">
        <v>844.7</v>
      </c>
      <c r="M7" s="1155">
        <v>4128.3</v>
      </c>
      <c r="N7" s="1155">
        <v>48873</v>
      </c>
    </row>
    <row r="8" spans="1:14">
      <c r="A8" s="3215">
        <v>44906.333831018521</v>
      </c>
      <c r="B8" s="1155" t="s">
        <v>3883</v>
      </c>
      <c r="C8" s="1155" t="s">
        <v>3883</v>
      </c>
      <c r="D8" s="1155" t="s">
        <v>3995</v>
      </c>
      <c r="E8" s="1155" t="s">
        <v>3883</v>
      </c>
      <c r="F8" s="1155" t="s">
        <v>3883</v>
      </c>
      <c r="G8" s="1155">
        <v>12</v>
      </c>
      <c r="H8" s="1155">
        <v>1202</v>
      </c>
      <c r="I8" s="1155" t="s">
        <v>3996</v>
      </c>
      <c r="J8" s="1155" t="s">
        <v>21</v>
      </c>
      <c r="K8" s="1155" t="s">
        <v>3886</v>
      </c>
      <c r="L8" s="1155">
        <v>835.92</v>
      </c>
      <c r="M8" s="1155">
        <v>4085.39</v>
      </c>
      <c r="N8" s="1155">
        <v>48873</v>
      </c>
    </row>
    <row r="9" spans="1:14">
      <c r="A9" s="3215">
        <v>44906.333831018521</v>
      </c>
      <c r="B9" s="1155" t="s">
        <v>3883</v>
      </c>
      <c r="C9" s="1155" t="s">
        <v>3883</v>
      </c>
      <c r="D9" s="1155" t="s">
        <v>3995</v>
      </c>
      <c r="E9" s="1155" t="s">
        <v>3883</v>
      </c>
      <c r="F9" s="1155" t="s">
        <v>3883</v>
      </c>
      <c r="G9" s="1155">
        <v>11</v>
      </c>
      <c r="H9" s="1155">
        <v>1102</v>
      </c>
      <c r="I9" s="1155" t="s">
        <v>3996</v>
      </c>
      <c r="J9" s="1155" t="s">
        <v>21</v>
      </c>
      <c r="K9" s="1155" t="s">
        <v>3886</v>
      </c>
      <c r="L9" s="1155">
        <v>838.94</v>
      </c>
      <c r="M9" s="1155">
        <v>4100.1499999999996</v>
      </c>
      <c r="N9" s="1155">
        <v>48873</v>
      </c>
    </row>
    <row r="10" spans="1:14">
      <c r="A10" s="3215">
        <v>44906.333831018521</v>
      </c>
      <c r="B10" s="1155" t="s">
        <v>3883</v>
      </c>
      <c r="C10" s="1155" t="s">
        <v>3883</v>
      </c>
      <c r="D10" s="1155" t="s">
        <v>3995</v>
      </c>
      <c r="E10" s="1155" t="s">
        <v>3883</v>
      </c>
      <c r="F10" s="1155" t="s">
        <v>3883</v>
      </c>
      <c r="G10" s="1155">
        <v>3</v>
      </c>
      <c r="H10" s="1155">
        <v>301</v>
      </c>
      <c r="I10" s="1155" t="s">
        <v>3996</v>
      </c>
      <c r="J10" s="1155" t="s">
        <v>21</v>
      </c>
      <c r="K10" s="1155" t="s">
        <v>3886</v>
      </c>
      <c r="L10" s="1155">
        <v>873.6</v>
      </c>
      <c r="M10" s="1155">
        <v>4269.55</v>
      </c>
      <c r="N10" s="1155">
        <v>48873</v>
      </c>
    </row>
    <row r="11" spans="1:14">
      <c r="A11" s="3215">
        <v>44906.333831018521</v>
      </c>
      <c r="B11" s="1155" t="s">
        <v>3883</v>
      </c>
      <c r="C11" s="1155" t="s">
        <v>3883</v>
      </c>
      <c r="D11" s="1155" t="s">
        <v>3995</v>
      </c>
      <c r="E11" s="1155" t="s">
        <v>3883</v>
      </c>
      <c r="F11" s="1155" t="s">
        <v>3883</v>
      </c>
      <c r="G11" s="1155">
        <v>11</v>
      </c>
      <c r="H11" s="1155">
        <v>1101</v>
      </c>
      <c r="I11" s="1155" t="s">
        <v>3996</v>
      </c>
      <c r="J11" s="1155" t="s">
        <v>21</v>
      </c>
      <c r="K11" s="1155" t="s">
        <v>3886</v>
      </c>
      <c r="L11" s="1155">
        <v>873.03</v>
      </c>
      <c r="M11" s="1155">
        <v>4266.76</v>
      </c>
      <c r="N11" s="1155">
        <v>48873</v>
      </c>
    </row>
    <row r="12" spans="1:14">
      <c r="A12" s="3215">
        <v>44906.333831018521</v>
      </c>
      <c r="B12" s="1155" t="s">
        <v>3883</v>
      </c>
      <c r="C12" s="1155" t="s">
        <v>3883</v>
      </c>
      <c r="D12" s="1155" t="s">
        <v>3995</v>
      </c>
      <c r="E12" s="1155" t="s">
        <v>3883</v>
      </c>
      <c r="F12" s="1155" t="s">
        <v>3883</v>
      </c>
      <c r="G12" s="1155">
        <v>8</v>
      </c>
      <c r="H12" s="1155">
        <v>801</v>
      </c>
      <c r="I12" s="1155" t="s">
        <v>3996</v>
      </c>
      <c r="J12" s="1155" t="s">
        <v>21</v>
      </c>
      <c r="K12" s="1155" t="s">
        <v>3886</v>
      </c>
      <c r="L12" s="1155">
        <v>873.31</v>
      </c>
      <c r="M12" s="1155">
        <v>4268.13</v>
      </c>
      <c r="N12" s="1155">
        <v>48873</v>
      </c>
    </row>
    <row r="13" spans="1:14">
      <c r="A13" s="3215">
        <v>44906.333831018521</v>
      </c>
      <c r="B13" s="1155" t="s">
        <v>3883</v>
      </c>
      <c r="C13" s="1155" t="s">
        <v>3883</v>
      </c>
      <c r="D13" s="1155" t="s">
        <v>3995</v>
      </c>
      <c r="E13" s="1155" t="s">
        <v>3883</v>
      </c>
      <c r="F13" s="1155" t="s">
        <v>3883</v>
      </c>
      <c r="G13" s="1155">
        <v>5</v>
      </c>
      <c r="H13" s="1155">
        <v>502</v>
      </c>
      <c r="I13" s="1155" t="s">
        <v>3996</v>
      </c>
      <c r="J13" s="1155" t="s">
        <v>21</v>
      </c>
      <c r="K13" s="1155" t="s">
        <v>3886</v>
      </c>
      <c r="L13" s="1155">
        <v>846.18</v>
      </c>
      <c r="M13" s="1155">
        <v>4135.54</v>
      </c>
      <c r="N13" s="1155">
        <v>48873</v>
      </c>
    </row>
    <row r="14" spans="1:14">
      <c r="A14" s="3215">
        <v>44906.333831018521</v>
      </c>
      <c r="B14" s="1155" t="s">
        <v>3883</v>
      </c>
      <c r="C14" s="1155" t="s">
        <v>3883</v>
      </c>
      <c r="D14" s="1155" t="s">
        <v>3995</v>
      </c>
      <c r="E14" s="1155" t="s">
        <v>3883</v>
      </c>
      <c r="F14" s="1155" t="s">
        <v>3883</v>
      </c>
      <c r="G14" s="1155">
        <v>6</v>
      </c>
      <c r="H14" s="1155">
        <v>601</v>
      </c>
      <c r="I14" s="1155" t="s">
        <v>3996</v>
      </c>
      <c r="J14" s="1155" t="s">
        <v>21</v>
      </c>
      <c r="K14" s="1155" t="s">
        <v>3886</v>
      </c>
      <c r="L14" s="1155">
        <v>873.31</v>
      </c>
      <c r="M14" s="1155">
        <v>4268.13</v>
      </c>
      <c r="N14" s="1155">
        <v>48873</v>
      </c>
    </row>
    <row r="15" spans="1:14">
      <c r="A15" s="3215">
        <v>44906.333831018521</v>
      </c>
      <c r="B15" s="1155" t="s">
        <v>3883</v>
      </c>
      <c r="C15" s="1155" t="s">
        <v>3883</v>
      </c>
      <c r="D15" s="1155" t="s">
        <v>3995</v>
      </c>
      <c r="E15" s="1155" t="s">
        <v>3883</v>
      </c>
      <c r="F15" s="1155" t="s">
        <v>3883</v>
      </c>
      <c r="G15" s="1155">
        <v>4</v>
      </c>
      <c r="H15" s="1155">
        <v>402</v>
      </c>
      <c r="I15" s="1155" t="s">
        <v>3996</v>
      </c>
      <c r="J15" s="1155" t="s">
        <v>21</v>
      </c>
      <c r="K15" s="1155" t="s">
        <v>3886</v>
      </c>
      <c r="L15" s="1155">
        <v>846.15</v>
      </c>
      <c r="M15" s="1155">
        <v>4135.3900000000003</v>
      </c>
      <c r="N15" s="1155">
        <v>48873</v>
      </c>
    </row>
    <row r="16" spans="1:14">
      <c r="A16" s="3215">
        <v>44906.333831018521</v>
      </c>
      <c r="B16" s="1155" t="s">
        <v>3883</v>
      </c>
      <c r="C16" s="1155" t="s">
        <v>3883</v>
      </c>
      <c r="D16" s="1155" t="s">
        <v>3995</v>
      </c>
      <c r="E16" s="1155" t="s">
        <v>3883</v>
      </c>
      <c r="F16" s="1155" t="s">
        <v>3883</v>
      </c>
      <c r="G16" s="1155">
        <v>10</v>
      </c>
      <c r="H16" s="1155">
        <v>1001</v>
      </c>
      <c r="I16" s="1155" t="s">
        <v>3996</v>
      </c>
      <c r="J16" s="1155" t="s">
        <v>21</v>
      </c>
      <c r="K16" s="1155" t="s">
        <v>3886</v>
      </c>
      <c r="L16" s="1155">
        <v>873.03</v>
      </c>
      <c r="M16" s="1155">
        <v>4266.76</v>
      </c>
      <c r="N16" s="1155">
        <v>48873</v>
      </c>
    </row>
    <row r="17" spans="1:14">
      <c r="A17" s="3215">
        <v>44906.333831018521</v>
      </c>
      <c r="B17" s="1155" t="s">
        <v>3883</v>
      </c>
      <c r="C17" s="1155" t="s">
        <v>3883</v>
      </c>
      <c r="D17" s="1155" t="s">
        <v>3995</v>
      </c>
      <c r="E17" s="1155" t="s">
        <v>3883</v>
      </c>
      <c r="F17" s="1155" t="s">
        <v>3883</v>
      </c>
      <c r="G17" s="1155">
        <v>5</v>
      </c>
      <c r="H17" s="1155">
        <v>501</v>
      </c>
      <c r="I17" s="1155" t="s">
        <v>3996</v>
      </c>
      <c r="J17" s="1155" t="s">
        <v>21</v>
      </c>
      <c r="K17" s="1155" t="s">
        <v>3886</v>
      </c>
      <c r="L17" s="1155">
        <v>873.31</v>
      </c>
      <c r="M17" s="1155">
        <v>4268.13</v>
      </c>
      <c r="N17" s="1155">
        <v>48873</v>
      </c>
    </row>
    <row r="18" spans="1:14">
      <c r="A18" s="3215">
        <v>44906.333831018521</v>
      </c>
      <c r="B18" s="1155" t="s">
        <v>3883</v>
      </c>
      <c r="C18" s="1155" t="s">
        <v>3883</v>
      </c>
      <c r="D18" s="1155" t="s">
        <v>3995</v>
      </c>
      <c r="E18" s="1155" t="s">
        <v>3883</v>
      </c>
      <c r="F18" s="1155" t="s">
        <v>3883</v>
      </c>
      <c r="G18" s="1155">
        <v>10</v>
      </c>
      <c r="H18" s="1155">
        <v>1002</v>
      </c>
      <c r="I18" s="1155" t="s">
        <v>3996</v>
      </c>
      <c r="J18" s="1155" t="s">
        <v>21</v>
      </c>
      <c r="K18" s="1155" t="s">
        <v>3886</v>
      </c>
      <c r="L18" s="1155">
        <v>841.31</v>
      </c>
      <c r="M18" s="1155">
        <v>4111.7299999999996</v>
      </c>
      <c r="N18" s="1155">
        <v>48873</v>
      </c>
    </row>
    <row r="19" spans="1:14">
      <c r="A19" s="3215">
        <v>44906.333831018521</v>
      </c>
      <c r="B19" s="1155" t="s">
        <v>3883</v>
      </c>
      <c r="C19" s="1155" t="s">
        <v>3883</v>
      </c>
      <c r="D19" s="1155" t="s">
        <v>3995</v>
      </c>
      <c r="E19" s="1155" t="s">
        <v>3883</v>
      </c>
      <c r="F19" s="1155" t="s">
        <v>3883</v>
      </c>
      <c r="G19" s="1155">
        <v>7</v>
      </c>
      <c r="H19" s="1155">
        <v>701</v>
      </c>
      <c r="I19" s="1155" t="s">
        <v>3996</v>
      </c>
      <c r="J19" s="1155" t="s">
        <v>21</v>
      </c>
      <c r="K19" s="1155" t="s">
        <v>3886</v>
      </c>
      <c r="L19" s="1155">
        <v>873.31</v>
      </c>
      <c r="M19" s="1155">
        <v>4268.13</v>
      </c>
      <c r="N19" s="1155">
        <v>48873</v>
      </c>
    </row>
    <row r="20" spans="1:14">
      <c r="A20" s="3215">
        <v>44906.333831018521</v>
      </c>
      <c r="B20" s="1155" t="s">
        <v>3883</v>
      </c>
      <c r="C20" s="1155" t="s">
        <v>3883</v>
      </c>
      <c r="D20" s="1155" t="s">
        <v>3884</v>
      </c>
      <c r="E20" s="1155" t="s">
        <v>3883</v>
      </c>
      <c r="F20" s="1155" t="s">
        <v>3883</v>
      </c>
      <c r="G20" s="1155">
        <v>12</v>
      </c>
      <c r="H20" s="1155">
        <v>1201</v>
      </c>
      <c r="I20" s="1155" t="s">
        <v>3997</v>
      </c>
      <c r="J20" s="1155" t="s">
        <v>21</v>
      </c>
      <c r="K20" s="1155" t="s">
        <v>3886</v>
      </c>
      <c r="L20" s="1155">
        <v>957.3</v>
      </c>
      <c r="M20" s="1155">
        <v>4266.76</v>
      </c>
      <c r="N20" s="1155">
        <v>44571</v>
      </c>
    </row>
    <row r="21" spans="1:14">
      <c r="A21" s="3215">
        <v>44906.333831018521</v>
      </c>
      <c r="B21" s="1155" t="s">
        <v>3883</v>
      </c>
      <c r="C21" s="1155" t="s">
        <v>3883</v>
      </c>
      <c r="D21" s="1155" t="s">
        <v>3995</v>
      </c>
      <c r="E21" s="1155" t="s">
        <v>3883</v>
      </c>
      <c r="F21" s="1155" t="s">
        <v>3883</v>
      </c>
      <c r="G21" s="1155">
        <v>9</v>
      </c>
      <c r="H21" s="1155">
        <v>901</v>
      </c>
      <c r="I21" s="1155" t="s">
        <v>3996</v>
      </c>
      <c r="J21" s="1155" t="s">
        <v>21</v>
      </c>
      <c r="K21" s="1155" t="s">
        <v>3886</v>
      </c>
      <c r="L21" s="1155">
        <v>873.03</v>
      </c>
      <c r="M21" s="1155">
        <v>4266.76</v>
      </c>
      <c r="N21" s="1155">
        <v>48873</v>
      </c>
    </row>
    <row r="22" spans="1:14">
      <c r="A22" s="3215">
        <v>44906.333831018521</v>
      </c>
      <c r="B22" s="1155" t="s">
        <v>3883</v>
      </c>
      <c r="C22" s="1155" t="s">
        <v>3883</v>
      </c>
      <c r="D22" s="1155" t="s">
        <v>3995</v>
      </c>
      <c r="E22" s="1155" t="s">
        <v>3883</v>
      </c>
      <c r="F22" s="1155" t="s">
        <v>3883</v>
      </c>
      <c r="G22" s="1155">
        <v>2</v>
      </c>
      <c r="H22" s="1155">
        <v>201</v>
      </c>
      <c r="I22" s="1155" t="s">
        <v>3996</v>
      </c>
      <c r="J22" s="1155" t="s">
        <v>21</v>
      </c>
      <c r="K22" s="1155" t="s">
        <v>3886</v>
      </c>
      <c r="L22" s="1155">
        <v>764.6</v>
      </c>
      <c r="M22" s="1155">
        <v>3736.83</v>
      </c>
      <c r="N22" s="1155">
        <v>48873</v>
      </c>
    </row>
    <row r="23" spans="1:14">
      <c r="A23" s="3215">
        <v>44906.333831018521</v>
      </c>
      <c r="B23" s="1155" t="s">
        <v>3883</v>
      </c>
      <c r="C23" s="1155" t="s">
        <v>3883</v>
      </c>
      <c r="D23" s="1155" t="s">
        <v>3995</v>
      </c>
      <c r="E23" s="1155" t="s">
        <v>3883</v>
      </c>
      <c r="F23" s="1155" t="s">
        <v>3883</v>
      </c>
      <c r="G23" s="1155">
        <v>3</v>
      </c>
      <c r="H23" s="1155">
        <v>302</v>
      </c>
      <c r="I23" s="1155" t="s">
        <v>3996</v>
      </c>
      <c r="J23" s="1155" t="s">
        <v>21</v>
      </c>
      <c r="K23" s="1155" t="s">
        <v>3886</v>
      </c>
      <c r="L23" s="1155">
        <v>845.89</v>
      </c>
      <c r="M23" s="1155">
        <v>4134.12</v>
      </c>
      <c r="N23" s="1155">
        <v>48873</v>
      </c>
    </row>
    <row r="24" spans="1:14">
      <c r="A24" s="3215">
        <v>44906.333831018521</v>
      </c>
      <c r="B24" s="1155" t="s">
        <v>3883</v>
      </c>
      <c r="C24" s="1155" t="s">
        <v>3883</v>
      </c>
      <c r="D24" s="1155" t="s">
        <v>3995</v>
      </c>
      <c r="E24" s="1155" t="s">
        <v>3883</v>
      </c>
      <c r="F24" s="1155" t="s">
        <v>3883</v>
      </c>
      <c r="G24" s="1155">
        <v>7</v>
      </c>
      <c r="H24" s="1155">
        <v>702</v>
      </c>
      <c r="I24" s="1155" t="s">
        <v>3996</v>
      </c>
      <c r="J24" s="1155" t="s">
        <v>21</v>
      </c>
      <c r="K24" s="1155" t="s">
        <v>3886</v>
      </c>
      <c r="L24" s="1155">
        <v>845.57</v>
      </c>
      <c r="M24" s="1155">
        <v>4132.55</v>
      </c>
      <c r="N24" s="1155">
        <v>48873</v>
      </c>
    </row>
    <row r="25" spans="1:14">
      <c r="L25" s="1155">
        <f>SUM(L2:L24)</f>
        <v>19608.829999999994</v>
      </c>
      <c r="M25" s="1155">
        <f>SUM(M2:M24)</f>
        <v>95422.39</v>
      </c>
      <c r="N25" s="1155">
        <f>ROUND(M25*10000/L25,0)</f>
        <v>48663</v>
      </c>
    </row>
  </sheetData>
  <phoneticPr fontId="1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北京农商银行总行东城支行：</v>
      </c>
    </row>
    <row r="4" spans="1:1" ht="34.799999999999997">
      <c r="A4" s="1381" t="str">
        <f>"受贵公司委托，我公司对"&amp;项目基本情况!S1&amp;"进行了预评估。"</f>
        <v>受贵公司委托，我公司对北京市东城区朝阳门北大街8号房地产抵押价值进行了预评估。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估价对象为北京市东城区朝阳门北大街8号房地产，为北京铜牛集团有限公司所有。根据《国有土地使用证》[]，估价对象（分摊）出让国有建设用地使用权面积为1066.21平方米，建筑面积为12000.23平方米。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8号房地产,属北京铜牛集团有限公司开发建设的办公项目，该项目尚在开发建设中。根据《国有土地使用证》[]，估价对象（分摊）出让国有建设用地使用权面积为1066.21平方米，规划建筑面积为12000.23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东城区朝阳门北大街8号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写字楼，土地取得方式为出让，出让国有建设用地使用权剩余土地使用年限为18.87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写字楼，实际开发程度为宗地红线外“七通”（即、、、、、、）、红线内场地平整条件下，剩余土地使用年限为18.87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73"/>
  <sheetViews>
    <sheetView topLeftCell="A64" workbookViewId="0">
      <selection activeCell="A67" sqref="A67:O73"/>
    </sheetView>
  </sheetViews>
  <sheetFormatPr defaultColWidth="11.88671875" defaultRowHeight="14.4"/>
  <cols>
    <col min="1" max="1" width="11.88671875" style="1155"/>
    <col min="2" max="3" width="8.21875" style="1155" customWidth="1"/>
    <col min="4" max="4" width="11.88671875" style="1155"/>
    <col min="5" max="7" width="6.77734375" style="1155" customWidth="1"/>
    <col min="8" max="16384" width="11.8867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5">
        <v>44791.333831018521</v>
      </c>
      <c r="B2" s="1155" t="s">
        <v>3883</v>
      </c>
      <c r="C2" s="1155" t="s">
        <v>3883</v>
      </c>
      <c r="D2" s="1155" t="s">
        <v>3884</v>
      </c>
      <c r="E2" s="1155" t="s">
        <v>3883</v>
      </c>
      <c r="F2" s="1155" t="s">
        <v>3883</v>
      </c>
      <c r="G2" s="1155">
        <v>14</v>
      </c>
      <c r="H2" s="1155">
        <v>1406</v>
      </c>
      <c r="I2" s="1155" t="s">
        <v>3885</v>
      </c>
      <c r="J2" s="1155" t="s">
        <v>21</v>
      </c>
      <c r="K2" s="1155" t="s">
        <v>3886</v>
      </c>
      <c r="L2" s="1155">
        <v>161.91999999999999</v>
      </c>
      <c r="M2" s="1155">
        <v>906.75</v>
      </c>
      <c r="N2" s="1155">
        <v>56000</v>
      </c>
    </row>
    <row r="3" spans="1:14">
      <c r="A3" s="3215">
        <v>44791.333831018521</v>
      </c>
      <c r="B3" s="1155" t="s">
        <v>3883</v>
      </c>
      <c r="C3" s="1155" t="s">
        <v>3883</v>
      </c>
      <c r="D3" s="1155" t="s">
        <v>3884</v>
      </c>
      <c r="E3" s="1155" t="s">
        <v>3883</v>
      </c>
      <c r="F3" s="1155" t="s">
        <v>3883</v>
      </c>
      <c r="G3" s="1155">
        <v>16</v>
      </c>
      <c r="H3" s="1155">
        <v>1610</v>
      </c>
      <c r="I3" s="1155" t="s">
        <v>3885</v>
      </c>
      <c r="J3" s="1155" t="s">
        <v>21</v>
      </c>
      <c r="K3" s="1155" t="s">
        <v>3886</v>
      </c>
      <c r="L3" s="1155">
        <v>104.58</v>
      </c>
      <c r="M3" s="1155">
        <v>585.65</v>
      </c>
      <c r="N3" s="1155">
        <v>56000</v>
      </c>
    </row>
    <row r="4" spans="1:14" s="3201" customFormat="1">
      <c r="A4" s="3216">
        <v>44791.333831018521</v>
      </c>
      <c r="B4" s="3201" t="s">
        <v>3883</v>
      </c>
      <c r="C4" s="3201" t="s">
        <v>3883</v>
      </c>
      <c r="D4" s="3201" t="s">
        <v>3884</v>
      </c>
      <c r="E4" s="3201" t="s">
        <v>3883</v>
      </c>
      <c r="F4" s="3201" t="s">
        <v>3883</v>
      </c>
      <c r="G4" s="3201">
        <v>-2</v>
      </c>
      <c r="H4" s="3201" t="s">
        <v>3887</v>
      </c>
      <c r="I4" s="3201" t="s">
        <v>3885</v>
      </c>
      <c r="J4" s="3201" t="s">
        <v>3888</v>
      </c>
      <c r="K4" s="3201" t="s">
        <v>3886</v>
      </c>
      <c r="L4" s="3201">
        <v>35.659999999999997</v>
      </c>
      <c r="M4" s="3201">
        <v>45</v>
      </c>
      <c r="N4" s="3201">
        <v>12619</v>
      </c>
    </row>
    <row r="5" spans="1:14">
      <c r="A5" s="3215">
        <v>44791.333831018521</v>
      </c>
      <c r="B5" s="1155" t="s">
        <v>3883</v>
      </c>
      <c r="C5" s="1155" t="s">
        <v>3883</v>
      </c>
      <c r="D5" s="1155" t="s">
        <v>3884</v>
      </c>
      <c r="E5" s="1155" t="s">
        <v>3883</v>
      </c>
      <c r="F5" s="1155" t="s">
        <v>3883</v>
      </c>
      <c r="G5" s="1155">
        <v>17</v>
      </c>
      <c r="H5" s="1155">
        <v>1709</v>
      </c>
      <c r="I5" s="1155" t="s">
        <v>3885</v>
      </c>
      <c r="J5" s="1155" t="s">
        <v>21</v>
      </c>
      <c r="K5" s="1155" t="s">
        <v>3886</v>
      </c>
      <c r="L5" s="1155">
        <v>104.58</v>
      </c>
      <c r="M5" s="1155">
        <v>585.65</v>
      </c>
      <c r="N5" s="1155">
        <v>56000</v>
      </c>
    </row>
    <row r="6" spans="1:14">
      <c r="A6" s="3215">
        <v>44791.333831018521</v>
      </c>
      <c r="B6" s="1155" t="s">
        <v>3883</v>
      </c>
      <c r="C6" s="1155" t="s">
        <v>3883</v>
      </c>
      <c r="D6" s="1155" t="s">
        <v>3884</v>
      </c>
      <c r="E6" s="1155" t="s">
        <v>3883</v>
      </c>
      <c r="F6" s="1155" t="s">
        <v>3883</v>
      </c>
      <c r="G6" s="1155">
        <v>16</v>
      </c>
      <c r="H6" s="1155">
        <v>1603</v>
      </c>
      <c r="I6" s="1155" t="s">
        <v>3885</v>
      </c>
      <c r="J6" s="1155" t="s">
        <v>21</v>
      </c>
      <c r="K6" s="1155" t="s">
        <v>3886</v>
      </c>
      <c r="L6" s="1155">
        <v>104.58</v>
      </c>
      <c r="M6" s="1155">
        <v>585.65</v>
      </c>
      <c r="N6" s="1155">
        <v>56000</v>
      </c>
    </row>
    <row r="7" spans="1:14">
      <c r="A7" s="3215">
        <v>44791.333831018521</v>
      </c>
      <c r="B7" s="1155" t="s">
        <v>3883</v>
      </c>
      <c r="C7" s="1155" t="s">
        <v>3883</v>
      </c>
      <c r="D7" s="1155" t="s">
        <v>3884</v>
      </c>
      <c r="E7" s="1155" t="s">
        <v>3883</v>
      </c>
      <c r="F7" s="1155" t="s">
        <v>3883</v>
      </c>
      <c r="G7" s="1155">
        <v>16</v>
      </c>
      <c r="H7" s="1155">
        <v>1612</v>
      </c>
      <c r="I7" s="1155" t="s">
        <v>3885</v>
      </c>
      <c r="J7" s="1155" t="s">
        <v>21</v>
      </c>
      <c r="K7" s="1155" t="s">
        <v>3886</v>
      </c>
      <c r="L7" s="1155">
        <v>161.91999999999999</v>
      </c>
      <c r="M7" s="1155">
        <v>906.75</v>
      </c>
      <c r="N7" s="1155">
        <v>56000</v>
      </c>
    </row>
    <row r="8" spans="1:14">
      <c r="A8" s="3215">
        <v>44791.333831018521</v>
      </c>
      <c r="B8" s="1155" t="s">
        <v>3883</v>
      </c>
      <c r="C8" s="1155" t="s">
        <v>3883</v>
      </c>
      <c r="D8" s="1155" t="s">
        <v>3884</v>
      </c>
      <c r="E8" s="1155" t="s">
        <v>3883</v>
      </c>
      <c r="F8" s="1155" t="s">
        <v>3883</v>
      </c>
      <c r="G8" s="1155">
        <v>17</v>
      </c>
      <c r="H8" s="1155">
        <v>1702</v>
      </c>
      <c r="I8" s="1155" t="s">
        <v>3885</v>
      </c>
      <c r="J8" s="1155" t="s">
        <v>21</v>
      </c>
      <c r="K8" s="1155" t="s">
        <v>3886</v>
      </c>
      <c r="L8" s="1155">
        <v>104.58</v>
      </c>
      <c r="M8" s="1155">
        <v>585.65</v>
      </c>
      <c r="N8" s="1155">
        <v>56000</v>
      </c>
    </row>
    <row r="9" spans="1:14">
      <c r="A9" s="3215">
        <v>44791.333831018521</v>
      </c>
      <c r="B9" s="1155" t="s">
        <v>3883</v>
      </c>
      <c r="C9" s="1155" t="s">
        <v>3883</v>
      </c>
      <c r="D9" s="1155" t="s">
        <v>3884</v>
      </c>
      <c r="E9" s="1155" t="s">
        <v>3883</v>
      </c>
      <c r="F9" s="1155" t="s">
        <v>3883</v>
      </c>
      <c r="G9" s="1155">
        <v>14</v>
      </c>
      <c r="H9" s="1155">
        <v>1401</v>
      </c>
      <c r="I9" s="1155" t="s">
        <v>3885</v>
      </c>
      <c r="J9" s="1155" t="s">
        <v>21</v>
      </c>
      <c r="K9" s="1155" t="s">
        <v>3886</v>
      </c>
      <c r="L9" s="1155">
        <v>146</v>
      </c>
      <c r="M9" s="1155">
        <v>817.6</v>
      </c>
      <c r="N9" s="1155">
        <v>56000</v>
      </c>
    </row>
    <row r="10" spans="1:14">
      <c r="A10" s="3215">
        <v>44791.333831018521</v>
      </c>
      <c r="B10" s="1155" t="s">
        <v>3883</v>
      </c>
      <c r="C10" s="1155" t="s">
        <v>3883</v>
      </c>
      <c r="D10" s="1155" t="s">
        <v>3884</v>
      </c>
      <c r="E10" s="1155" t="s">
        <v>3883</v>
      </c>
      <c r="F10" s="1155" t="s">
        <v>3883</v>
      </c>
      <c r="G10" s="1155">
        <v>16</v>
      </c>
      <c r="H10" s="1155">
        <v>1608</v>
      </c>
      <c r="I10" s="1155" t="s">
        <v>3885</v>
      </c>
      <c r="J10" s="1155" t="s">
        <v>21</v>
      </c>
      <c r="K10" s="1155" t="s">
        <v>3886</v>
      </c>
      <c r="L10" s="1155">
        <v>104.58</v>
      </c>
      <c r="M10" s="1155">
        <v>585.65</v>
      </c>
      <c r="N10" s="1155">
        <v>56000</v>
      </c>
    </row>
    <row r="11" spans="1:14" s="3201" customFormat="1">
      <c r="A11" s="3216">
        <v>44791.333831018521</v>
      </c>
      <c r="B11" s="3201" t="s">
        <v>3883</v>
      </c>
      <c r="C11" s="3201" t="s">
        <v>3883</v>
      </c>
      <c r="D11" s="3201" t="s">
        <v>3884</v>
      </c>
      <c r="E11" s="3201" t="s">
        <v>3883</v>
      </c>
      <c r="F11" s="3201" t="s">
        <v>3883</v>
      </c>
      <c r="G11" s="3201">
        <v>-2</v>
      </c>
      <c r="H11" s="3201" t="s">
        <v>3889</v>
      </c>
      <c r="I11" s="3201" t="s">
        <v>3885</v>
      </c>
      <c r="J11" s="3201" t="s">
        <v>3888</v>
      </c>
      <c r="K11" s="3201" t="s">
        <v>3886</v>
      </c>
      <c r="L11" s="3201">
        <v>35.659999999999997</v>
      </c>
      <c r="M11" s="3201">
        <v>45</v>
      </c>
      <c r="N11" s="3201">
        <v>12619</v>
      </c>
    </row>
    <row r="12" spans="1:14">
      <c r="A12" s="3215">
        <v>44791.333831018521</v>
      </c>
      <c r="B12" s="1155" t="s">
        <v>3883</v>
      </c>
      <c r="C12" s="1155" t="s">
        <v>3883</v>
      </c>
      <c r="D12" s="1155" t="s">
        <v>3884</v>
      </c>
      <c r="E12" s="1155" t="s">
        <v>3883</v>
      </c>
      <c r="F12" s="1155" t="s">
        <v>3883</v>
      </c>
      <c r="G12" s="1155">
        <v>17</v>
      </c>
      <c r="H12" s="1155">
        <v>1706</v>
      </c>
      <c r="I12" s="1155" t="s">
        <v>3885</v>
      </c>
      <c r="J12" s="1155" t="s">
        <v>21</v>
      </c>
      <c r="K12" s="1155" t="s">
        <v>3886</v>
      </c>
      <c r="L12" s="1155">
        <v>161.91999999999999</v>
      </c>
      <c r="M12" s="1155">
        <v>906.75</v>
      </c>
      <c r="N12" s="1155">
        <v>56000</v>
      </c>
    </row>
    <row r="13" spans="1:14" s="3201" customFormat="1">
      <c r="A13" s="3216">
        <v>44791.333831018521</v>
      </c>
      <c r="B13" s="3201" t="s">
        <v>3883</v>
      </c>
      <c r="C13" s="3201" t="s">
        <v>3883</v>
      </c>
      <c r="D13" s="3201" t="s">
        <v>3884</v>
      </c>
      <c r="E13" s="3201" t="s">
        <v>3883</v>
      </c>
      <c r="F13" s="3201" t="s">
        <v>3883</v>
      </c>
      <c r="G13" s="3201">
        <v>-2</v>
      </c>
      <c r="H13" s="3201" t="s">
        <v>3890</v>
      </c>
      <c r="I13" s="3201" t="s">
        <v>3885</v>
      </c>
      <c r="J13" s="3201" t="s">
        <v>3888</v>
      </c>
      <c r="K13" s="3201" t="s">
        <v>3886</v>
      </c>
      <c r="L13" s="3201">
        <v>35.659999999999997</v>
      </c>
      <c r="M13" s="3201">
        <v>45</v>
      </c>
      <c r="N13" s="3201">
        <v>12619</v>
      </c>
    </row>
    <row r="14" spans="1:14">
      <c r="A14" s="3215">
        <v>44791.333831018521</v>
      </c>
      <c r="B14" s="1155" t="s">
        <v>3883</v>
      </c>
      <c r="C14" s="1155" t="s">
        <v>3883</v>
      </c>
      <c r="D14" s="1155" t="s">
        <v>3884</v>
      </c>
      <c r="E14" s="1155" t="s">
        <v>3883</v>
      </c>
      <c r="F14" s="1155" t="s">
        <v>3883</v>
      </c>
      <c r="G14" s="1155">
        <v>17</v>
      </c>
      <c r="H14" s="1155">
        <v>1707</v>
      </c>
      <c r="I14" s="1155" t="s">
        <v>3885</v>
      </c>
      <c r="J14" s="1155" t="s">
        <v>21</v>
      </c>
      <c r="K14" s="1155" t="s">
        <v>3886</v>
      </c>
      <c r="L14" s="1155">
        <v>146</v>
      </c>
      <c r="M14" s="1155">
        <v>817.6</v>
      </c>
      <c r="N14" s="1155">
        <v>56000</v>
      </c>
    </row>
    <row r="15" spans="1:14">
      <c r="A15" s="3215">
        <v>44791.333831018521</v>
      </c>
      <c r="B15" s="1155" t="s">
        <v>3883</v>
      </c>
      <c r="C15" s="1155" t="s">
        <v>3883</v>
      </c>
      <c r="D15" s="1155" t="s">
        <v>3884</v>
      </c>
      <c r="E15" s="1155" t="s">
        <v>3883</v>
      </c>
      <c r="F15" s="1155" t="s">
        <v>3883</v>
      </c>
      <c r="G15" s="1155">
        <v>15</v>
      </c>
      <c r="H15" s="1155">
        <v>1504</v>
      </c>
      <c r="I15" s="1155" t="s">
        <v>3885</v>
      </c>
      <c r="J15" s="1155" t="s">
        <v>21</v>
      </c>
      <c r="K15" s="1155" t="s">
        <v>3886</v>
      </c>
      <c r="L15" s="1155">
        <v>104.58</v>
      </c>
      <c r="M15" s="1155">
        <v>585.65</v>
      </c>
      <c r="N15" s="1155">
        <v>56000</v>
      </c>
    </row>
    <row r="16" spans="1:14">
      <c r="A16" s="3215">
        <v>44791.333831018521</v>
      </c>
      <c r="B16" s="1155" t="s">
        <v>3883</v>
      </c>
      <c r="C16" s="1155" t="s">
        <v>3883</v>
      </c>
      <c r="D16" s="1155" t="s">
        <v>3884</v>
      </c>
      <c r="E16" s="1155" t="s">
        <v>3883</v>
      </c>
      <c r="F16" s="1155" t="s">
        <v>3883</v>
      </c>
      <c r="G16" s="1155">
        <v>15</v>
      </c>
      <c r="H16" s="1155">
        <v>1505</v>
      </c>
      <c r="I16" s="1155" t="s">
        <v>3885</v>
      </c>
      <c r="J16" s="1155" t="s">
        <v>21</v>
      </c>
      <c r="K16" s="1155" t="s">
        <v>3886</v>
      </c>
      <c r="L16" s="1155">
        <v>138.54</v>
      </c>
      <c r="M16" s="1155">
        <v>775.82</v>
      </c>
      <c r="N16" s="1155">
        <v>56000</v>
      </c>
    </row>
    <row r="17" spans="1:14" s="3201" customFormat="1">
      <c r="A17" s="3216">
        <v>44791.333831018521</v>
      </c>
      <c r="B17" s="3201" t="s">
        <v>3883</v>
      </c>
      <c r="C17" s="3201" t="s">
        <v>3883</v>
      </c>
      <c r="D17" s="3201" t="s">
        <v>3884</v>
      </c>
      <c r="E17" s="3201" t="s">
        <v>3883</v>
      </c>
      <c r="F17" s="3201" t="s">
        <v>3883</v>
      </c>
      <c r="G17" s="3201">
        <v>-2</v>
      </c>
      <c r="H17" s="3201" t="s">
        <v>3891</v>
      </c>
      <c r="I17" s="3201" t="s">
        <v>3885</v>
      </c>
      <c r="J17" s="3201" t="s">
        <v>3888</v>
      </c>
      <c r="K17" s="3201" t="s">
        <v>3886</v>
      </c>
      <c r="L17" s="3201">
        <v>35.659999999999997</v>
      </c>
      <c r="M17" s="3201">
        <v>45</v>
      </c>
      <c r="N17" s="3201">
        <v>12619</v>
      </c>
    </row>
    <row r="18" spans="1:14">
      <c r="A18" s="3215">
        <v>44791.333831018521</v>
      </c>
      <c r="B18" s="1155" t="s">
        <v>3883</v>
      </c>
      <c r="C18" s="1155" t="s">
        <v>3883</v>
      </c>
      <c r="D18" s="1155" t="s">
        <v>3884</v>
      </c>
      <c r="E18" s="1155" t="s">
        <v>3883</v>
      </c>
      <c r="F18" s="1155" t="s">
        <v>3883</v>
      </c>
      <c r="G18" s="1155">
        <v>17</v>
      </c>
      <c r="H18" s="1155">
        <v>1705</v>
      </c>
      <c r="I18" s="1155" t="s">
        <v>3885</v>
      </c>
      <c r="J18" s="1155" t="s">
        <v>21</v>
      </c>
      <c r="K18" s="1155" t="s">
        <v>3886</v>
      </c>
      <c r="L18" s="1155">
        <v>138.54</v>
      </c>
      <c r="M18" s="1155">
        <v>775.82</v>
      </c>
      <c r="N18" s="1155">
        <v>56000</v>
      </c>
    </row>
    <row r="19" spans="1:14">
      <c r="A19" s="3215">
        <v>44791.333831018521</v>
      </c>
      <c r="B19" s="1155" t="s">
        <v>3883</v>
      </c>
      <c r="C19" s="1155" t="s">
        <v>3883</v>
      </c>
      <c r="D19" s="1155" t="s">
        <v>3884</v>
      </c>
      <c r="E19" s="1155" t="s">
        <v>3883</v>
      </c>
      <c r="F19" s="1155" t="s">
        <v>3883</v>
      </c>
      <c r="G19" s="1155">
        <v>14</v>
      </c>
      <c r="H19" s="1155">
        <v>1412</v>
      </c>
      <c r="I19" s="1155" t="s">
        <v>3885</v>
      </c>
      <c r="J19" s="1155" t="s">
        <v>21</v>
      </c>
      <c r="K19" s="1155" t="s">
        <v>3886</v>
      </c>
      <c r="L19" s="1155">
        <v>161.91999999999999</v>
      </c>
      <c r="M19" s="1155">
        <v>906.75</v>
      </c>
      <c r="N19" s="1155">
        <v>56000</v>
      </c>
    </row>
    <row r="20" spans="1:14">
      <c r="A20" s="3215">
        <v>44791.333831018521</v>
      </c>
      <c r="B20" s="1155" t="s">
        <v>3883</v>
      </c>
      <c r="C20" s="1155" t="s">
        <v>3883</v>
      </c>
      <c r="D20" s="1155" t="s">
        <v>3884</v>
      </c>
      <c r="E20" s="1155" t="s">
        <v>3883</v>
      </c>
      <c r="F20" s="1155" t="s">
        <v>3883</v>
      </c>
      <c r="G20" s="1155">
        <v>14</v>
      </c>
      <c r="H20" s="1155">
        <v>1404</v>
      </c>
      <c r="I20" s="1155" t="s">
        <v>3885</v>
      </c>
      <c r="J20" s="1155" t="s">
        <v>21</v>
      </c>
      <c r="K20" s="1155" t="s">
        <v>3886</v>
      </c>
      <c r="L20" s="1155">
        <v>104.58</v>
      </c>
      <c r="M20" s="1155">
        <v>585.65</v>
      </c>
      <c r="N20" s="1155">
        <v>56000</v>
      </c>
    </row>
    <row r="21" spans="1:14">
      <c r="A21" s="3215">
        <v>44791.333831018521</v>
      </c>
      <c r="B21" s="1155" t="s">
        <v>3883</v>
      </c>
      <c r="C21" s="1155" t="s">
        <v>3883</v>
      </c>
      <c r="D21" s="1155" t="s">
        <v>3884</v>
      </c>
      <c r="E21" s="1155" t="s">
        <v>3883</v>
      </c>
      <c r="F21" s="1155" t="s">
        <v>3883</v>
      </c>
      <c r="G21" s="1155">
        <v>17</v>
      </c>
      <c r="H21" s="1155">
        <v>1704</v>
      </c>
      <c r="I21" s="1155" t="s">
        <v>3885</v>
      </c>
      <c r="J21" s="1155" t="s">
        <v>21</v>
      </c>
      <c r="K21" s="1155" t="s">
        <v>3886</v>
      </c>
      <c r="L21" s="1155">
        <v>104.58</v>
      </c>
      <c r="M21" s="1155">
        <v>585.65</v>
      </c>
      <c r="N21" s="1155">
        <v>56000</v>
      </c>
    </row>
    <row r="22" spans="1:14">
      <c r="A22" s="3215">
        <v>44791.333831018521</v>
      </c>
      <c r="B22" s="1155" t="s">
        <v>3883</v>
      </c>
      <c r="C22" s="1155" t="s">
        <v>3883</v>
      </c>
      <c r="D22" s="1155" t="s">
        <v>3884</v>
      </c>
      <c r="E22" s="1155" t="s">
        <v>3883</v>
      </c>
      <c r="F22" s="1155" t="s">
        <v>3883</v>
      </c>
      <c r="G22" s="1155">
        <v>17</v>
      </c>
      <c r="H22" s="1155">
        <v>1711</v>
      </c>
      <c r="I22" s="1155" t="s">
        <v>3885</v>
      </c>
      <c r="J22" s="1155" t="s">
        <v>21</v>
      </c>
      <c r="K22" s="1155" t="s">
        <v>3886</v>
      </c>
      <c r="L22" s="1155">
        <v>138.54</v>
      </c>
      <c r="M22" s="1155">
        <v>775.82</v>
      </c>
      <c r="N22" s="1155">
        <v>56000</v>
      </c>
    </row>
    <row r="23" spans="1:14" s="3201" customFormat="1">
      <c r="A23" s="3216">
        <v>44791.333831018521</v>
      </c>
      <c r="B23" s="3201" t="s">
        <v>3883</v>
      </c>
      <c r="C23" s="3201" t="s">
        <v>3883</v>
      </c>
      <c r="D23" s="3201" t="s">
        <v>3884</v>
      </c>
      <c r="E23" s="3201" t="s">
        <v>3883</v>
      </c>
      <c r="F23" s="3201" t="s">
        <v>3883</v>
      </c>
      <c r="G23" s="3201">
        <v>-2</v>
      </c>
      <c r="H23" s="3201" t="s">
        <v>3892</v>
      </c>
      <c r="I23" s="3201" t="s">
        <v>3885</v>
      </c>
      <c r="J23" s="3201" t="s">
        <v>3888</v>
      </c>
      <c r="K23" s="3201" t="s">
        <v>3886</v>
      </c>
      <c r="L23" s="3201">
        <v>35.659999999999997</v>
      </c>
      <c r="M23" s="3201">
        <v>45</v>
      </c>
      <c r="N23" s="3201">
        <v>12619</v>
      </c>
    </row>
    <row r="24" spans="1:14">
      <c r="A24" s="3215">
        <v>44791.333831018521</v>
      </c>
      <c r="B24" s="1155" t="s">
        <v>3883</v>
      </c>
      <c r="C24" s="1155" t="s">
        <v>3883</v>
      </c>
      <c r="D24" s="1155" t="s">
        <v>3884</v>
      </c>
      <c r="E24" s="1155" t="s">
        <v>3883</v>
      </c>
      <c r="F24" s="1155" t="s">
        <v>3883</v>
      </c>
      <c r="G24" s="1155">
        <v>16</v>
      </c>
      <c r="H24" s="1155">
        <v>1607</v>
      </c>
      <c r="I24" s="1155" t="s">
        <v>3885</v>
      </c>
      <c r="J24" s="1155" t="s">
        <v>21</v>
      </c>
      <c r="K24" s="1155" t="s">
        <v>3886</v>
      </c>
      <c r="L24" s="1155">
        <v>146</v>
      </c>
      <c r="M24" s="1155">
        <v>817.6</v>
      </c>
      <c r="N24" s="1155">
        <v>56000</v>
      </c>
    </row>
    <row r="25" spans="1:14">
      <c r="A25" s="3215">
        <v>44791.333831018521</v>
      </c>
      <c r="B25" s="1155" t="s">
        <v>3883</v>
      </c>
      <c r="C25" s="1155" t="s">
        <v>3883</v>
      </c>
      <c r="D25" s="1155" t="s">
        <v>3884</v>
      </c>
      <c r="E25" s="1155" t="s">
        <v>3883</v>
      </c>
      <c r="F25" s="1155" t="s">
        <v>3883</v>
      </c>
      <c r="G25" s="1155">
        <v>16</v>
      </c>
      <c r="H25" s="1155">
        <v>1611</v>
      </c>
      <c r="I25" s="1155" t="s">
        <v>3885</v>
      </c>
      <c r="J25" s="1155" t="s">
        <v>21</v>
      </c>
      <c r="K25" s="1155" t="s">
        <v>3886</v>
      </c>
      <c r="L25" s="1155">
        <v>138.54</v>
      </c>
      <c r="M25" s="1155">
        <v>775.82</v>
      </c>
      <c r="N25" s="1155">
        <v>56000</v>
      </c>
    </row>
    <row r="26" spans="1:14">
      <c r="A26" s="3215">
        <v>44791.333831018521</v>
      </c>
      <c r="B26" s="1155" t="s">
        <v>3883</v>
      </c>
      <c r="C26" s="1155" t="s">
        <v>3883</v>
      </c>
      <c r="D26" s="1155" t="s">
        <v>3884</v>
      </c>
      <c r="E26" s="1155" t="s">
        <v>3883</v>
      </c>
      <c r="F26" s="1155" t="s">
        <v>3883</v>
      </c>
      <c r="G26" s="1155">
        <v>15</v>
      </c>
      <c r="H26" s="1155">
        <v>1507</v>
      </c>
      <c r="I26" s="1155" t="s">
        <v>3885</v>
      </c>
      <c r="J26" s="1155" t="s">
        <v>21</v>
      </c>
      <c r="K26" s="1155" t="s">
        <v>3886</v>
      </c>
      <c r="L26" s="1155">
        <v>146</v>
      </c>
      <c r="M26" s="1155">
        <v>817.6</v>
      </c>
      <c r="N26" s="1155">
        <v>56000</v>
      </c>
    </row>
    <row r="27" spans="1:14">
      <c r="A27" s="3215">
        <v>44791.333831018521</v>
      </c>
      <c r="B27" s="1155" t="s">
        <v>3883</v>
      </c>
      <c r="C27" s="1155" t="s">
        <v>3883</v>
      </c>
      <c r="D27" s="1155" t="s">
        <v>3884</v>
      </c>
      <c r="E27" s="1155" t="s">
        <v>3883</v>
      </c>
      <c r="F27" s="1155" t="s">
        <v>3883</v>
      </c>
      <c r="G27" s="1155">
        <v>15</v>
      </c>
      <c r="H27" s="1155">
        <v>1511</v>
      </c>
      <c r="I27" s="1155" t="s">
        <v>3885</v>
      </c>
      <c r="J27" s="1155" t="s">
        <v>21</v>
      </c>
      <c r="K27" s="1155" t="s">
        <v>3886</v>
      </c>
      <c r="L27" s="1155">
        <v>138.54</v>
      </c>
      <c r="M27" s="1155">
        <v>775.82</v>
      </c>
      <c r="N27" s="1155">
        <v>56000</v>
      </c>
    </row>
    <row r="28" spans="1:14">
      <c r="A28" s="3215">
        <v>44791.333831018521</v>
      </c>
      <c r="B28" s="1155" t="s">
        <v>3883</v>
      </c>
      <c r="C28" s="1155" t="s">
        <v>3883</v>
      </c>
      <c r="D28" s="1155" t="s">
        <v>3884</v>
      </c>
      <c r="E28" s="1155" t="s">
        <v>3883</v>
      </c>
      <c r="F28" s="1155" t="s">
        <v>3883</v>
      </c>
      <c r="G28" s="1155">
        <v>14</v>
      </c>
      <c r="H28" s="1155">
        <v>1402</v>
      </c>
      <c r="I28" s="1155" t="s">
        <v>3885</v>
      </c>
      <c r="J28" s="1155" t="s">
        <v>21</v>
      </c>
      <c r="K28" s="1155" t="s">
        <v>3886</v>
      </c>
      <c r="L28" s="1155">
        <v>104.58</v>
      </c>
      <c r="M28" s="1155">
        <v>585.65</v>
      </c>
      <c r="N28" s="1155">
        <v>56000</v>
      </c>
    </row>
    <row r="29" spans="1:14">
      <c r="A29" s="3215">
        <v>44791.333831018521</v>
      </c>
      <c r="B29" s="1155" t="s">
        <v>3883</v>
      </c>
      <c r="C29" s="1155" t="s">
        <v>3883</v>
      </c>
      <c r="D29" s="1155" t="s">
        <v>3884</v>
      </c>
      <c r="E29" s="1155" t="s">
        <v>3883</v>
      </c>
      <c r="F29" s="1155" t="s">
        <v>3883</v>
      </c>
      <c r="G29" s="1155">
        <v>17</v>
      </c>
      <c r="H29" s="1155">
        <v>1710</v>
      </c>
      <c r="I29" s="1155" t="s">
        <v>3885</v>
      </c>
      <c r="J29" s="1155" t="s">
        <v>21</v>
      </c>
      <c r="K29" s="1155" t="s">
        <v>3886</v>
      </c>
      <c r="L29" s="1155">
        <v>104.58</v>
      </c>
      <c r="M29" s="1155">
        <v>585.65</v>
      </c>
      <c r="N29" s="1155">
        <v>56000</v>
      </c>
    </row>
    <row r="30" spans="1:14" s="3201" customFormat="1">
      <c r="A30" s="3216">
        <v>44791.333831018521</v>
      </c>
      <c r="B30" s="3201" t="s">
        <v>3883</v>
      </c>
      <c r="C30" s="3201" t="s">
        <v>3883</v>
      </c>
      <c r="D30" s="3201" t="s">
        <v>3884</v>
      </c>
      <c r="E30" s="3201" t="s">
        <v>3883</v>
      </c>
      <c r="F30" s="3201" t="s">
        <v>3883</v>
      </c>
      <c r="G30" s="3201">
        <v>-2</v>
      </c>
      <c r="H30" s="3201" t="s">
        <v>3893</v>
      </c>
      <c r="I30" s="3201" t="s">
        <v>3885</v>
      </c>
      <c r="J30" s="3201" t="s">
        <v>3888</v>
      </c>
      <c r="K30" s="3201" t="s">
        <v>3886</v>
      </c>
      <c r="L30" s="3201">
        <v>35.659999999999997</v>
      </c>
      <c r="M30" s="3201">
        <v>45</v>
      </c>
      <c r="N30" s="3201">
        <v>12619</v>
      </c>
    </row>
    <row r="31" spans="1:14">
      <c r="A31" s="3215">
        <v>44791.333831018521</v>
      </c>
      <c r="B31" s="1155" t="s">
        <v>3883</v>
      </c>
      <c r="C31" s="1155" t="s">
        <v>3883</v>
      </c>
      <c r="D31" s="1155" t="s">
        <v>3884</v>
      </c>
      <c r="E31" s="1155" t="s">
        <v>3883</v>
      </c>
      <c r="F31" s="1155" t="s">
        <v>3883</v>
      </c>
      <c r="G31" s="1155">
        <v>17</v>
      </c>
      <c r="H31" s="1155">
        <v>1708</v>
      </c>
      <c r="I31" s="1155" t="s">
        <v>3885</v>
      </c>
      <c r="J31" s="1155" t="s">
        <v>21</v>
      </c>
      <c r="K31" s="1155" t="s">
        <v>3886</v>
      </c>
      <c r="L31" s="1155">
        <v>104.58</v>
      </c>
      <c r="M31" s="1155">
        <v>585.65</v>
      </c>
      <c r="N31" s="1155">
        <v>56000</v>
      </c>
    </row>
    <row r="32" spans="1:14">
      <c r="A32" s="3215">
        <v>44791.333831018521</v>
      </c>
      <c r="B32" s="1155" t="s">
        <v>3883</v>
      </c>
      <c r="C32" s="1155" t="s">
        <v>3883</v>
      </c>
      <c r="D32" s="1155" t="s">
        <v>3884</v>
      </c>
      <c r="E32" s="1155" t="s">
        <v>3883</v>
      </c>
      <c r="F32" s="1155" t="s">
        <v>3883</v>
      </c>
      <c r="G32" s="1155">
        <v>15</v>
      </c>
      <c r="H32" s="1155">
        <v>1510</v>
      </c>
      <c r="I32" s="1155" t="s">
        <v>3885</v>
      </c>
      <c r="J32" s="1155" t="s">
        <v>21</v>
      </c>
      <c r="K32" s="1155" t="s">
        <v>3886</v>
      </c>
      <c r="L32" s="1155">
        <v>104.58</v>
      </c>
      <c r="M32" s="1155">
        <v>585.65</v>
      </c>
      <c r="N32" s="1155">
        <v>56000</v>
      </c>
    </row>
    <row r="33" spans="1:14">
      <c r="A33" s="3215">
        <v>44791.333831018521</v>
      </c>
      <c r="B33" s="1155" t="s">
        <v>3883</v>
      </c>
      <c r="C33" s="1155" t="s">
        <v>3883</v>
      </c>
      <c r="D33" s="1155" t="s">
        <v>3884</v>
      </c>
      <c r="E33" s="1155" t="s">
        <v>3883</v>
      </c>
      <c r="F33" s="1155" t="s">
        <v>3883</v>
      </c>
      <c r="G33" s="1155">
        <v>15</v>
      </c>
      <c r="H33" s="1155">
        <v>1506</v>
      </c>
      <c r="I33" s="1155" t="s">
        <v>3885</v>
      </c>
      <c r="J33" s="1155" t="s">
        <v>21</v>
      </c>
      <c r="K33" s="1155" t="s">
        <v>3886</v>
      </c>
      <c r="L33" s="1155">
        <v>161.91999999999999</v>
      </c>
      <c r="M33" s="1155">
        <v>906.75</v>
      </c>
      <c r="N33" s="1155">
        <v>56000</v>
      </c>
    </row>
    <row r="34" spans="1:14">
      <c r="A34" s="3215">
        <v>44791.333831018521</v>
      </c>
      <c r="B34" s="1155" t="s">
        <v>3883</v>
      </c>
      <c r="C34" s="1155" t="s">
        <v>3883</v>
      </c>
      <c r="D34" s="1155" t="s">
        <v>3884</v>
      </c>
      <c r="E34" s="1155" t="s">
        <v>3883</v>
      </c>
      <c r="F34" s="1155" t="s">
        <v>3883</v>
      </c>
      <c r="G34" s="1155">
        <v>16</v>
      </c>
      <c r="H34" s="1155">
        <v>1602</v>
      </c>
      <c r="I34" s="1155" t="s">
        <v>3885</v>
      </c>
      <c r="J34" s="1155" t="s">
        <v>21</v>
      </c>
      <c r="K34" s="1155" t="s">
        <v>3886</v>
      </c>
      <c r="L34" s="1155">
        <v>104.58</v>
      </c>
      <c r="M34" s="1155">
        <v>585.65</v>
      </c>
      <c r="N34" s="1155">
        <v>56000</v>
      </c>
    </row>
    <row r="35" spans="1:14">
      <c r="A35" s="3215">
        <v>44791.333831018521</v>
      </c>
      <c r="B35" s="1155" t="s">
        <v>3883</v>
      </c>
      <c r="C35" s="1155" t="s">
        <v>3883</v>
      </c>
      <c r="D35" s="1155" t="s">
        <v>3884</v>
      </c>
      <c r="E35" s="1155" t="s">
        <v>3883</v>
      </c>
      <c r="F35" s="1155" t="s">
        <v>3883</v>
      </c>
      <c r="G35" s="1155">
        <v>14</v>
      </c>
      <c r="H35" s="1155">
        <v>1409</v>
      </c>
      <c r="I35" s="1155" t="s">
        <v>3885</v>
      </c>
      <c r="J35" s="1155" t="s">
        <v>21</v>
      </c>
      <c r="K35" s="1155" t="s">
        <v>3886</v>
      </c>
      <c r="L35" s="1155">
        <v>104.58</v>
      </c>
      <c r="M35" s="1155">
        <v>585.65</v>
      </c>
      <c r="N35" s="1155">
        <v>56000</v>
      </c>
    </row>
    <row r="36" spans="1:14">
      <c r="A36" s="3215">
        <v>44791.333831018521</v>
      </c>
      <c r="B36" s="1155" t="s">
        <v>3883</v>
      </c>
      <c r="C36" s="1155" t="s">
        <v>3883</v>
      </c>
      <c r="D36" s="1155" t="s">
        <v>3884</v>
      </c>
      <c r="E36" s="1155" t="s">
        <v>3883</v>
      </c>
      <c r="F36" s="1155" t="s">
        <v>3883</v>
      </c>
      <c r="G36" s="1155">
        <v>15</v>
      </c>
      <c r="H36" s="1155">
        <v>1512</v>
      </c>
      <c r="I36" s="1155" t="s">
        <v>3885</v>
      </c>
      <c r="J36" s="1155" t="s">
        <v>21</v>
      </c>
      <c r="K36" s="1155" t="s">
        <v>3886</v>
      </c>
      <c r="L36" s="1155">
        <v>161.91999999999999</v>
      </c>
      <c r="M36" s="1155">
        <v>906.75</v>
      </c>
      <c r="N36" s="1155">
        <v>56000</v>
      </c>
    </row>
    <row r="37" spans="1:14">
      <c r="A37" s="3215">
        <v>44791.333831018521</v>
      </c>
      <c r="B37" s="1155" t="s">
        <v>3883</v>
      </c>
      <c r="C37" s="1155" t="s">
        <v>3883</v>
      </c>
      <c r="D37" s="1155" t="s">
        <v>3884</v>
      </c>
      <c r="E37" s="1155" t="s">
        <v>3883</v>
      </c>
      <c r="F37" s="1155" t="s">
        <v>3883</v>
      </c>
      <c r="G37" s="1155">
        <v>14</v>
      </c>
      <c r="H37" s="1155">
        <v>1403</v>
      </c>
      <c r="I37" s="1155" t="s">
        <v>3885</v>
      </c>
      <c r="J37" s="1155" t="s">
        <v>21</v>
      </c>
      <c r="K37" s="1155" t="s">
        <v>3886</v>
      </c>
      <c r="L37" s="1155">
        <v>104.58</v>
      </c>
      <c r="M37" s="1155">
        <v>585.65</v>
      </c>
      <c r="N37" s="1155">
        <v>56000</v>
      </c>
    </row>
    <row r="38" spans="1:14">
      <c r="A38" s="3215">
        <v>44791.333831018521</v>
      </c>
      <c r="B38" s="1155" t="s">
        <v>3883</v>
      </c>
      <c r="C38" s="1155" t="s">
        <v>3883</v>
      </c>
      <c r="D38" s="1155" t="s">
        <v>3884</v>
      </c>
      <c r="E38" s="1155" t="s">
        <v>3883</v>
      </c>
      <c r="F38" s="1155" t="s">
        <v>3883</v>
      </c>
      <c r="G38" s="1155">
        <v>16</v>
      </c>
      <c r="H38" s="1155">
        <v>1601</v>
      </c>
      <c r="I38" s="1155" t="s">
        <v>3885</v>
      </c>
      <c r="J38" s="1155" t="s">
        <v>21</v>
      </c>
      <c r="K38" s="1155" t="s">
        <v>3886</v>
      </c>
      <c r="L38" s="1155">
        <v>146</v>
      </c>
      <c r="M38" s="1155">
        <v>817.6</v>
      </c>
      <c r="N38" s="1155">
        <v>56000</v>
      </c>
    </row>
    <row r="39" spans="1:14">
      <c r="A39" s="3215">
        <v>44791.333831018521</v>
      </c>
      <c r="B39" s="1155" t="s">
        <v>3883</v>
      </c>
      <c r="C39" s="1155" t="s">
        <v>3883</v>
      </c>
      <c r="D39" s="1155" t="s">
        <v>3884</v>
      </c>
      <c r="E39" s="1155" t="s">
        <v>3883</v>
      </c>
      <c r="F39" s="1155" t="s">
        <v>3883</v>
      </c>
      <c r="G39" s="1155">
        <v>15</v>
      </c>
      <c r="H39" s="1155">
        <v>1509</v>
      </c>
      <c r="I39" s="1155" t="s">
        <v>3885</v>
      </c>
      <c r="J39" s="1155" t="s">
        <v>21</v>
      </c>
      <c r="K39" s="1155" t="s">
        <v>3886</v>
      </c>
      <c r="L39" s="1155">
        <v>104.58</v>
      </c>
      <c r="M39" s="1155">
        <v>585.65</v>
      </c>
      <c r="N39" s="1155">
        <v>56000</v>
      </c>
    </row>
    <row r="40" spans="1:14">
      <c r="A40" s="3215">
        <v>44791.333831018521</v>
      </c>
      <c r="B40" s="1155" t="s">
        <v>3883</v>
      </c>
      <c r="C40" s="1155" t="s">
        <v>3883</v>
      </c>
      <c r="D40" s="1155" t="s">
        <v>3884</v>
      </c>
      <c r="E40" s="1155" t="s">
        <v>3883</v>
      </c>
      <c r="F40" s="1155" t="s">
        <v>3883</v>
      </c>
      <c r="G40" s="1155">
        <v>14</v>
      </c>
      <c r="H40" s="1155">
        <v>1410</v>
      </c>
      <c r="I40" s="1155" t="s">
        <v>3885</v>
      </c>
      <c r="J40" s="1155" t="s">
        <v>21</v>
      </c>
      <c r="K40" s="1155" t="s">
        <v>3886</v>
      </c>
      <c r="L40" s="1155">
        <v>104.58</v>
      </c>
      <c r="M40" s="1155">
        <v>585.65</v>
      </c>
      <c r="N40" s="1155">
        <v>56000</v>
      </c>
    </row>
    <row r="41" spans="1:14">
      <c r="A41" s="3215">
        <v>44791.333831018521</v>
      </c>
      <c r="B41" s="1155" t="s">
        <v>3883</v>
      </c>
      <c r="C41" s="1155" t="s">
        <v>3883</v>
      </c>
      <c r="D41" s="1155" t="s">
        <v>3884</v>
      </c>
      <c r="E41" s="1155" t="s">
        <v>3883</v>
      </c>
      <c r="F41" s="1155" t="s">
        <v>3883</v>
      </c>
      <c r="G41" s="1155">
        <v>17</v>
      </c>
      <c r="H41" s="1155">
        <v>1703</v>
      </c>
      <c r="I41" s="1155" t="s">
        <v>3885</v>
      </c>
      <c r="J41" s="1155" t="s">
        <v>21</v>
      </c>
      <c r="K41" s="1155" t="s">
        <v>3886</v>
      </c>
      <c r="L41" s="1155">
        <v>104.58</v>
      </c>
      <c r="M41" s="1155">
        <v>585.65</v>
      </c>
      <c r="N41" s="1155">
        <v>56000</v>
      </c>
    </row>
    <row r="42" spans="1:14" s="3201" customFormat="1">
      <c r="A42" s="3216">
        <v>44791.333831018521</v>
      </c>
      <c r="B42" s="3201" t="s">
        <v>3883</v>
      </c>
      <c r="C42" s="3201" t="s">
        <v>3883</v>
      </c>
      <c r="D42" s="3201" t="s">
        <v>3884</v>
      </c>
      <c r="E42" s="3201" t="s">
        <v>3883</v>
      </c>
      <c r="F42" s="3201" t="s">
        <v>3883</v>
      </c>
      <c r="G42" s="3201">
        <v>-2</v>
      </c>
      <c r="H42" s="3201" t="s">
        <v>3894</v>
      </c>
      <c r="I42" s="3201" t="s">
        <v>3885</v>
      </c>
      <c r="J42" s="3201" t="s">
        <v>3888</v>
      </c>
      <c r="K42" s="3201" t="s">
        <v>3886</v>
      </c>
      <c r="L42" s="3201">
        <v>35.659999999999997</v>
      </c>
      <c r="M42" s="3201">
        <v>45</v>
      </c>
      <c r="N42" s="3201">
        <v>12619</v>
      </c>
    </row>
    <row r="43" spans="1:14">
      <c r="A43" s="3215">
        <v>44791.333831018521</v>
      </c>
      <c r="B43" s="1155" t="s">
        <v>3883</v>
      </c>
      <c r="C43" s="1155" t="s">
        <v>3883</v>
      </c>
      <c r="D43" s="1155" t="s">
        <v>3884</v>
      </c>
      <c r="E43" s="1155" t="s">
        <v>3883</v>
      </c>
      <c r="F43" s="1155" t="s">
        <v>3883</v>
      </c>
      <c r="G43" s="1155">
        <v>16</v>
      </c>
      <c r="H43" s="1155">
        <v>1609</v>
      </c>
      <c r="I43" s="1155" t="s">
        <v>3885</v>
      </c>
      <c r="J43" s="1155" t="s">
        <v>21</v>
      </c>
      <c r="K43" s="1155" t="s">
        <v>3886</v>
      </c>
      <c r="L43" s="1155">
        <v>104.58</v>
      </c>
      <c r="M43" s="1155">
        <v>585.65</v>
      </c>
      <c r="N43" s="1155">
        <v>56000</v>
      </c>
    </row>
    <row r="44" spans="1:14">
      <c r="A44" s="3215">
        <v>44791.333831018521</v>
      </c>
      <c r="B44" s="1155" t="s">
        <v>3883</v>
      </c>
      <c r="C44" s="1155" t="s">
        <v>3883</v>
      </c>
      <c r="D44" s="1155" t="s">
        <v>3884</v>
      </c>
      <c r="E44" s="1155" t="s">
        <v>3883</v>
      </c>
      <c r="F44" s="1155" t="s">
        <v>3883</v>
      </c>
      <c r="G44" s="1155">
        <v>14</v>
      </c>
      <c r="H44" s="1155">
        <v>1407</v>
      </c>
      <c r="I44" s="1155" t="s">
        <v>3885</v>
      </c>
      <c r="J44" s="1155" t="s">
        <v>21</v>
      </c>
      <c r="K44" s="1155" t="s">
        <v>3886</v>
      </c>
      <c r="L44" s="1155">
        <v>146</v>
      </c>
      <c r="M44" s="1155">
        <v>817.6</v>
      </c>
      <c r="N44" s="1155">
        <v>56000</v>
      </c>
    </row>
    <row r="45" spans="1:14">
      <c r="A45" s="3215">
        <v>44791.333831018521</v>
      </c>
      <c r="B45" s="1155" t="s">
        <v>3883</v>
      </c>
      <c r="C45" s="1155" t="s">
        <v>3883</v>
      </c>
      <c r="D45" s="1155" t="s">
        <v>3884</v>
      </c>
      <c r="E45" s="1155" t="s">
        <v>3883</v>
      </c>
      <c r="F45" s="1155" t="s">
        <v>3883</v>
      </c>
      <c r="G45" s="1155">
        <v>14</v>
      </c>
      <c r="H45" s="1155">
        <v>1408</v>
      </c>
      <c r="I45" s="1155" t="s">
        <v>3885</v>
      </c>
      <c r="J45" s="1155" t="s">
        <v>21</v>
      </c>
      <c r="K45" s="1155" t="s">
        <v>3886</v>
      </c>
      <c r="L45" s="1155">
        <v>104.58</v>
      </c>
      <c r="M45" s="1155">
        <v>585.65</v>
      </c>
      <c r="N45" s="1155">
        <v>56000</v>
      </c>
    </row>
    <row r="46" spans="1:14">
      <c r="A46" s="3215">
        <v>44791.333831018521</v>
      </c>
      <c r="B46" s="1155" t="s">
        <v>3883</v>
      </c>
      <c r="C46" s="1155" t="s">
        <v>3883</v>
      </c>
      <c r="D46" s="1155" t="s">
        <v>3884</v>
      </c>
      <c r="E46" s="1155" t="s">
        <v>3883</v>
      </c>
      <c r="F46" s="1155" t="s">
        <v>3883</v>
      </c>
      <c r="G46" s="1155">
        <v>18</v>
      </c>
      <c r="H46" s="1155">
        <v>1801</v>
      </c>
      <c r="I46" s="1155" t="s">
        <v>3885</v>
      </c>
      <c r="J46" s="1155" t="s">
        <v>21</v>
      </c>
      <c r="K46" s="1155" t="s">
        <v>3886</v>
      </c>
      <c r="L46" s="1155">
        <v>1536.58</v>
      </c>
      <c r="M46" s="1155">
        <v>9265.58</v>
      </c>
      <c r="N46" s="1155">
        <v>60300</v>
      </c>
    </row>
    <row r="47" spans="1:14">
      <c r="A47" s="3215">
        <v>44791.333831018521</v>
      </c>
      <c r="B47" s="1155" t="s">
        <v>3883</v>
      </c>
      <c r="C47" s="1155" t="s">
        <v>3883</v>
      </c>
      <c r="D47" s="1155" t="s">
        <v>3884</v>
      </c>
      <c r="E47" s="1155" t="s">
        <v>3883</v>
      </c>
      <c r="F47" s="1155" t="s">
        <v>3883</v>
      </c>
      <c r="G47" s="1155">
        <v>15</v>
      </c>
      <c r="H47" s="1155">
        <v>1503</v>
      </c>
      <c r="I47" s="1155" t="s">
        <v>3885</v>
      </c>
      <c r="J47" s="1155" t="s">
        <v>21</v>
      </c>
      <c r="K47" s="1155" t="s">
        <v>3886</v>
      </c>
      <c r="L47" s="1155">
        <v>104.58</v>
      </c>
      <c r="M47" s="1155">
        <v>585.65</v>
      </c>
      <c r="N47" s="1155">
        <v>56000</v>
      </c>
    </row>
    <row r="48" spans="1:14">
      <c r="A48" s="3215">
        <v>44791.333831018521</v>
      </c>
      <c r="B48" s="1155" t="s">
        <v>3883</v>
      </c>
      <c r="C48" s="1155" t="s">
        <v>3883</v>
      </c>
      <c r="D48" s="1155" t="s">
        <v>3884</v>
      </c>
      <c r="E48" s="1155" t="s">
        <v>3883</v>
      </c>
      <c r="F48" s="1155" t="s">
        <v>3883</v>
      </c>
      <c r="G48" s="1155">
        <v>15</v>
      </c>
      <c r="H48" s="1155">
        <v>1502</v>
      </c>
      <c r="I48" s="1155" t="s">
        <v>3885</v>
      </c>
      <c r="J48" s="1155" t="s">
        <v>21</v>
      </c>
      <c r="K48" s="1155" t="s">
        <v>3886</v>
      </c>
      <c r="L48" s="1155">
        <v>104.58</v>
      </c>
      <c r="M48" s="1155">
        <v>585.65</v>
      </c>
      <c r="N48" s="1155">
        <v>56000</v>
      </c>
    </row>
    <row r="49" spans="1:14">
      <c r="A49" s="3215">
        <v>44791.333831018521</v>
      </c>
      <c r="B49" s="1155" t="s">
        <v>3883</v>
      </c>
      <c r="C49" s="1155" t="s">
        <v>3883</v>
      </c>
      <c r="D49" s="1155" t="s">
        <v>3884</v>
      </c>
      <c r="E49" s="1155" t="s">
        <v>3883</v>
      </c>
      <c r="F49" s="1155" t="s">
        <v>3883</v>
      </c>
      <c r="G49" s="1155">
        <v>14</v>
      </c>
      <c r="H49" s="1155">
        <v>1405</v>
      </c>
      <c r="I49" s="1155" t="s">
        <v>3885</v>
      </c>
      <c r="J49" s="1155" t="s">
        <v>21</v>
      </c>
      <c r="K49" s="1155" t="s">
        <v>3886</v>
      </c>
      <c r="L49" s="1155">
        <v>138.54</v>
      </c>
      <c r="M49" s="1155">
        <v>775.82</v>
      </c>
      <c r="N49" s="1155">
        <v>56000</v>
      </c>
    </row>
    <row r="50" spans="1:14" s="3201" customFormat="1">
      <c r="A50" s="3216">
        <v>44791.333831018521</v>
      </c>
      <c r="B50" s="3201" t="s">
        <v>3883</v>
      </c>
      <c r="C50" s="3201" t="s">
        <v>3883</v>
      </c>
      <c r="D50" s="3201" t="s">
        <v>3884</v>
      </c>
      <c r="E50" s="3201" t="s">
        <v>3883</v>
      </c>
      <c r="F50" s="3201" t="s">
        <v>3883</v>
      </c>
      <c r="G50" s="3201">
        <v>-2</v>
      </c>
      <c r="H50" s="3201" t="s">
        <v>3895</v>
      </c>
      <c r="I50" s="3201" t="s">
        <v>3885</v>
      </c>
      <c r="J50" s="3201" t="s">
        <v>3888</v>
      </c>
      <c r="K50" s="3201" t="s">
        <v>3886</v>
      </c>
      <c r="L50" s="3201">
        <v>35.659999999999997</v>
      </c>
      <c r="M50" s="3201">
        <v>45</v>
      </c>
      <c r="N50" s="3201">
        <v>12619</v>
      </c>
    </row>
    <row r="51" spans="1:14">
      <c r="A51" s="3215">
        <v>44791.333831018521</v>
      </c>
      <c r="B51" s="1155" t="s">
        <v>3883</v>
      </c>
      <c r="C51" s="1155" t="s">
        <v>3883</v>
      </c>
      <c r="D51" s="1155" t="s">
        <v>3884</v>
      </c>
      <c r="E51" s="1155" t="s">
        <v>3883</v>
      </c>
      <c r="F51" s="1155" t="s">
        <v>3883</v>
      </c>
      <c r="G51" s="1155">
        <v>16</v>
      </c>
      <c r="H51" s="1155">
        <v>1604</v>
      </c>
      <c r="I51" s="1155" t="s">
        <v>3885</v>
      </c>
      <c r="J51" s="1155" t="s">
        <v>21</v>
      </c>
      <c r="K51" s="1155" t="s">
        <v>3886</v>
      </c>
      <c r="L51" s="1155">
        <v>104.58</v>
      </c>
      <c r="M51" s="1155">
        <v>585.65</v>
      </c>
      <c r="N51" s="1155">
        <v>56000</v>
      </c>
    </row>
    <row r="52" spans="1:14" s="3201" customFormat="1">
      <c r="A52" s="3216">
        <v>44791.333831018521</v>
      </c>
      <c r="B52" s="3201" t="s">
        <v>3883</v>
      </c>
      <c r="C52" s="3201" t="s">
        <v>3883</v>
      </c>
      <c r="D52" s="3201" t="s">
        <v>3884</v>
      </c>
      <c r="E52" s="3201" t="s">
        <v>3883</v>
      </c>
      <c r="F52" s="3201" t="s">
        <v>3883</v>
      </c>
      <c r="G52" s="3201">
        <v>-2</v>
      </c>
      <c r="H52" s="3201" t="s">
        <v>3896</v>
      </c>
      <c r="I52" s="3201" t="s">
        <v>3885</v>
      </c>
      <c r="J52" s="3201" t="s">
        <v>3888</v>
      </c>
      <c r="K52" s="3201" t="s">
        <v>3886</v>
      </c>
      <c r="L52" s="3201">
        <v>35.659999999999997</v>
      </c>
      <c r="M52" s="3201">
        <v>45</v>
      </c>
      <c r="N52" s="3201">
        <v>12619</v>
      </c>
    </row>
    <row r="53" spans="1:14">
      <c r="A53" s="3215">
        <v>44791.333831018521</v>
      </c>
      <c r="B53" s="1155" t="s">
        <v>3883</v>
      </c>
      <c r="C53" s="1155" t="s">
        <v>3883</v>
      </c>
      <c r="D53" s="1155" t="s">
        <v>3884</v>
      </c>
      <c r="E53" s="1155" t="s">
        <v>3883</v>
      </c>
      <c r="F53" s="1155" t="s">
        <v>3883</v>
      </c>
      <c r="G53" s="1155">
        <v>17</v>
      </c>
      <c r="H53" s="1155">
        <v>1712</v>
      </c>
      <c r="I53" s="1155" t="s">
        <v>3885</v>
      </c>
      <c r="J53" s="1155" t="s">
        <v>21</v>
      </c>
      <c r="K53" s="1155" t="s">
        <v>3886</v>
      </c>
      <c r="L53" s="1155">
        <v>161.91999999999999</v>
      </c>
      <c r="M53" s="1155">
        <v>906.75</v>
      </c>
      <c r="N53" s="1155">
        <v>56000</v>
      </c>
    </row>
    <row r="54" spans="1:14">
      <c r="A54" s="3215">
        <v>44791.333831018521</v>
      </c>
      <c r="B54" s="1155" t="s">
        <v>3883</v>
      </c>
      <c r="C54" s="1155" t="s">
        <v>3883</v>
      </c>
      <c r="D54" s="1155" t="s">
        <v>3884</v>
      </c>
      <c r="E54" s="1155" t="s">
        <v>3883</v>
      </c>
      <c r="F54" s="1155" t="s">
        <v>3883</v>
      </c>
      <c r="G54" s="1155">
        <v>16</v>
      </c>
      <c r="H54" s="1155">
        <v>1606</v>
      </c>
      <c r="I54" s="1155" t="s">
        <v>3885</v>
      </c>
      <c r="J54" s="1155" t="s">
        <v>21</v>
      </c>
      <c r="K54" s="1155" t="s">
        <v>3886</v>
      </c>
      <c r="L54" s="1155">
        <v>161.91999999999999</v>
      </c>
      <c r="M54" s="1155">
        <v>906.75</v>
      </c>
      <c r="N54" s="1155">
        <v>56000</v>
      </c>
    </row>
    <row r="55" spans="1:14">
      <c r="A55" s="3215">
        <v>44791.333831018521</v>
      </c>
      <c r="B55" s="1155" t="s">
        <v>3883</v>
      </c>
      <c r="C55" s="1155" t="s">
        <v>3883</v>
      </c>
      <c r="D55" s="1155" t="s">
        <v>3884</v>
      </c>
      <c r="E55" s="1155" t="s">
        <v>3883</v>
      </c>
      <c r="F55" s="1155" t="s">
        <v>3883</v>
      </c>
      <c r="G55" s="1155">
        <v>15</v>
      </c>
      <c r="H55" s="1155">
        <v>1508</v>
      </c>
      <c r="I55" s="1155" t="s">
        <v>3885</v>
      </c>
      <c r="J55" s="1155" t="s">
        <v>21</v>
      </c>
      <c r="K55" s="1155" t="s">
        <v>3886</v>
      </c>
      <c r="L55" s="1155">
        <v>104.58</v>
      </c>
      <c r="M55" s="1155">
        <v>585.65</v>
      </c>
      <c r="N55" s="1155">
        <v>56000</v>
      </c>
    </row>
    <row r="56" spans="1:14">
      <c r="A56" s="3215">
        <v>44791.333831018521</v>
      </c>
      <c r="B56" s="1155" t="s">
        <v>3883</v>
      </c>
      <c r="C56" s="1155" t="s">
        <v>3883</v>
      </c>
      <c r="D56" s="1155" t="s">
        <v>3884</v>
      </c>
      <c r="E56" s="1155" t="s">
        <v>3883</v>
      </c>
      <c r="F56" s="1155" t="s">
        <v>3883</v>
      </c>
      <c r="G56" s="1155">
        <v>17</v>
      </c>
      <c r="H56" s="1155">
        <v>1701</v>
      </c>
      <c r="I56" s="1155" t="s">
        <v>3885</v>
      </c>
      <c r="J56" s="1155" t="s">
        <v>21</v>
      </c>
      <c r="K56" s="1155" t="s">
        <v>3886</v>
      </c>
      <c r="L56" s="1155">
        <v>146</v>
      </c>
      <c r="M56" s="1155">
        <v>817.6</v>
      </c>
      <c r="N56" s="1155">
        <v>56000</v>
      </c>
    </row>
    <row r="57" spans="1:14">
      <c r="A57" s="3215">
        <v>44791.333831018521</v>
      </c>
      <c r="B57" s="1155" t="s">
        <v>3883</v>
      </c>
      <c r="C57" s="1155" t="s">
        <v>3883</v>
      </c>
      <c r="D57" s="1155" t="s">
        <v>3884</v>
      </c>
      <c r="E57" s="1155" t="s">
        <v>3883</v>
      </c>
      <c r="F57" s="1155" t="s">
        <v>3883</v>
      </c>
      <c r="G57" s="1155">
        <v>16</v>
      </c>
      <c r="H57" s="1155">
        <v>1605</v>
      </c>
      <c r="I57" s="1155" t="s">
        <v>3885</v>
      </c>
      <c r="J57" s="1155" t="s">
        <v>21</v>
      </c>
      <c r="K57" s="1155" t="s">
        <v>3886</v>
      </c>
      <c r="L57" s="1155">
        <v>138.54</v>
      </c>
      <c r="M57" s="1155">
        <v>775.82</v>
      </c>
      <c r="N57" s="1155">
        <v>56000</v>
      </c>
    </row>
    <row r="58" spans="1:14">
      <c r="A58" s="3215">
        <v>44791.333831018521</v>
      </c>
      <c r="B58" s="1155" t="s">
        <v>3883</v>
      </c>
      <c r="C58" s="1155" t="s">
        <v>3883</v>
      </c>
      <c r="D58" s="1155" t="s">
        <v>3884</v>
      </c>
      <c r="E58" s="1155" t="s">
        <v>3883</v>
      </c>
      <c r="F58" s="1155" t="s">
        <v>3883</v>
      </c>
      <c r="G58" s="1155">
        <v>14</v>
      </c>
      <c r="H58" s="1155">
        <v>1411</v>
      </c>
      <c r="I58" s="1155" t="s">
        <v>3885</v>
      </c>
      <c r="J58" s="1155" t="s">
        <v>21</v>
      </c>
      <c r="K58" s="1155" t="s">
        <v>3886</v>
      </c>
      <c r="L58" s="1155">
        <v>138.54</v>
      </c>
      <c r="M58" s="1155">
        <v>775.82</v>
      </c>
      <c r="N58" s="1155">
        <v>56000</v>
      </c>
    </row>
    <row r="59" spans="1:14">
      <c r="A59" s="3215">
        <v>44791.333831018521</v>
      </c>
      <c r="B59" s="1155" t="s">
        <v>3883</v>
      </c>
      <c r="C59" s="1155" t="s">
        <v>3883</v>
      </c>
      <c r="D59" s="1155" t="s">
        <v>3884</v>
      </c>
      <c r="E59" s="1155" t="s">
        <v>3883</v>
      </c>
      <c r="F59" s="1155" t="s">
        <v>3883</v>
      </c>
      <c r="G59" s="1155">
        <v>15</v>
      </c>
      <c r="H59" s="1155">
        <v>1501</v>
      </c>
      <c r="I59" s="1155" t="s">
        <v>3885</v>
      </c>
      <c r="J59" s="1155" t="s">
        <v>21</v>
      </c>
      <c r="K59" s="1155" t="s">
        <v>3886</v>
      </c>
      <c r="L59" s="1155">
        <v>146</v>
      </c>
      <c r="M59" s="1155">
        <v>817.6</v>
      </c>
      <c r="N59" s="1155">
        <v>56000</v>
      </c>
    </row>
    <row r="60" spans="1:14">
      <c r="K60" s="1155" t="s">
        <v>2590</v>
      </c>
      <c r="L60" s="3208">
        <f>SUM(L2:L59)</f>
        <v>7939.1199999999981</v>
      </c>
      <c r="M60" s="1155">
        <f>SUM(M2:M59)</f>
        <v>43727.540000000015</v>
      </c>
    </row>
    <row r="61" spans="1:14">
      <c r="M61" s="3217" t="s">
        <v>3897</v>
      </c>
      <c r="N61" s="3208">
        <f>ROUND(M60/L60*10000,0)</f>
        <v>55079</v>
      </c>
    </row>
    <row r="62" spans="1:14">
      <c r="L62" s="2577" t="s">
        <v>3433</v>
      </c>
      <c r="M62" s="1155">
        <f>L60-M63</f>
        <v>7618.1799999999985</v>
      </c>
    </row>
    <row r="63" spans="1:14">
      <c r="L63" s="2577" t="s">
        <v>3434</v>
      </c>
      <c r="M63" s="1155">
        <f>L52+L50+L42+L30+L23+L17+L13+L11+L4</f>
        <v>320.93999999999994</v>
      </c>
    </row>
    <row r="64" spans="1:14">
      <c r="L64" s="2577" t="s">
        <v>3899</v>
      </c>
      <c r="M64" s="3218">
        <f>ROUND(M63/M62,2)</f>
        <v>0.04</v>
      </c>
    </row>
    <row r="73" spans="19:22">
      <c r="S73" s="1155">
        <v>2012</v>
      </c>
      <c r="T73" s="1155">
        <v>17</v>
      </c>
      <c r="U73" s="1155">
        <v>4.25</v>
      </c>
      <c r="V73" s="3234">
        <v>0.25</v>
      </c>
    </row>
  </sheetData>
  <phoneticPr fontId="135"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24"/>
  <sheetViews>
    <sheetView topLeftCell="A28" workbookViewId="0">
      <selection activeCell="A55" sqref="A55"/>
    </sheetView>
  </sheetViews>
  <sheetFormatPr defaultRowHeight="14.4"/>
  <cols>
    <col min="1" max="1" width="12.33203125" customWidth="1"/>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5">
        <v>45602.333831018521</v>
      </c>
      <c r="B2" s="1155" t="s">
        <v>3883</v>
      </c>
      <c r="C2" s="1155" t="s">
        <v>3883</v>
      </c>
      <c r="D2" s="1155" t="s">
        <v>3900</v>
      </c>
      <c r="E2" s="1155" t="s">
        <v>3883</v>
      </c>
      <c r="F2" s="1155" t="s">
        <v>3883</v>
      </c>
      <c r="G2" s="1155">
        <v>7</v>
      </c>
      <c r="H2" s="1155">
        <v>702</v>
      </c>
      <c r="I2" s="1155" t="s">
        <v>3901</v>
      </c>
      <c r="J2" s="1155" t="s">
        <v>21</v>
      </c>
      <c r="K2" s="1155" t="s">
        <v>3886</v>
      </c>
      <c r="L2" s="1155">
        <v>869.47</v>
      </c>
      <c r="M2" s="1155">
        <v>4043.04</v>
      </c>
      <c r="N2" s="1155">
        <v>46500</v>
      </c>
    </row>
    <row r="3" spans="1:14">
      <c r="A3" s="3215">
        <v>45602.333831018521</v>
      </c>
      <c r="B3" s="1155" t="s">
        <v>3883</v>
      </c>
      <c r="C3" s="1155" t="s">
        <v>3883</v>
      </c>
      <c r="D3" s="1155" t="s">
        <v>3900</v>
      </c>
      <c r="E3" s="1155" t="s">
        <v>3883</v>
      </c>
      <c r="F3" s="1155" t="s">
        <v>3883</v>
      </c>
      <c r="G3" s="1155">
        <v>5</v>
      </c>
      <c r="H3" s="1155">
        <v>502</v>
      </c>
      <c r="I3" s="1155" t="s">
        <v>3901</v>
      </c>
      <c r="J3" s="1155" t="s">
        <v>21</v>
      </c>
      <c r="K3" s="1155" t="s">
        <v>3886</v>
      </c>
      <c r="L3" s="1155">
        <v>869.47</v>
      </c>
      <c r="M3" s="1155">
        <v>4043.04</v>
      </c>
      <c r="N3" s="1155">
        <v>46500</v>
      </c>
    </row>
    <row r="4" spans="1:14">
      <c r="A4" s="3215">
        <v>45602.333831018521</v>
      </c>
      <c r="B4" s="1155" t="s">
        <v>3883</v>
      </c>
      <c r="C4" s="1155" t="s">
        <v>3883</v>
      </c>
      <c r="D4" s="1155" t="s">
        <v>3900</v>
      </c>
      <c r="E4" s="1155" t="s">
        <v>3883</v>
      </c>
      <c r="F4" s="1155" t="s">
        <v>3883</v>
      </c>
      <c r="G4" s="1155">
        <v>11</v>
      </c>
      <c r="H4" s="1155">
        <v>1101</v>
      </c>
      <c r="I4" s="1155" t="s">
        <v>3901</v>
      </c>
      <c r="J4" s="1155" t="s">
        <v>21</v>
      </c>
      <c r="K4" s="1155" t="s">
        <v>3886</v>
      </c>
      <c r="L4" s="1155">
        <v>775.66</v>
      </c>
      <c r="M4" s="1155">
        <v>3606.82</v>
      </c>
      <c r="N4" s="1155">
        <v>46500</v>
      </c>
    </row>
    <row r="5" spans="1:14">
      <c r="A5" s="3215">
        <v>45602.333831018521</v>
      </c>
      <c r="B5" s="1155" t="s">
        <v>3883</v>
      </c>
      <c r="C5" s="1155" t="s">
        <v>3883</v>
      </c>
      <c r="D5" s="1155" t="s">
        <v>3900</v>
      </c>
      <c r="E5" s="1155" t="s">
        <v>3883</v>
      </c>
      <c r="F5" s="1155" t="s">
        <v>3883</v>
      </c>
      <c r="G5" s="1155">
        <v>7</v>
      </c>
      <c r="H5" s="1155">
        <v>701</v>
      </c>
      <c r="I5" s="1155" t="s">
        <v>3901</v>
      </c>
      <c r="J5" s="1155" t="s">
        <v>21</v>
      </c>
      <c r="K5" s="1155" t="s">
        <v>3886</v>
      </c>
      <c r="L5" s="1155">
        <v>775.66</v>
      </c>
      <c r="M5" s="1155">
        <v>3606.82</v>
      </c>
      <c r="N5" s="1155">
        <v>46500</v>
      </c>
    </row>
    <row r="6" spans="1:14">
      <c r="A6" s="3215">
        <v>45602.333831018521</v>
      </c>
      <c r="B6" s="1155" t="s">
        <v>3883</v>
      </c>
      <c r="C6" s="1155" t="s">
        <v>3883</v>
      </c>
      <c r="D6" s="1155" t="s">
        <v>3900</v>
      </c>
      <c r="E6" s="1155" t="s">
        <v>3883</v>
      </c>
      <c r="F6" s="1155" t="s">
        <v>3883</v>
      </c>
      <c r="G6" s="1155">
        <v>6</v>
      </c>
      <c r="H6" s="1155">
        <v>602</v>
      </c>
      <c r="I6" s="1155" t="s">
        <v>3901</v>
      </c>
      <c r="J6" s="1155" t="s">
        <v>21</v>
      </c>
      <c r="K6" s="1155" t="s">
        <v>3886</v>
      </c>
      <c r="L6" s="1155">
        <v>869.47</v>
      </c>
      <c r="M6" s="1155">
        <v>4043.04</v>
      </c>
      <c r="N6" s="1155">
        <v>46500</v>
      </c>
    </row>
    <row r="7" spans="1:14">
      <c r="A7" s="3215">
        <v>45602.333831018521</v>
      </c>
      <c r="B7" s="1155" t="s">
        <v>3883</v>
      </c>
      <c r="C7" s="1155" t="s">
        <v>3883</v>
      </c>
      <c r="D7" s="1155" t="s">
        <v>3900</v>
      </c>
      <c r="E7" s="1155" t="s">
        <v>3883</v>
      </c>
      <c r="F7" s="1155" t="s">
        <v>3883</v>
      </c>
      <c r="G7" s="1155">
        <v>8</v>
      </c>
      <c r="H7" s="1155">
        <v>802</v>
      </c>
      <c r="I7" s="1155" t="s">
        <v>3901</v>
      </c>
      <c r="J7" s="1155" t="s">
        <v>21</v>
      </c>
      <c r="K7" s="1155" t="s">
        <v>3886</v>
      </c>
      <c r="L7" s="1155">
        <v>869.47</v>
      </c>
      <c r="M7" s="1155">
        <v>4043.04</v>
      </c>
      <c r="N7" s="1155">
        <v>46500</v>
      </c>
    </row>
    <row r="8" spans="1:14">
      <c r="A8" s="3215">
        <v>45602.333831018521</v>
      </c>
      <c r="B8" s="1155" t="s">
        <v>3883</v>
      </c>
      <c r="C8" s="1155" t="s">
        <v>3883</v>
      </c>
      <c r="D8" s="1155" t="s">
        <v>3900</v>
      </c>
      <c r="E8" s="1155" t="s">
        <v>3883</v>
      </c>
      <c r="F8" s="1155" t="s">
        <v>3883</v>
      </c>
      <c r="G8" s="1155">
        <v>9</v>
      </c>
      <c r="H8" s="1155">
        <v>902</v>
      </c>
      <c r="I8" s="1155" t="s">
        <v>3901</v>
      </c>
      <c r="J8" s="1155" t="s">
        <v>21</v>
      </c>
      <c r="K8" s="1155" t="s">
        <v>3886</v>
      </c>
      <c r="L8" s="1155">
        <v>869.47</v>
      </c>
      <c r="M8" s="1155">
        <v>4043.04</v>
      </c>
      <c r="N8" s="1155">
        <v>46500</v>
      </c>
    </row>
    <row r="9" spans="1:14">
      <c r="A9" s="3215">
        <v>45602.333831018521</v>
      </c>
      <c r="B9" s="1155" t="s">
        <v>3883</v>
      </c>
      <c r="C9" s="1155" t="s">
        <v>3883</v>
      </c>
      <c r="D9" s="1155" t="s">
        <v>3900</v>
      </c>
      <c r="E9" s="1155" t="s">
        <v>3883</v>
      </c>
      <c r="F9" s="1155" t="s">
        <v>3883</v>
      </c>
      <c r="G9" s="1155">
        <v>5</v>
      </c>
      <c r="H9" s="1155">
        <v>501</v>
      </c>
      <c r="I9" s="1155" t="s">
        <v>3901</v>
      </c>
      <c r="J9" s="1155" t="s">
        <v>21</v>
      </c>
      <c r="K9" s="1155" t="s">
        <v>3886</v>
      </c>
      <c r="L9" s="1155">
        <v>775.66</v>
      </c>
      <c r="M9" s="1155">
        <v>3606.82</v>
      </c>
      <c r="N9" s="1155">
        <v>46500</v>
      </c>
    </row>
    <row r="10" spans="1:14">
      <c r="A10" s="3215">
        <v>45602.333831018521</v>
      </c>
      <c r="B10" s="1155" t="s">
        <v>3883</v>
      </c>
      <c r="C10" s="1155" t="s">
        <v>3883</v>
      </c>
      <c r="D10" s="1155" t="s">
        <v>3900</v>
      </c>
      <c r="E10" s="1155" t="s">
        <v>3883</v>
      </c>
      <c r="F10" s="1155" t="s">
        <v>3883</v>
      </c>
      <c r="G10" s="1155">
        <v>9</v>
      </c>
      <c r="H10" s="1155">
        <v>901</v>
      </c>
      <c r="I10" s="1155" t="s">
        <v>3901</v>
      </c>
      <c r="J10" s="1155" t="s">
        <v>21</v>
      </c>
      <c r="K10" s="1155" t="s">
        <v>3886</v>
      </c>
      <c r="L10" s="1155">
        <v>775.66</v>
      </c>
      <c r="M10" s="1155">
        <v>3606.82</v>
      </c>
      <c r="N10" s="1155">
        <v>46500</v>
      </c>
    </row>
    <row r="11" spans="1:14">
      <c r="A11" s="3215">
        <v>45602.333831018521</v>
      </c>
      <c r="B11" s="1155" t="s">
        <v>3883</v>
      </c>
      <c r="C11" s="1155" t="s">
        <v>3883</v>
      </c>
      <c r="D11" s="1155" t="s">
        <v>3900</v>
      </c>
      <c r="E11" s="1155" t="s">
        <v>3883</v>
      </c>
      <c r="F11" s="1155" t="s">
        <v>3883</v>
      </c>
      <c r="G11" s="1155">
        <v>3</v>
      </c>
      <c r="H11" s="1155">
        <v>302</v>
      </c>
      <c r="I11" s="1155" t="s">
        <v>3901</v>
      </c>
      <c r="J11" s="1155" t="s">
        <v>21</v>
      </c>
      <c r="K11" s="1155" t="s">
        <v>3886</v>
      </c>
      <c r="L11" s="1155">
        <v>869.47</v>
      </c>
      <c r="M11" s="1155">
        <v>4043.04</v>
      </c>
      <c r="N11" s="1155">
        <v>46500</v>
      </c>
    </row>
    <row r="12" spans="1:14">
      <c r="A12" s="3215">
        <v>45602.333831018521</v>
      </c>
      <c r="B12" s="1155" t="s">
        <v>3883</v>
      </c>
      <c r="C12" s="1155" t="s">
        <v>3883</v>
      </c>
      <c r="D12" s="1155" t="s">
        <v>3900</v>
      </c>
      <c r="E12" s="1155" t="s">
        <v>3883</v>
      </c>
      <c r="F12" s="1155" t="s">
        <v>3883</v>
      </c>
      <c r="G12" s="1155">
        <v>3</v>
      </c>
      <c r="H12" s="1155">
        <v>301</v>
      </c>
      <c r="I12" s="1155" t="s">
        <v>3901</v>
      </c>
      <c r="J12" s="1155" t="s">
        <v>21</v>
      </c>
      <c r="K12" s="1155" t="s">
        <v>3886</v>
      </c>
      <c r="L12" s="1155">
        <v>775.66</v>
      </c>
      <c r="M12" s="1155">
        <v>3606.82</v>
      </c>
      <c r="N12" s="1155">
        <v>46500</v>
      </c>
    </row>
    <row r="13" spans="1:14">
      <c r="A13" s="3215">
        <v>45602.333831018521</v>
      </c>
      <c r="B13" s="1155" t="s">
        <v>3883</v>
      </c>
      <c r="C13" s="1155" t="s">
        <v>3883</v>
      </c>
      <c r="D13" s="1155" t="s">
        <v>3900</v>
      </c>
      <c r="E13" s="1155" t="s">
        <v>3883</v>
      </c>
      <c r="F13" s="1155" t="s">
        <v>3883</v>
      </c>
      <c r="G13" s="1155">
        <v>4</v>
      </c>
      <c r="H13" s="1155">
        <v>402</v>
      </c>
      <c r="I13" s="1155" t="s">
        <v>3901</v>
      </c>
      <c r="J13" s="1155" t="s">
        <v>21</v>
      </c>
      <c r="K13" s="1155" t="s">
        <v>3886</v>
      </c>
      <c r="L13" s="1155">
        <v>869.47</v>
      </c>
      <c r="M13" s="1155">
        <v>4043.04</v>
      </c>
      <c r="N13" s="1155">
        <v>46500</v>
      </c>
    </row>
    <row r="14" spans="1:14">
      <c r="A14" s="3215">
        <v>45602.333831018521</v>
      </c>
      <c r="B14" s="1155" t="s">
        <v>3883</v>
      </c>
      <c r="C14" s="1155" t="s">
        <v>3883</v>
      </c>
      <c r="D14" s="1155" t="s">
        <v>3900</v>
      </c>
      <c r="E14" s="1155" t="s">
        <v>3883</v>
      </c>
      <c r="F14" s="1155" t="s">
        <v>3883</v>
      </c>
      <c r="G14" s="1155">
        <v>8</v>
      </c>
      <c r="H14" s="1155">
        <v>801</v>
      </c>
      <c r="I14" s="1155" t="s">
        <v>3901</v>
      </c>
      <c r="J14" s="1155" t="s">
        <v>21</v>
      </c>
      <c r="K14" s="1155" t="s">
        <v>3886</v>
      </c>
      <c r="L14" s="1155">
        <v>775.66</v>
      </c>
      <c r="M14" s="1155">
        <v>3606.82</v>
      </c>
      <c r="N14" s="1155">
        <v>46500</v>
      </c>
    </row>
    <row r="15" spans="1:14">
      <c r="A15" s="3215">
        <v>45602.333831018521</v>
      </c>
      <c r="B15" s="1155" t="s">
        <v>3883</v>
      </c>
      <c r="C15" s="1155" t="s">
        <v>3883</v>
      </c>
      <c r="D15" s="1155" t="s">
        <v>3900</v>
      </c>
      <c r="E15" s="1155" t="s">
        <v>3883</v>
      </c>
      <c r="F15" s="1155" t="s">
        <v>3883</v>
      </c>
      <c r="G15" s="1155">
        <v>11</v>
      </c>
      <c r="H15" s="1155">
        <v>1102</v>
      </c>
      <c r="I15" s="1155" t="s">
        <v>3901</v>
      </c>
      <c r="J15" s="1155" t="s">
        <v>21</v>
      </c>
      <c r="K15" s="1155" t="s">
        <v>3886</v>
      </c>
      <c r="L15" s="1155">
        <v>869.47</v>
      </c>
      <c r="M15" s="1155">
        <v>4043.04</v>
      </c>
      <c r="N15" s="1155">
        <v>46500</v>
      </c>
    </row>
    <row r="16" spans="1:14">
      <c r="A16" s="3215">
        <v>45602.333831018521</v>
      </c>
      <c r="B16" s="1155" t="s">
        <v>3883</v>
      </c>
      <c r="C16" s="1155" t="s">
        <v>3883</v>
      </c>
      <c r="D16" s="1155" t="s">
        <v>3900</v>
      </c>
      <c r="E16" s="1155" t="s">
        <v>3883</v>
      </c>
      <c r="F16" s="1155" t="s">
        <v>3883</v>
      </c>
      <c r="G16" s="1155">
        <v>10</v>
      </c>
      <c r="H16" s="1155">
        <v>1002</v>
      </c>
      <c r="I16" s="1155" t="s">
        <v>3901</v>
      </c>
      <c r="J16" s="1155" t="s">
        <v>21</v>
      </c>
      <c r="K16" s="1155" t="s">
        <v>3886</v>
      </c>
      <c r="L16" s="1155">
        <v>869.47</v>
      </c>
      <c r="M16" s="1155">
        <v>4043.04</v>
      </c>
      <c r="N16" s="1155">
        <v>46500</v>
      </c>
    </row>
    <row r="17" spans="1:14">
      <c r="A17" s="3215">
        <v>45602.333831018521</v>
      </c>
      <c r="B17" s="1155" t="s">
        <v>3883</v>
      </c>
      <c r="C17" s="1155" t="s">
        <v>3883</v>
      </c>
      <c r="D17" s="1155" t="s">
        <v>3900</v>
      </c>
      <c r="E17" s="1155" t="s">
        <v>3883</v>
      </c>
      <c r="F17" s="1155" t="s">
        <v>3883</v>
      </c>
      <c r="G17" s="1155">
        <v>12</v>
      </c>
      <c r="H17" s="1155">
        <v>1201</v>
      </c>
      <c r="I17" s="1155" t="s">
        <v>3901</v>
      </c>
      <c r="J17" s="1155" t="s">
        <v>21</v>
      </c>
      <c r="K17" s="1155" t="s">
        <v>3886</v>
      </c>
      <c r="L17" s="1155">
        <v>1176.73</v>
      </c>
      <c r="M17" s="1155">
        <v>5471.79</v>
      </c>
      <c r="N17" s="1155">
        <v>46500</v>
      </c>
    </row>
    <row r="18" spans="1:14">
      <c r="A18" s="3215">
        <v>45602.333831018521</v>
      </c>
      <c r="B18" s="1155" t="s">
        <v>3883</v>
      </c>
      <c r="C18" s="1155" t="s">
        <v>3883</v>
      </c>
      <c r="D18" s="1155" t="s">
        <v>3900</v>
      </c>
      <c r="E18" s="1155" t="s">
        <v>3883</v>
      </c>
      <c r="F18" s="1155" t="s">
        <v>3883</v>
      </c>
      <c r="G18" s="1155">
        <v>6</v>
      </c>
      <c r="H18" s="1155">
        <v>601</v>
      </c>
      <c r="I18" s="1155" t="s">
        <v>3901</v>
      </c>
      <c r="J18" s="1155" t="s">
        <v>21</v>
      </c>
      <c r="K18" s="1155" t="s">
        <v>3886</v>
      </c>
      <c r="L18" s="1155">
        <v>775.66</v>
      </c>
      <c r="M18" s="1155">
        <v>3606.82</v>
      </c>
      <c r="N18" s="1155">
        <v>46500</v>
      </c>
    </row>
    <row r="19" spans="1:14">
      <c r="A19" s="3215">
        <v>45602.333831018521</v>
      </c>
      <c r="B19" s="1155" t="s">
        <v>3883</v>
      </c>
      <c r="C19" s="1155" t="s">
        <v>3883</v>
      </c>
      <c r="D19" s="1155" t="s">
        <v>3900</v>
      </c>
      <c r="E19" s="1155" t="s">
        <v>3883</v>
      </c>
      <c r="F19" s="1155" t="s">
        <v>3883</v>
      </c>
      <c r="G19" s="1155">
        <v>2</v>
      </c>
      <c r="H19" s="1155">
        <v>201</v>
      </c>
      <c r="I19" s="1155" t="s">
        <v>3901</v>
      </c>
      <c r="J19" s="1155" t="s">
        <v>21</v>
      </c>
      <c r="K19" s="1155" t="s">
        <v>3886</v>
      </c>
      <c r="L19" s="1155">
        <v>894.6</v>
      </c>
      <c r="M19" s="1155">
        <v>4159.8900000000003</v>
      </c>
      <c r="N19" s="1155">
        <v>46500</v>
      </c>
    </row>
    <row r="20" spans="1:14">
      <c r="A20" s="3215">
        <v>45602.333831018521</v>
      </c>
      <c r="B20" s="1155" t="s">
        <v>3883</v>
      </c>
      <c r="C20" s="1155" t="s">
        <v>3883</v>
      </c>
      <c r="D20" s="1155" t="s">
        <v>3900</v>
      </c>
      <c r="E20" s="1155" t="s">
        <v>3883</v>
      </c>
      <c r="F20" s="1155" t="s">
        <v>3883</v>
      </c>
      <c r="G20" s="1155">
        <v>4</v>
      </c>
      <c r="H20" s="1155">
        <v>401</v>
      </c>
      <c r="I20" s="1155" t="s">
        <v>3901</v>
      </c>
      <c r="J20" s="1155" t="s">
        <v>21</v>
      </c>
      <c r="K20" s="1155" t="s">
        <v>3886</v>
      </c>
      <c r="L20" s="1155">
        <v>775.66</v>
      </c>
      <c r="M20" s="1155">
        <v>3606.82</v>
      </c>
      <c r="N20" s="1155">
        <v>46500</v>
      </c>
    </row>
    <row r="21" spans="1:14">
      <c r="A21" s="3215">
        <v>45602.333831018521</v>
      </c>
      <c r="B21" s="1155" t="s">
        <v>3883</v>
      </c>
      <c r="C21" s="1155" t="s">
        <v>3883</v>
      </c>
      <c r="D21" s="1155" t="s">
        <v>3900</v>
      </c>
      <c r="E21" s="1155" t="s">
        <v>3883</v>
      </c>
      <c r="F21" s="1155" t="s">
        <v>3883</v>
      </c>
      <c r="G21" s="1155">
        <v>10</v>
      </c>
      <c r="H21" s="1155">
        <v>1001</v>
      </c>
      <c r="I21" s="1155" t="s">
        <v>3901</v>
      </c>
      <c r="J21" s="1155" t="s">
        <v>21</v>
      </c>
      <c r="K21" s="1155" t="s">
        <v>3886</v>
      </c>
      <c r="L21" s="1155">
        <v>775.66</v>
      </c>
      <c r="M21" s="1155">
        <v>3606.82</v>
      </c>
      <c r="N21" s="1155">
        <v>46500</v>
      </c>
    </row>
    <row r="22" spans="1:14">
      <c r="A22" s="1155"/>
      <c r="B22" s="1155"/>
      <c r="C22" s="1155"/>
      <c r="D22" s="1155"/>
      <c r="E22" s="1155"/>
      <c r="F22" s="1155"/>
      <c r="G22" s="1155"/>
      <c r="H22" s="1155"/>
      <c r="I22" s="1155"/>
      <c r="J22" s="1155"/>
      <c r="K22" s="1155" t="s">
        <v>2590</v>
      </c>
      <c r="L22" s="3208">
        <f>SUM(L2:L21)</f>
        <v>16877.499999999996</v>
      </c>
      <c r="M22" s="1155">
        <f>SUM(M2:M21)</f>
        <v>78480.420000000027</v>
      </c>
      <c r="N22" s="1155"/>
    </row>
    <row r="23" spans="1:14">
      <c r="A23" s="1155"/>
      <c r="B23" s="1155"/>
      <c r="C23" s="1155"/>
      <c r="D23" s="1155"/>
      <c r="E23" s="1155"/>
      <c r="F23" s="1155"/>
      <c r="G23" s="1155"/>
      <c r="H23" s="1155"/>
      <c r="I23" s="1155"/>
      <c r="J23" s="1155"/>
      <c r="K23" s="1155"/>
      <c r="L23" s="1155"/>
      <c r="M23" s="1155" t="s">
        <v>3897</v>
      </c>
      <c r="N23" s="3208">
        <f>ROUND(M22*10000/L22,0)</f>
        <v>46500</v>
      </c>
    </row>
    <row r="24" spans="1:14">
      <c r="A24" s="1155"/>
      <c r="B24" s="1155"/>
      <c r="C24" s="1155"/>
      <c r="D24" s="1155"/>
      <c r="E24" s="1155"/>
      <c r="F24" s="1155"/>
      <c r="G24" s="1155"/>
      <c r="H24" s="1155"/>
      <c r="I24" s="1155"/>
      <c r="J24" s="1155"/>
      <c r="K24" s="1155"/>
      <c r="L24" s="1155" t="s">
        <v>3899</v>
      </c>
      <c r="M24" s="1155">
        <v>0</v>
      </c>
      <c r="N24" s="1155"/>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2"/>
  <sheetViews>
    <sheetView workbookViewId="0">
      <selection activeCell="N12" sqref="N12"/>
    </sheetView>
  </sheetViews>
  <sheetFormatPr defaultColWidth="11.88671875" defaultRowHeight="14.4"/>
  <cols>
    <col min="1" max="1" width="11.88671875" style="1155"/>
    <col min="2" max="3" width="4.44140625" style="1155" customWidth="1"/>
    <col min="4" max="4" width="11.88671875" style="1155"/>
    <col min="5" max="6" width="6.44140625" style="1155" customWidth="1"/>
    <col min="7" max="16384" width="11.88671875" style="1155"/>
  </cols>
  <sheetData>
    <row r="1" spans="1:14">
      <c r="A1" s="1155" t="s">
        <v>3869</v>
      </c>
      <c r="B1" s="1155" t="s">
        <v>3870</v>
      </c>
      <c r="C1" s="1155" t="s">
        <v>3871</v>
      </c>
      <c r="D1" s="1155" t="s">
        <v>3872</v>
      </c>
      <c r="E1" s="1155" t="s">
        <v>3873</v>
      </c>
      <c r="F1" s="1155" t="s">
        <v>3874</v>
      </c>
      <c r="G1" s="1155" t="s">
        <v>3875</v>
      </c>
      <c r="H1" s="1155" t="s">
        <v>3876</v>
      </c>
      <c r="I1" s="1155" t="s">
        <v>3877</v>
      </c>
      <c r="J1" s="1155" t="s">
        <v>3878</v>
      </c>
      <c r="K1" s="1155" t="s">
        <v>3879</v>
      </c>
      <c r="L1" s="1155" t="s">
        <v>3880</v>
      </c>
      <c r="M1" s="1155" t="s">
        <v>3881</v>
      </c>
      <c r="N1" s="1155" t="s">
        <v>3882</v>
      </c>
    </row>
    <row r="2" spans="1:14">
      <c r="A2" s="3215">
        <v>45545.333831018521</v>
      </c>
      <c r="B2" s="1155" t="s">
        <v>3883</v>
      </c>
      <c r="C2" s="1155" t="s">
        <v>3883</v>
      </c>
      <c r="D2" s="1155" t="s">
        <v>3900</v>
      </c>
      <c r="E2" s="1155" t="s">
        <v>3883</v>
      </c>
      <c r="F2" s="1155" t="s">
        <v>3883</v>
      </c>
      <c r="G2" s="1155">
        <v>4</v>
      </c>
      <c r="H2" s="1155">
        <v>403</v>
      </c>
      <c r="I2" s="1155" t="s">
        <v>3902</v>
      </c>
      <c r="J2" s="1155" t="s">
        <v>21</v>
      </c>
      <c r="K2" s="1155" t="s">
        <v>3886</v>
      </c>
      <c r="L2" s="1155">
        <v>1781.89</v>
      </c>
      <c r="M2" s="1155">
        <v>10402.950000000001</v>
      </c>
      <c r="N2" s="1155">
        <v>58382</v>
      </c>
    </row>
    <row r="3" spans="1:14">
      <c r="A3" s="3215">
        <v>45545.333831018521</v>
      </c>
      <c r="B3" s="1155" t="s">
        <v>3883</v>
      </c>
      <c r="C3" s="1155" t="s">
        <v>3883</v>
      </c>
      <c r="D3" s="1155" t="s">
        <v>3900</v>
      </c>
      <c r="E3" s="1155" t="s">
        <v>3883</v>
      </c>
      <c r="F3" s="1155" t="s">
        <v>3883</v>
      </c>
      <c r="G3" s="1155">
        <v>4</v>
      </c>
      <c r="H3" s="1155">
        <v>405</v>
      </c>
      <c r="I3" s="1155" t="s">
        <v>3902</v>
      </c>
      <c r="J3" s="1155" t="s">
        <v>21</v>
      </c>
      <c r="K3" s="1155" t="s">
        <v>3886</v>
      </c>
      <c r="L3" s="1155">
        <v>563.51</v>
      </c>
      <c r="M3" s="1155">
        <v>3102.81</v>
      </c>
      <c r="N3" s="1155">
        <v>55062</v>
      </c>
    </row>
    <row r="4" spans="1:14">
      <c r="A4" s="3215">
        <v>45545.333831018521</v>
      </c>
      <c r="B4" s="1155" t="s">
        <v>3883</v>
      </c>
      <c r="C4" s="1155" t="s">
        <v>3883</v>
      </c>
      <c r="D4" s="1155" t="s">
        <v>3900</v>
      </c>
      <c r="E4" s="1155" t="s">
        <v>3883</v>
      </c>
      <c r="F4" s="1155" t="s">
        <v>3883</v>
      </c>
      <c r="G4" s="1155">
        <v>5</v>
      </c>
      <c r="H4" s="1155">
        <v>501</v>
      </c>
      <c r="I4" s="1155" t="s">
        <v>3902</v>
      </c>
      <c r="J4" s="1155" t="s">
        <v>21</v>
      </c>
      <c r="K4" s="1155" t="s">
        <v>3886</v>
      </c>
      <c r="L4" s="1155">
        <v>1190.9000000000001</v>
      </c>
      <c r="M4" s="1155">
        <v>6493.06</v>
      </c>
      <c r="N4" s="1155">
        <v>54522</v>
      </c>
    </row>
    <row r="5" spans="1:14">
      <c r="A5" s="3215">
        <v>45545.333831018521</v>
      </c>
      <c r="B5" s="1155" t="s">
        <v>3883</v>
      </c>
      <c r="C5" s="1155" t="s">
        <v>3883</v>
      </c>
      <c r="D5" s="1155" t="s">
        <v>3900</v>
      </c>
      <c r="E5" s="1155" t="s">
        <v>3883</v>
      </c>
      <c r="F5" s="1155" t="s">
        <v>3883</v>
      </c>
      <c r="G5" s="1155">
        <v>8</v>
      </c>
      <c r="H5" s="1155">
        <v>801</v>
      </c>
      <c r="I5" s="1155" t="s">
        <v>3902</v>
      </c>
      <c r="J5" s="1155" t="s">
        <v>21</v>
      </c>
      <c r="K5" s="1155" t="s">
        <v>3886</v>
      </c>
      <c r="L5" s="1155">
        <v>1988.41</v>
      </c>
      <c r="M5" s="1155">
        <v>10952.93</v>
      </c>
      <c r="N5" s="1155">
        <v>55084</v>
      </c>
    </row>
    <row r="6" spans="1:14">
      <c r="A6" s="3215">
        <v>45545.333831018521</v>
      </c>
      <c r="B6" s="1155" t="s">
        <v>3883</v>
      </c>
      <c r="C6" s="1155" t="s">
        <v>3883</v>
      </c>
      <c r="D6" s="1155" t="s">
        <v>3900</v>
      </c>
      <c r="E6" s="1155" t="s">
        <v>3883</v>
      </c>
      <c r="F6" s="1155" t="s">
        <v>3883</v>
      </c>
      <c r="G6" s="1155">
        <v>6</v>
      </c>
      <c r="H6" s="1155">
        <v>601</v>
      </c>
      <c r="I6" s="1155" t="s">
        <v>3902</v>
      </c>
      <c r="J6" s="1155" t="s">
        <v>21</v>
      </c>
      <c r="K6" s="1155" t="s">
        <v>3886</v>
      </c>
      <c r="L6" s="1155">
        <v>1870.09</v>
      </c>
      <c r="M6" s="1155">
        <v>10099.209999999999</v>
      </c>
      <c r="N6" s="1155">
        <v>54004</v>
      </c>
    </row>
    <row r="7" spans="1:14">
      <c r="A7" s="3215">
        <v>45545.333831018521</v>
      </c>
      <c r="B7" s="1155" t="s">
        <v>3883</v>
      </c>
      <c r="C7" s="1155" t="s">
        <v>3883</v>
      </c>
      <c r="D7" s="1155" t="s">
        <v>3900</v>
      </c>
      <c r="E7" s="1155" t="s">
        <v>3883</v>
      </c>
      <c r="F7" s="1155" t="s">
        <v>3883</v>
      </c>
      <c r="G7" s="1155">
        <v>9</v>
      </c>
      <c r="H7" s="1155">
        <v>901</v>
      </c>
      <c r="I7" s="1155" t="s">
        <v>3902</v>
      </c>
      <c r="J7" s="1155" t="s">
        <v>21</v>
      </c>
      <c r="K7" s="1155" t="s">
        <v>3886</v>
      </c>
      <c r="L7" s="1155">
        <v>1988.41</v>
      </c>
      <c r="M7" s="1155">
        <v>10952.93</v>
      </c>
      <c r="N7" s="1155">
        <v>55084</v>
      </c>
    </row>
    <row r="8" spans="1:14">
      <c r="A8" s="3215">
        <v>45545.333831018521</v>
      </c>
      <c r="B8" s="1155" t="s">
        <v>3883</v>
      </c>
      <c r="C8" s="1155" t="s">
        <v>3883</v>
      </c>
      <c r="D8" s="1155" t="s">
        <v>3900</v>
      </c>
      <c r="E8" s="1155" t="s">
        <v>3883</v>
      </c>
      <c r="F8" s="1155" t="s">
        <v>3883</v>
      </c>
      <c r="G8" s="1155">
        <v>7</v>
      </c>
      <c r="H8" s="1155">
        <v>701</v>
      </c>
      <c r="I8" s="1155" t="s">
        <v>3902</v>
      </c>
      <c r="J8" s="1155" t="s">
        <v>21</v>
      </c>
      <c r="K8" s="1155" t="s">
        <v>3886</v>
      </c>
      <c r="L8" s="1155">
        <v>1984.53</v>
      </c>
      <c r="M8" s="1155">
        <v>10717.23</v>
      </c>
      <c r="N8" s="1155">
        <v>54004</v>
      </c>
    </row>
    <row r="9" spans="1:14">
      <c r="A9" s="3215">
        <v>45545.333831018521</v>
      </c>
      <c r="B9" s="1155" t="s">
        <v>3883</v>
      </c>
      <c r="C9" s="1155" t="s">
        <v>3883</v>
      </c>
      <c r="D9" s="1155" t="s">
        <v>3900</v>
      </c>
      <c r="E9" s="1155" t="s">
        <v>3883</v>
      </c>
      <c r="F9" s="1155" t="s">
        <v>3883</v>
      </c>
      <c r="G9" s="1155">
        <v>4</v>
      </c>
      <c r="H9" s="1155">
        <v>404</v>
      </c>
      <c r="I9" s="1155" t="s">
        <v>3902</v>
      </c>
      <c r="J9" s="1155" t="s">
        <v>21</v>
      </c>
      <c r="K9" s="1155" t="s">
        <v>3886</v>
      </c>
      <c r="L9" s="1155">
        <v>127.89</v>
      </c>
      <c r="M9" s="1155">
        <v>633.53</v>
      </c>
      <c r="N9" s="1155">
        <v>49537</v>
      </c>
    </row>
    <row r="10" spans="1:14">
      <c r="A10" s="3215">
        <v>45545.333831018521</v>
      </c>
      <c r="B10" s="1155" t="s">
        <v>3883</v>
      </c>
      <c r="C10" s="1155" t="s">
        <v>3883</v>
      </c>
      <c r="D10" s="1155" t="s">
        <v>3900</v>
      </c>
      <c r="E10" s="1155" t="s">
        <v>3883</v>
      </c>
      <c r="F10" s="1155" t="s">
        <v>3883</v>
      </c>
      <c r="G10" s="1155">
        <v>10</v>
      </c>
      <c r="H10" s="1155">
        <v>1001</v>
      </c>
      <c r="I10" s="1155" t="s">
        <v>3902</v>
      </c>
      <c r="J10" s="1155" t="s">
        <v>21</v>
      </c>
      <c r="K10" s="1155" t="s">
        <v>3886</v>
      </c>
      <c r="L10" s="1155">
        <v>1684</v>
      </c>
      <c r="M10" s="1155">
        <v>9457.98</v>
      </c>
      <c r="N10" s="1155">
        <v>56164</v>
      </c>
    </row>
    <row r="11" spans="1:14">
      <c r="K11" s="1155" t="s">
        <v>2590</v>
      </c>
      <c r="L11" s="3208">
        <f>SUM(L2:L10)</f>
        <v>13179.630000000001</v>
      </c>
      <c r="M11" s="1155">
        <f>SUM(M2:M10)</f>
        <v>72812.62999999999</v>
      </c>
    </row>
    <row r="12" spans="1:14">
      <c r="M12" s="2577" t="s">
        <v>3897</v>
      </c>
      <c r="N12" s="3208">
        <f>ROUND(M11/L11*10000,0)</f>
        <v>55246</v>
      </c>
    </row>
  </sheetData>
  <phoneticPr fontId="13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6910.8407999999999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5759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2400046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2400046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2400046</v>
      </c>
      <c r="D10" s="795">
        <f ca="1">IF(B1="",'数据-汇总表'!E6,IF(INDIRECT("'数据-取费表'!c"&amp;$G$1)="住宅",INDIRECT("'数据-取费表'!s"&amp;$G$1),INDIRECT("'数据-取费表'!k"&amp;$G$1)+INDIRECT("'数据-取费表'!s"&amp;$G$1)))</f>
        <v>12000.230000000001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2400046</v>
      </c>
      <c r="D19" s="204">
        <f ca="1">D9+D10</f>
        <v>12000.230000000001</v>
      </c>
      <c r="E19" s="203">
        <f>'数据-取费表'!B31</f>
        <v>200</v>
      </c>
      <c r="F19" s="223"/>
      <c r="G19" s="1713"/>
    </row>
    <row r="20" spans="1:7" s="206" customFormat="1" ht="13.5" customHeight="1">
      <c r="A20" s="247" t="s">
        <v>1574</v>
      </c>
      <c r="B20" s="202" t="s">
        <v>1575</v>
      </c>
      <c r="C20" s="224">
        <f ca="1">ROUND((C5+C19)*F20,0)</f>
        <v>96002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384434</v>
      </c>
      <c r="D22" s="227">
        <f ca="1">C26</f>
        <v>8.0000000000000004E-4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190350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190350</v>
      </c>
      <c r="D24" s="230"/>
      <c r="E24" s="230"/>
      <c r="F24" s="231"/>
      <c r="G24" s="232" t="s">
        <v>1586</v>
      </c>
    </row>
    <row r="25" spans="1:7" s="206" customFormat="1" ht="24">
      <c r="A25" s="734" t="s">
        <v>1476</v>
      </c>
      <c r="B25" s="207" t="s">
        <v>1587</v>
      </c>
      <c r="C25" s="230">
        <f ca="1">ROUND(IF('数据-取费表'!B22&lt;=1,C20*F22*'数据-取费表'!B22/2,C20*(POWER((1+F22),'数据-取费表'!B22/2)-1)),0)</f>
        <v>3734</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979219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979219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6790050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64033227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57601104</v>
      </c>
      <c r="D34" s="209"/>
      <c r="E34" s="212"/>
      <c r="F34" s="249"/>
      <c r="G34" s="211"/>
    </row>
    <row r="35" spans="1:7" ht="13.5" customHeight="1">
      <c r="A35" s="734" t="s">
        <v>351</v>
      </c>
      <c r="B35" s="207" t="s">
        <v>1527</v>
      </c>
      <c r="C35" s="212">
        <f ca="1">ROUND(C34*F35,0)</f>
        <v>2880055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2400046</v>
      </c>
      <c r="D37" s="209">
        <f ca="1">D19</f>
        <v>12000.230000000001</v>
      </c>
      <c r="E37" s="241">
        <f>'数据-取费表'!B35</f>
        <v>200</v>
      </c>
      <c r="F37" s="251"/>
      <c r="G37" s="253"/>
    </row>
    <row r="38" spans="1:7" ht="13.5" customHeight="1">
      <c r="A38" s="734" t="s">
        <v>354</v>
      </c>
      <c r="B38" s="207" t="s">
        <v>1533</v>
      </c>
      <c r="C38" s="212">
        <f ca="1">ROUND(C34*F38,0)</f>
        <v>1152022</v>
      </c>
      <c r="D38" s="212"/>
      <c r="E38" s="212"/>
      <c r="F38" s="251">
        <f>'数据-取费表'!B36</f>
        <v>0.02</v>
      </c>
      <c r="G38" s="211" t="s">
        <v>1528</v>
      </c>
    </row>
    <row r="39" spans="1:7" s="206" customFormat="1" ht="13.5" customHeight="1">
      <c r="A39" s="247" t="s">
        <v>1534</v>
      </c>
      <c r="B39" s="202" t="s">
        <v>1535</v>
      </c>
      <c r="C39" s="224">
        <f ca="1">ROUND(C33*F20,0)</f>
        <v>1280665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2540646</v>
      </c>
      <c r="D41" s="227">
        <f ca="1">C44</f>
        <v>8.0000000000000004E-4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2490829</v>
      </c>
      <c r="D42" s="230"/>
      <c r="E42" s="230"/>
      <c r="F42" s="231"/>
      <c r="G42" s="3477" t="s">
        <v>1591</v>
      </c>
    </row>
    <row r="43" spans="1:7" ht="13.5" customHeight="1">
      <c r="A43" s="734" t="s">
        <v>347</v>
      </c>
      <c r="B43" s="207" t="s">
        <v>1545</v>
      </c>
      <c r="C43" s="230">
        <f ca="1">ROUND(IF('数据-取费表'!B22&lt;=1,C39*F22*'数据-取费表'!B20/2,C39*(POWER((1+F22),'数据-取费表'!B20/2)-1)),0)</f>
        <v>49817</v>
      </c>
      <c r="D43" s="230"/>
      <c r="E43" s="230"/>
      <c r="F43" s="231"/>
      <c r="G43" s="3478"/>
    </row>
    <row r="44" spans="1:7" ht="13.5" customHeight="1">
      <c r="A44" s="734" t="s">
        <v>348</v>
      </c>
      <c r="B44" s="207" t="s">
        <v>1546</v>
      </c>
      <c r="C44" s="230">
        <f ca="1">ROUND(IF('数据-取费表'!B22&lt;=1,C40*F22*'数据-取费表'!B20/2,C40*(POWER((1+F22),'数据-取费表'!B20/2)-1)),4)</f>
        <v>8.0000000000000004E-4</v>
      </c>
      <c r="D44" s="230"/>
      <c r="E44" s="230"/>
      <c r="F44" s="231"/>
      <c r="G44" s="3479"/>
    </row>
    <row r="45" spans="1:7" s="206" customFormat="1" ht="13.5" customHeight="1">
      <c r="A45" s="247" t="s">
        <v>1547</v>
      </c>
      <c r="B45" s="236" t="s">
        <v>1513</v>
      </c>
      <c r="C45" s="237">
        <f ca="1">C46</f>
        <v>13062778</v>
      </c>
      <c r="D45" s="227">
        <f ca="1">C47</f>
        <v>4.0000000000000001E-3</v>
      </c>
      <c r="E45" s="228" t="s">
        <v>1539</v>
      </c>
      <c r="F45" s="238">
        <f ca="1">F27</f>
        <v>0.2</v>
      </c>
      <c r="G45" s="239" t="s">
        <v>1548</v>
      </c>
    </row>
    <row r="46" spans="1:7" s="206" customFormat="1" ht="13.5" customHeight="1">
      <c r="A46" s="734" t="s">
        <v>346</v>
      </c>
      <c r="B46" s="240" t="s">
        <v>1549</v>
      </c>
      <c r="C46" s="241">
        <f ca="1">ROUND((C33+C39)*F27,0)</f>
        <v>13062778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87772335</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62318358</v>
      </c>
      <c r="D51" s="224"/>
      <c r="E51" s="224"/>
      <c r="F51" s="256"/>
      <c r="G51" s="226" t="s">
        <v>1560</v>
      </c>
    </row>
    <row r="52" spans="1:7" s="200" customFormat="1" ht="16.8" thickBot="1">
      <c r="A52" s="257" t="s">
        <v>1561</v>
      </c>
      <c r="B52" s="258"/>
      <c r="C52" s="259">
        <f ca="1">C31+C51</f>
        <v>69108408</v>
      </c>
      <c r="D52" s="258"/>
      <c r="E52" s="258"/>
      <c r="F52" s="258"/>
      <c r="G52" s="260"/>
    </row>
    <row r="55" spans="1:7" ht="15">
      <c r="B55" s="262" t="s">
        <v>1562</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000-000000000000}">
      <formula1>"已包含在土地购买价格中,未包含在土地购买价格中"</formula1>
    </dataValidation>
    <dataValidation type="list" allowBlank="1" showInputMessage="1" showErrorMessage="1" sqref="G19" xr:uid="{00000000-0002-0000-2000-000001000000}">
      <formula1>"已包含在土地取得成本中,未包含在土地取得成本中"</formula1>
    </dataValidation>
    <dataValidation type="list" allowBlank="1" showInputMessage="1" showErrorMessage="1" sqref="B1" xr:uid="{00000000-0002-0000-2000-000002000000}">
      <formula1>项目类型</formula1>
    </dataValidation>
    <dataValidation type="list" allowBlank="1" showInputMessage="1" showErrorMessage="1" sqref="G2" xr:uid="{00000000-0002-0000-2000-000003000000}">
      <formula1>估价方法</formula1>
    </dataValidation>
    <dataValidation type="list" allowBlank="1" showInputMessage="1" showErrorMessage="1" sqref="D2" xr:uid="{00000000-0002-0000-2000-000004000000}">
      <formula1>"需扣减承租人权益,——"</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12000.230000000001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12000.230000000001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240</v>
      </c>
      <c r="D20" s="796">
        <f ca="1">IF(C1="",'数据-汇总表'!E6,IF(INDIRECT("'数据-取费表'!c"&amp;$K$1)="住宅",INDIRECT("'数据-取费表'!s"&amp;$K$1),INDIRECT("'数据-取费表'!k"&amp;$K$1)+INDIRECT("'数据-取费表'!s"&amp;$K$1)))</f>
        <v>12000.230000000001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2100-000000000000}">
      <formula1>项目类型</formula1>
    </dataValidation>
    <dataValidation type="list" allowBlank="1" showInputMessage="1" showErrorMessage="1" sqref="G18" xr:uid="{00000000-0002-0000-21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A1:W41"/>
  <sheetViews>
    <sheetView topLeftCell="C36" workbookViewId="0">
      <selection activeCell="E19" sqref="A19:XFD19"/>
    </sheetView>
  </sheetViews>
  <sheetFormatPr defaultColWidth="8.88671875" defaultRowHeight="14.4"/>
  <cols>
    <col min="1" max="1" width="4" style="1155" customWidth="1"/>
    <col min="2" max="2" width="8.88671875" style="1155"/>
    <col min="3" max="3" width="20" style="1155" customWidth="1"/>
    <col min="4" max="15" width="8.88671875" style="1155"/>
    <col min="16" max="16" width="13.44140625" style="1155" customWidth="1"/>
    <col min="17" max="17" width="14.44140625" style="1155" customWidth="1"/>
    <col min="18" max="16384" width="8.88671875" style="1155"/>
  </cols>
  <sheetData>
    <row r="1" spans="1:23" ht="55.95" customHeight="1">
      <c r="A1" s="3175" t="s">
        <v>2642</v>
      </c>
      <c r="B1" s="3175" t="s">
        <v>3626</v>
      </c>
      <c r="C1" s="3175" t="s">
        <v>3627</v>
      </c>
      <c r="D1" s="3175" t="s">
        <v>3628</v>
      </c>
      <c r="E1" s="3175" t="s">
        <v>3629</v>
      </c>
      <c r="F1" s="3175" t="s">
        <v>3630</v>
      </c>
      <c r="G1" s="3175" t="s">
        <v>3631</v>
      </c>
      <c r="H1" s="3175" t="s">
        <v>3632</v>
      </c>
      <c r="I1" s="3175" t="s">
        <v>3633</v>
      </c>
      <c r="J1" s="3176" t="s">
        <v>3634</v>
      </c>
      <c r="K1" s="3175" t="s">
        <v>3635</v>
      </c>
      <c r="L1" s="3175" t="s">
        <v>3636</v>
      </c>
      <c r="M1" s="3175" t="s">
        <v>3637</v>
      </c>
      <c r="N1" s="3175" t="s">
        <v>3638</v>
      </c>
      <c r="O1" s="3175" t="s">
        <v>3639</v>
      </c>
      <c r="P1" s="3177" t="s">
        <v>3640</v>
      </c>
      <c r="Q1" s="3175" t="s">
        <v>3641</v>
      </c>
      <c r="R1" s="3175" t="s">
        <v>3642</v>
      </c>
      <c r="S1" s="3175" t="s">
        <v>3643</v>
      </c>
      <c r="T1" s="3175" t="s">
        <v>3644</v>
      </c>
      <c r="U1" s="3175" t="s">
        <v>3645</v>
      </c>
      <c r="V1" s="3175" t="s">
        <v>3646</v>
      </c>
      <c r="W1" s="3175" t="s">
        <v>3647</v>
      </c>
    </row>
    <row r="2" spans="1:23" ht="55.95" customHeight="1">
      <c r="A2" s="3175">
        <v>374</v>
      </c>
      <c r="B2" s="3175" t="s">
        <v>3648</v>
      </c>
      <c r="C2" s="3175" t="s">
        <v>3649</v>
      </c>
      <c r="D2" s="3175" t="s">
        <v>2759</v>
      </c>
      <c r="E2" s="3178" t="s">
        <v>3650</v>
      </c>
      <c r="F2" s="3178" t="s">
        <v>3651</v>
      </c>
      <c r="G2" s="3175" t="s">
        <v>3652</v>
      </c>
      <c r="H2" s="3178"/>
      <c r="I2" s="3178">
        <v>8593.369999999999</v>
      </c>
      <c r="J2" s="3179">
        <v>6760.7019999999993</v>
      </c>
      <c r="K2" s="3179">
        <v>1832.6679999999997</v>
      </c>
      <c r="L2" s="3178">
        <v>17186.740000000002</v>
      </c>
      <c r="M2" s="3180">
        <v>20000</v>
      </c>
      <c r="N2" s="3181">
        <v>25421.5316693444</v>
      </c>
      <c r="O2" s="3178" t="s">
        <v>0</v>
      </c>
      <c r="P2" s="3182">
        <v>44562</v>
      </c>
      <c r="Q2" s="3183" t="s">
        <v>3653</v>
      </c>
      <c r="R2" s="3178" t="s">
        <v>3654</v>
      </c>
      <c r="S2" s="3178"/>
      <c r="T2" s="3184">
        <v>0</v>
      </c>
      <c r="U2" s="3178"/>
      <c r="V2" s="3185" t="e">
        <v>#DIV/0!</v>
      </c>
      <c r="W2" s="3178"/>
    </row>
    <row r="3" spans="1:23" ht="55.95" customHeight="1">
      <c r="A3" s="3175">
        <v>377</v>
      </c>
      <c r="B3" s="3175" t="s">
        <v>3655</v>
      </c>
      <c r="C3" s="3175" t="s">
        <v>3656</v>
      </c>
      <c r="D3" s="3175" t="s">
        <v>2719</v>
      </c>
      <c r="E3" s="3178" t="s">
        <v>3657</v>
      </c>
      <c r="F3" s="3175" t="s">
        <v>3658</v>
      </c>
      <c r="G3" s="3175" t="s">
        <v>3659</v>
      </c>
      <c r="H3" s="3178"/>
      <c r="I3" s="3179">
        <v>24629.24</v>
      </c>
      <c r="J3" s="3179">
        <v>21550.585000000003</v>
      </c>
      <c r="K3" s="3179">
        <v>3078.6549999999988</v>
      </c>
      <c r="L3" s="3178">
        <v>64775</v>
      </c>
      <c r="M3" s="3175">
        <v>26300</v>
      </c>
      <c r="N3" s="3178">
        <v>30057</v>
      </c>
      <c r="O3" s="3175" t="s">
        <v>0</v>
      </c>
      <c r="P3" s="3186">
        <v>44573</v>
      </c>
      <c r="Q3" s="3187" t="s">
        <v>3660</v>
      </c>
      <c r="R3" s="3188" t="s">
        <v>3661</v>
      </c>
      <c r="S3" s="3178"/>
      <c r="T3" s="3178"/>
      <c r="U3" s="3178"/>
      <c r="V3" s="3178"/>
      <c r="W3" s="3178"/>
    </row>
    <row r="4" spans="1:23" ht="55.95" customHeight="1">
      <c r="A4" s="3175">
        <v>378</v>
      </c>
      <c r="B4" s="3175" t="s">
        <v>3662</v>
      </c>
      <c r="C4" s="3175" t="s">
        <v>3663</v>
      </c>
      <c r="D4" s="3178" t="s">
        <v>2744</v>
      </c>
      <c r="E4" s="3175" t="s">
        <v>3664</v>
      </c>
      <c r="F4" s="3178" t="s">
        <v>3665</v>
      </c>
      <c r="G4" s="3175" t="s">
        <v>460</v>
      </c>
      <c r="H4" s="3178"/>
      <c r="I4" s="3178">
        <v>6383.22</v>
      </c>
      <c r="J4" s="3179">
        <v>6383.22</v>
      </c>
      <c r="K4" s="3178"/>
      <c r="L4" s="3178">
        <v>28086.17</v>
      </c>
      <c r="M4" s="3180">
        <v>44000</v>
      </c>
      <c r="N4" s="3181">
        <v>44000.003133214894</v>
      </c>
      <c r="O4" s="3178" t="s">
        <v>0</v>
      </c>
      <c r="P4" s="3186" t="s">
        <v>3666</v>
      </c>
      <c r="Q4" s="3189" t="s">
        <v>3667</v>
      </c>
      <c r="R4" s="3178" t="s">
        <v>3668</v>
      </c>
      <c r="S4" s="3178"/>
      <c r="T4" s="3184">
        <v>0</v>
      </c>
      <c r="U4" s="3178"/>
      <c r="V4" s="3185" t="e">
        <v>#DIV/0!</v>
      </c>
      <c r="W4" s="3178"/>
    </row>
    <row r="5" spans="1:23" ht="55.95" customHeight="1">
      <c r="A5" s="3175">
        <v>382</v>
      </c>
      <c r="B5" s="3175" t="s">
        <v>3669</v>
      </c>
      <c r="C5" s="3175" t="s">
        <v>3649</v>
      </c>
      <c r="D5" s="3175" t="s">
        <v>2759</v>
      </c>
      <c r="E5" s="3178" t="s">
        <v>3650</v>
      </c>
      <c r="F5" s="3178" t="s">
        <v>3651</v>
      </c>
      <c r="G5" s="3175" t="s">
        <v>3652</v>
      </c>
      <c r="H5" s="3178"/>
      <c r="I5" s="3178">
        <v>2279.88</v>
      </c>
      <c r="J5" s="3179">
        <v>1709.91</v>
      </c>
      <c r="K5" s="3179">
        <v>569.97</v>
      </c>
      <c r="L5" s="3178">
        <v>4559.76</v>
      </c>
      <c r="M5" s="3180">
        <v>20000</v>
      </c>
      <c r="N5" s="3181">
        <v>26666.666666666664</v>
      </c>
      <c r="O5" s="3178" t="s">
        <v>0</v>
      </c>
      <c r="P5" s="3186">
        <v>44580</v>
      </c>
      <c r="Q5" s="3183" t="s">
        <v>3670</v>
      </c>
      <c r="R5" s="3178" t="s">
        <v>3654</v>
      </c>
      <c r="S5" s="3178"/>
      <c r="T5" s="3184">
        <v>0</v>
      </c>
      <c r="U5" s="3178"/>
      <c r="V5" s="3185" t="e">
        <v>#DIV/0!</v>
      </c>
      <c r="W5" s="3178"/>
    </row>
    <row r="6" spans="1:23" ht="55.95" customHeight="1">
      <c r="A6" s="3175">
        <v>390</v>
      </c>
      <c r="B6" s="3175" t="s">
        <v>3671</v>
      </c>
      <c r="C6" s="3175" t="s">
        <v>3672</v>
      </c>
      <c r="D6" s="3178" t="s">
        <v>2764</v>
      </c>
      <c r="E6" s="3178" t="s">
        <v>3673</v>
      </c>
      <c r="F6" s="3178" t="s">
        <v>3674</v>
      </c>
      <c r="G6" s="3175" t="s">
        <v>3675</v>
      </c>
      <c r="H6" s="3178"/>
      <c r="I6" s="3178">
        <v>1693.08</v>
      </c>
      <c r="J6" s="3179">
        <v>1495.49</v>
      </c>
      <c r="K6" s="3179">
        <v>197.58999999999992</v>
      </c>
      <c r="L6" s="3178">
        <v>1727.712</v>
      </c>
      <c r="M6" s="3180">
        <v>10205</v>
      </c>
      <c r="N6" s="3181">
        <v>11552.815465165262</v>
      </c>
      <c r="O6" s="3175" t="s">
        <v>3676</v>
      </c>
      <c r="P6" s="3186">
        <v>44631</v>
      </c>
      <c r="Q6" s="3175" t="s">
        <v>3677</v>
      </c>
      <c r="R6" s="3178" t="s">
        <v>3678</v>
      </c>
      <c r="S6" s="3178">
        <v>2879.52</v>
      </c>
      <c r="T6" s="3184">
        <v>19254.692441942105</v>
      </c>
      <c r="U6" s="3178"/>
      <c r="V6" s="3185">
        <v>0.6</v>
      </c>
      <c r="W6" s="3178" t="s">
        <v>3679</v>
      </c>
    </row>
    <row r="7" spans="1:23" ht="55.95" customHeight="1">
      <c r="A7" s="3175">
        <v>401</v>
      </c>
      <c r="B7" s="3175" t="s">
        <v>3680</v>
      </c>
      <c r="C7" s="3175" t="s">
        <v>3680</v>
      </c>
      <c r="D7" s="3178" t="s">
        <v>2779</v>
      </c>
      <c r="E7" s="3178" t="s">
        <v>2779</v>
      </c>
      <c r="F7" s="3178" t="s">
        <v>0</v>
      </c>
      <c r="G7" s="3175" t="s">
        <v>3681</v>
      </c>
      <c r="H7" s="3178">
        <v>6089.36</v>
      </c>
      <c r="I7" s="3178">
        <v>5474.29</v>
      </c>
      <c r="J7" s="3179">
        <v>5474.29</v>
      </c>
      <c r="K7" s="3178"/>
      <c r="L7" s="3178">
        <v>2801.8130000000001</v>
      </c>
      <c r="M7" s="3180">
        <v>5118</v>
      </c>
      <c r="N7" s="3181">
        <v>5118.1303876849779</v>
      </c>
      <c r="O7" s="3178" t="s">
        <v>3682</v>
      </c>
      <c r="P7" s="3186">
        <v>44656</v>
      </c>
      <c r="Q7" s="3175" t="s">
        <v>3683</v>
      </c>
      <c r="R7" s="3178" t="s">
        <v>3678</v>
      </c>
      <c r="S7" s="3178">
        <v>2072.59</v>
      </c>
      <c r="T7" s="3184">
        <v>3786.043486917938</v>
      </c>
      <c r="U7" s="3178"/>
      <c r="V7" s="3185">
        <v>1.3518414158130647</v>
      </c>
      <c r="W7" s="3178" t="s">
        <v>3679</v>
      </c>
    </row>
    <row r="8" spans="1:23" ht="55.95" customHeight="1">
      <c r="A8" s="3175">
        <v>443</v>
      </c>
      <c r="B8" s="3175" t="s">
        <v>3684</v>
      </c>
      <c r="C8" s="3175" t="s">
        <v>3685</v>
      </c>
      <c r="D8" s="3175" t="s">
        <v>2774</v>
      </c>
      <c r="E8" s="3175" t="s">
        <v>2774</v>
      </c>
      <c r="F8" s="3175" t="s">
        <v>3686</v>
      </c>
      <c r="G8" s="3175" t="s">
        <v>460</v>
      </c>
      <c r="H8" s="3175"/>
      <c r="I8" s="3175">
        <v>3972.93</v>
      </c>
      <c r="J8" s="3176">
        <v>2983.89</v>
      </c>
      <c r="K8" s="3176">
        <v>989.04</v>
      </c>
      <c r="L8" s="3175">
        <v>15693</v>
      </c>
      <c r="M8" s="3175">
        <v>39500</v>
      </c>
      <c r="N8" s="3190">
        <v>52592.421302393857</v>
      </c>
      <c r="O8" s="3175" t="s">
        <v>0</v>
      </c>
      <c r="P8" s="3177">
        <v>44659</v>
      </c>
      <c r="Q8" s="3175" t="s">
        <v>3687</v>
      </c>
      <c r="R8" s="3175" t="s">
        <v>3661</v>
      </c>
      <c r="S8" s="3175"/>
      <c r="T8" s="3175"/>
      <c r="U8" s="3175"/>
      <c r="V8" s="3175"/>
      <c r="W8" s="3175"/>
    </row>
    <row r="9" spans="1:23" ht="55.95" customHeight="1">
      <c r="A9" s="3175">
        <v>449</v>
      </c>
      <c r="B9" s="3175" t="s">
        <v>3688</v>
      </c>
      <c r="C9" s="3175" t="s">
        <v>3689</v>
      </c>
      <c r="D9" s="3175" t="s">
        <v>3690</v>
      </c>
      <c r="E9" s="3178" t="s">
        <v>3691</v>
      </c>
      <c r="F9" s="3175" t="s">
        <v>3692</v>
      </c>
      <c r="G9" s="3175" t="s">
        <v>460</v>
      </c>
      <c r="H9" s="3178"/>
      <c r="I9" s="3178">
        <v>3644.4</v>
      </c>
      <c r="J9" s="3179"/>
      <c r="K9" s="3178"/>
      <c r="L9" s="3178">
        <v>4178.9776000000002</v>
      </c>
      <c r="M9" s="3180">
        <v>11467</v>
      </c>
      <c r="N9" s="3181" t="e">
        <v>#DIV/0!</v>
      </c>
      <c r="O9" s="3175" t="s">
        <v>3693</v>
      </c>
      <c r="P9" s="3186">
        <v>44744</v>
      </c>
      <c r="Q9" s="3175" t="s">
        <v>3694</v>
      </c>
      <c r="R9" s="3178" t="s">
        <v>3695</v>
      </c>
      <c r="S9" s="3178">
        <v>7462.46</v>
      </c>
      <c r="T9" s="3184">
        <v>20476.511908681812</v>
      </c>
      <c r="U9" s="3178"/>
      <c r="V9" s="3185">
        <v>0.56000000000000005</v>
      </c>
      <c r="W9" s="3175" t="s">
        <v>3679</v>
      </c>
    </row>
    <row r="10" spans="1:23" ht="55.95" customHeight="1">
      <c r="A10" s="3175">
        <v>450</v>
      </c>
      <c r="B10" s="3175" t="s">
        <v>3696</v>
      </c>
      <c r="C10" s="3175" t="s">
        <v>3697</v>
      </c>
      <c r="D10" s="3178" t="s">
        <v>2764</v>
      </c>
      <c r="E10" s="3178" t="s">
        <v>3673</v>
      </c>
      <c r="F10" s="3178" t="s">
        <v>3698</v>
      </c>
      <c r="G10" s="3175" t="s">
        <v>3699</v>
      </c>
      <c r="H10" s="3178"/>
      <c r="I10" s="3178">
        <v>5738.59</v>
      </c>
      <c r="J10" s="3179">
        <v>4782.1583333333338</v>
      </c>
      <c r="K10" s="3179">
        <v>956.43166666666639</v>
      </c>
      <c r="L10" s="3178">
        <v>9259.2099999999991</v>
      </c>
      <c r="M10" s="3180">
        <v>16135</v>
      </c>
      <c r="N10" s="3181">
        <v>19361.989617658692</v>
      </c>
      <c r="O10" s="3178" t="s">
        <v>0</v>
      </c>
      <c r="P10" s="3186">
        <v>44739</v>
      </c>
      <c r="Q10" s="3178" t="s">
        <v>3700</v>
      </c>
      <c r="R10" s="3178" t="s">
        <v>3701</v>
      </c>
      <c r="S10" s="3178"/>
      <c r="T10" s="3184">
        <v>0</v>
      </c>
      <c r="U10" s="3178"/>
      <c r="V10" s="3185" t="e">
        <v>#DIV/0!</v>
      </c>
      <c r="W10" s="3178"/>
    </row>
    <row r="11" spans="1:23" ht="55.95" customHeight="1">
      <c r="A11" s="3175">
        <v>451</v>
      </c>
      <c r="B11" s="3175" t="s">
        <v>3702</v>
      </c>
      <c r="C11" s="3175" t="s">
        <v>3703</v>
      </c>
      <c r="D11" s="3178" t="s">
        <v>2759</v>
      </c>
      <c r="E11" s="3178" t="s">
        <v>3691</v>
      </c>
      <c r="F11" s="3178" t="s">
        <v>3704</v>
      </c>
      <c r="G11" s="3175" t="s">
        <v>3705</v>
      </c>
      <c r="H11" s="3178"/>
      <c r="I11" s="3178">
        <v>2488.9499999999998</v>
      </c>
      <c r="J11" s="3179">
        <v>1989.8799999999999</v>
      </c>
      <c r="K11" s="3178">
        <v>499.07</v>
      </c>
      <c r="L11" s="3178">
        <v>5033.47</v>
      </c>
      <c r="M11" s="3180">
        <v>20223</v>
      </c>
      <c r="N11" s="3181">
        <v>25295.344442880982</v>
      </c>
      <c r="O11" s="3178" t="s">
        <v>0</v>
      </c>
      <c r="P11" s="3186">
        <v>44740</v>
      </c>
      <c r="Q11" s="3178" t="s">
        <v>3706</v>
      </c>
      <c r="R11" s="3178" t="s">
        <v>3661</v>
      </c>
      <c r="S11" s="3178"/>
      <c r="T11" s="3184">
        <v>0</v>
      </c>
      <c r="U11" s="3178"/>
      <c r="V11" s="3185" t="e">
        <v>#DIV/0!</v>
      </c>
      <c r="W11" s="3178"/>
    </row>
    <row r="12" spans="1:23" ht="55.95" customHeight="1">
      <c r="A12" s="3175">
        <v>456</v>
      </c>
      <c r="B12" s="3175" t="s">
        <v>3707</v>
      </c>
      <c r="C12" s="3175" t="s">
        <v>3708</v>
      </c>
      <c r="D12" s="3178" t="s">
        <v>2739</v>
      </c>
      <c r="E12" s="3178" t="s">
        <v>3709</v>
      </c>
      <c r="F12" s="3178" t="s">
        <v>3682</v>
      </c>
      <c r="G12" s="3175" t="s">
        <v>3710</v>
      </c>
      <c r="H12" s="3178">
        <v>179.4</v>
      </c>
      <c r="I12" s="3178">
        <v>1228.5899999999999</v>
      </c>
      <c r="J12" s="3179">
        <v>1228.5899999999999</v>
      </c>
      <c r="K12" s="3178"/>
      <c r="L12" s="3178">
        <v>2440</v>
      </c>
      <c r="M12" s="3180">
        <v>19860</v>
      </c>
      <c r="N12" s="3181">
        <v>19860.164904484005</v>
      </c>
      <c r="O12" s="3178" t="s">
        <v>0</v>
      </c>
      <c r="P12" s="3186">
        <v>44571</v>
      </c>
      <c r="Q12" s="3175" t="s">
        <v>3711</v>
      </c>
      <c r="R12" s="3178" t="s">
        <v>3695</v>
      </c>
      <c r="S12" s="3178">
        <v>4431.55</v>
      </c>
      <c r="T12" s="3184">
        <v>36070.210566584465</v>
      </c>
      <c r="U12" s="3178"/>
      <c r="V12" s="3185">
        <v>0.55059742076700025</v>
      </c>
      <c r="W12" s="3178" t="s">
        <v>3679</v>
      </c>
    </row>
    <row r="13" spans="1:23" ht="55.95" customHeight="1">
      <c r="A13" s="3175">
        <v>463</v>
      </c>
      <c r="B13" s="3175" t="s">
        <v>3712</v>
      </c>
      <c r="C13" s="3175" t="s">
        <v>3713</v>
      </c>
      <c r="D13" s="3178" t="s">
        <v>2732</v>
      </c>
      <c r="E13" s="3178" t="s">
        <v>3714</v>
      </c>
      <c r="F13" s="3178" t="s">
        <v>3715</v>
      </c>
      <c r="G13" s="3175" t="s">
        <v>3716</v>
      </c>
      <c r="H13" s="3178"/>
      <c r="I13" s="3178">
        <v>61606.26</v>
      </c>
      <c r="J13" s="3179">
        <v>42096.020000000004</v>
      </c>
      <c r="K13" s="3178">
        <v>19510.239999999998</v>
      </c>
      <c r="L13" s="3178">
        <v>175005.77</v>
      </c>
      <c r="M13" s="3180">
        <v>28407</v>
      </c>
      <c r="N13" s="3181">
        <v>41572.99668709773</v>
      </c>
      <c r="O13" s="3178" t="s">
        <v>3717</v>
      </c>
      <c r="P13" s="3186">
        <v>44771</v>
      </c>
      <c r="Q13" s="3175" t="s">
        <v>3718</v>
      </c>
      <c r="R13" s="3178" t="s">
        <v>3668</v>
      </c>
      <c r="S13" s="3178"/>
      <c r="T13" s="3184">
        <v>0</v>
      </c>
      <c r="U13" s="3178"/>
      <c r="V13" s="3185" t="e">
        <v>#DIV/0!</v>
      </c>
      <c r="W13" s="3178"/>
    </row>
    <row r="14" spans="1:23" ht="55.95" customHeight="1">
      <c r="A14" s="3175">
        <v>467</v>
      </c>
      <c r="B14" s="3175" t="s">
        <v>3719</v>
      </c>
      <c r="C14" s="3175" t="s">
        <v>3720</v>
      </c>
      <c r="D14" s="3178" t="s">
        <v>2732</v>
      </c>
      <c r="E14" s="3178" t="s">
        <v>3721</v>
      </c>
      <c r="F14" s="3175" t="s">
        <v>3722</v>
      </c>
      <c r="G14" s="3175" t="s">
        <v>3723</v>
      </c>
      <c r="H14" s="3178">
        <v>19305.400000000001</v>
      </c>
      <c r="I14" s="3178">
        <v>14584.58</v>
      </c>
      <c r="J14" s="3179">
        <v>10919.396666666667</v>
      </c>
      <c r="K14" s="3191">
        <v>3665.1833333333329</v>
      </c>
      <c r="L14" s="3178">
        <v>29363.146400000001</v>
      </c>
      <c r="M14" s="3180">
        <v>20133</v>
      </c>
      <c r="N14" s="3181">
        <v>26890.813930806311</v>
      </c>
      <c r="O14" s="3175" t="s">
        <v>3724</v>
      </c>
      <c r="P14" s="3186">
        <v>44779</v>
      </c>
      <c r="Q14" s="3175" t="s">
        <v>3725</v>
      </c>
      <c r="R14" s="3178">
        <v>2004</v>
      </c>
      <c r="S14" s="3178">
        <v>52434.19</v>
      </c>
      <c r="T14" s="3184">
        <v>48019.310590725552</v>
      </c>
      <c r="U14" s="3178"/>
      <c r="V14" s="3185">
        <v>0.56000000000000005</v>
      </c>
      <c r="W14" s="3178" t="s">
        <v>3679</v>
      </c>
    </row>
    <row r="15" spans="1:23" ht="55.95" customHeight="1">
      <c r="A15" s="3175">
        <v>473</v>
      </c>
      <c r="B15" s="3175" t="s">
        <v>3726</v>
      </c>
      <c r="C15" s="3175" t="s">
        <v>3649</v>
      </c>
      <c r="D15" s="3175" t="s">
        <v>2759</v>
      </c>
      <c r="E15" s="3178" t="s">
        <v>3650</v>
      </c>
      <c r="F15" s="3178" t="s">
        <v>3651</v>
      </c>
      <c r="G15" s="3175" t="s">
        <v>3652</v>
      </c>
      <c r="H15" s="3178"/>
      <c r="I15" s="3178">
        <v>3382.65</v>
      </c>
      <c r="J15" s="3179">
        <v>2706.12</v>
      </c>
      <c r="K15" s="3179">
        <v>676.5300000000002</v>
      </c>
      <c r="L15" s="3178">
        <v>5151.78</v>
      </c>
      <c r="M15" s="3180">
        <v>15230</v>
      </c>
      <c r="N15" s="3181">
        <v>19037.514966076891</v>
      </c>
      <c r="O15" s="3178" t="s">
        <v>0</v>
      </c>
      <c r="P15" s="3182">
        <v>44781</v>
      </c>
      <c r="Q15" s="3183" t="s">
        <v>3727</v>
      </c>
      <c r="R15" s="3178" t="s">
        <v>3654</v>
      </c>
      <c r="S15" s="3178"/>
      <c r="T15" s="3184">
        <v>0</v>
      </c>
      <c r="U15" s="3178"/>
      <c r="V15" s="3185" t="e">
        <v>#DIV/0!</v>
      </c>
      <c r="W15" s="3178"/>
    </row>
    <row r="16" spans="1:23" ht="55.95" customHeight="1">
      <c r="A16" s="3175">
        <v>479</v>
      </c>
      <c r="B16" s="3175" t="s">
        <v>3728</v>
      </c>
      <c r="C16" s="3175" t="s">
        <v>3729</v>
      </c>
      <c r="D16" s="3175" t="s">
        <v>2719</v>
      </c>
      <c r="E16" s="3178" t="s">
        <v>3657</v>
      </c>
      <c r="F16" s="3175" t="s">
        <v>3658</v>
      </c>
      <c r="G16" s="3175" t="s">
        <v>3659</v>
      </c>
      <c r="H16" s="3178"/>
      <c r="I16" s="3179">
        <v>28179.63</v>
      </c>
      <c r="J16" s="3179">
        <v>22543.704000000002</v>
      </c>
      <c r="K16" s="3179">
        <v>5635.9259999999995</v>
      </c>
      <c r="L16" s="3178">
        <v>59177.22</v>
      </c>
      <c r="M16" s="3175">
        <v>21000</v>
      </c>
      <c r="N16" s="3181">
        <v>26249.998669251512</v>
      </c>
      <c r="O16" s="3175" t="s">
        <v>3730</v>
      </c>
      <c r="P16" s="3186">
        <v>44795</v>
      </c>
      <c r="Q16" s="3187" t="s">
        <v>3731</v>
      </c>
      <c r="R16" s="3188" t="s">
        <v>3695</v>
      </c>
      <c r="S16" s="3178"/>
      <c r="T16" s="3178"/>
      <c r="U16" s="3192"/>
      <c r="V16" s="3178"/>
      <c r="W16" s="3178" t="s">
        <v>3732</v>
      </c>
    </row>
    <row r="17" spans="1:23" ht="55.95" customHeight="1">
      <c r="A17" s="3175">
        <v>504</v>
      </c>
      <c r="B17" s="3175" t="s">
        <v>3733</v>
      </c>
      <c r="C17" s="3175" t="s">
        <v>3734</v>
      </c>
      <c r="D17" s="3178" t="s">
        <v>2744</v>
      </c>
      <c r="E17" s="3178" t="s">
        <v>3735</v>
      </c>
      <c r="F17" s="3178" t="s">
        <v>3665</v>
      </c>
      <c r="G17" s="3175" t="s">
        <v>460</v>
      </c>
      <c r="H17" s="3178">
        <v>23400</v>
      </c>
      <c r="I17" s="3178">
        <v>135500</v>
      </c>
      <c r="J17" s="3179">
        <v>93500</v>
      </c>
      <c r="K17" s="3179">
        <v>42000</v>
      </c>
      <c r="L17" s="3178">
        <v>452000</v>
      </c>
      <c r="M17" s="3180">
        <v>33358</v>
      </c>
      <c r="N17" s="3181">
        <v>48342.245989304807</v>
      </c>
      <c r="O17" s="3178" t="s">
        <v>3736</v>
      </c>
      <c r="P17" s="3186">
        <v>44891</v>
      </c>
      <c r="Q17" s="3175" t="s">
        <v>3737</v>
      </c>
      <c r="R17" s="3178" t="s">
        <v>3738</v>
      </c>
      <c r="S17" s="3178"/>
      <c r="T17" s="3184">
        <v>0</v>
      </c>
      <c r="U17" s="3178"/>
      <c r="V17" s="3185" t="e">
        <v>#DIV/0!</v>
      </c>
      <c r="W17" s="3178" t="s">
        <v>3739</v>
      </c>
    </row>
    <row r="18" spans="1:23" ht="55.95" customHeight="1">
      <c r="A18" s="3175">
        <v>505</v>
      </c>
      <c r="B18" s="3175" t="s">
        <v>3740</v>
      </c>
      <c r="C18" s="3175" t="s">
        <v>3741</v>
      </c>
      <c r="D18" s="3178" t="s">
        <v>2739</v>
      </c>
      <c r="E18" s="3178" t="s">
        <v>3709</v>
      </c>
      <c r="F18" s="3178" t="s">
        <v>3674</v>
      </c>
      <c r="G18" s="3175" t="s">
        <v>3710</v>
      </c>
      <c r="H18" s="3178"/>
      <c r="I18" s="3178">
        <v>1187.81</v>
      </c>
      <c r="J18" s="3179">
        <v>1187.71</v>
      </c>
      <c r="K18" s="3178"/>
      <c r="L18" s="3178">
        <v>2154</v>
      </c>
      <c r="M18" s="3180">
        <v>18134</v>
      </c>
      <c r="N18" s="3181">
        <v>18135.740205942529</v>
      </c>
      <c r="O18" s="3175" t="s">
        <v>3742</v>
      </c>
      <c r="P18" s="3186">
        <v>44919</v>
      </c>
      <c r="Q18" s="3175" t="s">
        <v>3711</v>
      </c>
      <c r="R18" s="3178" t="s">
        <v>3743</v>
      </c>
      <c r="S18" s="3178">
        <v>3361.92</v>
      </c>
      <c r="T18" s="3184">
        <v>28305.899588283333</v>
      </c>
      <c r="U18" s="3178"/>
      <c r="V18" s="3185">
        <v>0.64070531125071384</v>
      </c>
      <c r="W18" s="3178" t="s">
        <v>3679</v>
      </c>
    </row>
    <row r="19" spans="1:23" ht="55.95" customHeight="1">
      <c r="A19" s="3175">
        <v>507</v>
      </c>
      <c r="B19" s="3175" t="s">
        <v>3744</v>
      </c>
      <c r="C19" s="3175" t="s">
        <v>3745</v>
      </c>
      <c r="D19" s="3178" t="s">
        <v>2744</v>
      </c>
      <c r="E19" s="3178" t="s">
        <v>3746</v>
      </c>
      <c r="F19" s="3178" t="s">
        <v>3747</v>
      </c>
      <c r="G19" s="3175" t="s">
        <v>460</v>
      </c>
      <c r="H19" s="3178"/>
      <c r="I19" s="3178">
        <v>8671.6</v>
      </c>
      <c r="J19" s="3179">
        <v>8671.6</v>
      </c>
      <c r="K19" s="3178"/>
      <c r="L19" s="3178">
        <v>29483.439999999999</v>
      </c>
      <c r="M19" s="3180">
        <v>34000</v>
      </c>
      <c r="N19" s="3181">
        <v>34000</v>
      </c>
      <c r="O19" s="3178" t="s">
        <v>0</v>
      </c>
      <c r="P19" s="3186">
        <v>44917</v>
      </c>
      <c r="Q19" s="3178" t="s">
        <v>3748</v>
      </c>
      <c r="R19" s="3178" t="s">
        <v>3749</v>
      </c>
      <c r="S19" s="3178"/>
      <c r="T19" s="3184">
        <v>0</v>
      </c>
      <c r="U19" s="3178"/>
      <c r="V19" s="3185" t="e">
        <v>#DIV/0!</v>
      </c>
      <c r="W19" s="3178" t="s">
        <v>3750</v>
      </c>
    </row>
    <row r="20" spans="1:23" ht="55.95" customHeight="1">
      <c r="A20" s="3175">
        <v>508</v>
      </c>
      <c r="B20" s="3178" t="s">
        <v>3751</v>
      </c>
      <c r="C20" s="3175" t="s">
        <v>3752</v>
      </c>
      <c r="D20" s="3178" t="s">
        <v>2732</v>
      </c>
      <c r="E20" s="3178" t="s">
        <v>3753</v>
      </c>
      <c r="F20" s="3178" t="s">
        <v>0</v>
      </c>
      <c r="G20" s="3175" t="s">
        <v>3754</v>
      </c>
      <c r="H20" s="3178"/>
      <c r="I20" s="3178">
        <v>470.01</v>
      </c>
      <c r="J20" s="3179">
        <v>352.50749999999999</v>
      </c>
      <c r="K20" s="3179">
        <v>117.5025</v>
      </c>
      <c r="L20" s="3178">
        <v>1921</v>
      </c>
      <c r="M20" s="3180">
        <v>40871</v>
      </c>
      <c r="N20" s="3181">
        <v>54495.294426359724</v>
      </c>
      <c r="O20" s="3178" t="s">
        <v>3682</v>
      </c>
      <c r="P20" s="3186">
        <v>44930</v>
      </c>
      <c r="Q20" s="3178" t="s">
        <v>3755</v>
      </c>
      <c r="R20" s="3178" t="s">
        <v>3695</v>
      </c>
      <c r="S20" s="3178">
        <v>1500</v>
      </c>
      <c r="T20" s="3184">
        <v>42552.28612157188</v>
      </c>
      <c r="U20" s="3178"/>
      <c r="V20" s="3185">
        <v>1.2806666666666666</v>
      </c>
      <c r="W20" s="3178" t="s">
        <v>3679</v>
      </c>
    </row>
    <row r="21" spans="1:23" ht="55.95" customHeight="1">
      <c r="A21" s="3175">
        <v>511</v>
      </c>
      <c r="B21" s="3175" t="s">
        <v>3756</v>
      </c>
      <c r="C21" s="3178" t="s">
        <v>3757</v>
      </c>
      <c r="D21" s="3178" t="s">
        <v>2774</v>
      </c>
      <c r="E21" s="3175" t="s">
        <v>3758</v>
      </c>
      <c r="F21" s="3178" t="s">
        <v>3759</v>
      </c>
      <c r="G21" s="3175" t="s">
        <v>3760</v>
      </c>
      <c r="H21" s="3178"/>
      <c r="I21" s="3178">
        <v>36279.259999999995</v>
      </c>
      <c r="J21" s="3179">
        <v>36279.259999999995</v>
      </c>
      <c r="K21" s="3178"/>
      <c r="L21" s="3178">
        <v>58046.82</v>
      </c>
      <c r="M21" s="3180">
        <v>16000</v>
      </c>
      <c r="N21" s="3181">
        <v>16000.001102558323</v>
      </c>
      <c r="O21" s="3178" t="s">
        <v>3761</v>
      </c>
      <c r="P21" s="3182">
        <v>44866</v>
      </c>
      <c r="Q21" s="3178" t="s">
        <v>3762</v>
      </c>
      <c r="R21" s="3178" t="s">
        <v>3668</v>
      </c>
      <c r="S21" s="3178"/>
      <c r="T21" s="3184">
        <v>0</v>
      </c>
      <c r="U21" s="3178"/>
      <c r="V21" s="3185" t="e">
        <v>#DIV/0!</v>
      </c>
      <c r="W21" s="3178" t="s">
        <v>3763</v>
      </c>
    </row>
    <row r="22" spans="1:23" ht="55.95" customHeight="1">
      <c r="A22" s="3175">
        <v>524</v>
      </c>
      <c r="B22" s="3193" t="s">
        <v>3764</v>
      </c>
      <c r="C22" s="3193" t="s">
        <v>3765</v>
      </c>
      <c r="D22" s="3193" t="s">
        <v>2732</v>
      </c>
      <c r="E22" s="3193" t="s">
        <v>3714</v>
      </c>
      <c r="F22" s="3193" t="s">
        <v>3766</v>
      </c>
      <c r="G22" s="3193" t="s">
        <v>3767</v>
      </c>
      <c r="H22" s="3193"/>
      <c r="I22" s="3193">
        <v>4831.22</v>
      </c>
      <c r="J22" s="3193">
        <v>4177.5700000000006</v>
      </c>
      <c r="K22" s="3193">
        <v>653.65</v>
      </c>
      <c r="L22" s="3193">
        <v>17086.28</v>
      </c>
      <c r="M22" s="3193">
        <v>35366</v>
      </c>
      <c r="N22" s="3193">
        <v>40900</v>
      </c>
      <c r="O22" s="3193" t="s">
        <v>0</v>
      </c>
      <c r="P22" s="3194">
        <v>44994</v>
      </c>
      <c r="Q22" s="3193" t="s">
        <v>3768</v>
      </c>
      <c r="R22" s="3193" t="s">
        <v>3769</v>
      </c>
      <c r="S22" s="3193"/>
      <c r="T22" s="3184"/>
      <c r="U22" s="3193"/>
      <c r="V22" s="3185"/>
      <c r="W22" s="3178" t="s">
        <v>3732</v>
      </c>
    </row>
    <row r="23" spans="1:23" ht="55.95" customHeight="1">
      <c r="A23" s="3175">
        <v>526</v>
      </c>
      <c r="B23" s="3175" t="s">
        <v>3770</v>
      </c>
      <c r="C23" s="3175" t="s">
        <v>3771</v>
      </c>
      <c r="D23" s="3178" t="s">
        <v>2744</v>
      </c>
      <c r="E23" s="3178" t="s">
        <v>3746</v>
      </c>
      <c r="F23" s="3178" t="s">
        <v>3747</v>
      </c>
      <c r="G23" s="3175" t="s">
        <v>460</v>
      </c>
      <c r="H23" s="3178"/>
      <c r="I23" s="3178">
        <v>35216.400000000001</v>
      </c>
      <c r="J23" s="3179">
        <v>35216.400000000001</v>
      </c>
      <c r="K23" s="3178"/>
      <c r="L23" s="3178">
        <v>119735.76</v>
      </c>
      <c r="M23" s="3180">
        <v>34000</v>
      </c>
      <c r="N23" s="3181">
        <v>34000</v>
      </c>
      <c r="O23" s="3178" t="s">
        <v>0</v>
      </c>
      <c r="P23" s="3194">
        <v>44986</v>
      </c>
      <c r="Q23" s="3178" t="s">
        <v>3772</v>
      </c>
      <c r="R23" s="3178" t="s">
        <v>3749</v>
      </c>
      <c r="S23" s="3178"/>
      <c r="T23" s="3184">
        <v>0</v>
      </c>
      <c r="U23" s="3178"/>
      <c r="V23" s="3185" t="e">
        <v>#DIV/0!</v>
      </c>
      <c r="W23" s="3178" t="s">
        <v>3750</v>
      </c>
    </row>
    <row r="24" spans="1:23" ht="55.95" customHeight="1">
      <c r="A24" s="3175">
        <v>543</v>
      </c>
      <c r="B24" s="3175" t="s">
        <v>3773</v>
      </c>
      <c r="C24" s="3178" t="s">
        <v>3774</v>
      </c>
      <c r="D24" s="3178" t="s">
        <v>2719</v>
      </c>
      <c r="E24" s="3178" t="s">
        <v>3775</v>
      </c>
      <c r="F24" s="3178" t="s">
        <v>3658</v>
      </c>
      <c r="G24" s="3175" t="s">
        <v>3776</v>
      </c>
      <c r="H24" s="3178"/>
      <c r="I24" s="3178">
        <v>16577.27</v>
      </c>
      <c r="J24" s="3179">
        <v>16577.27</v>
      </c>
      <c r="K24" s="3178"/>
      <c r="L24" s="3178">
        <v>22911.439999999999</v>
      </c>
      <c r="M24" s="3180">
        <v>13821</v>
      </c>
      <c r="N24" s="3181">
        <v>13820.997064052162</v>
      </c>
      <c r="O24" s="3178" t="s">
        <v>3777</v>
      </c>
      <c r="P24" s="3194">
        <v>45078</v>
      </c>
      <c r="Q24" s="3178" t="s">
        <v>3772</v>
      </c>
      <c r="R24" s="3178" t="s">
        <v>3778</v>
      </c>
      <c r="S24" s="3178"/>
      <c r="T24" s="3184">
        <v>0</v>
      </c>
      <c r="U24" s="3178"/>
      <c r="V24" s="3185" t="e">
        <v>#DIV/0!</v>
      </c>
      <c r="W24" s="3178" t="s">
        <v>3732</v>
      </c>
    </row>
    <row r="25" spans="1:23" ht="55.95" customHeight="1">
      <c r="A25" s="3175">
        <v>553</v>
      </c>
      <c r="B25" s="3178" t="s">
        <v>3779</v>
      </c>
      <c r="C25" s="3175" t="s">
        <v>3780</v>
      </c>
      <c r="D25" s="3178" t="s">
        <v>2739</v>
      </c>
      <c r="E25" s="3175" t="s">
        <v>3709</v>
      </c>
      <c r="F25" s="3175" t="s">
        <v>3781</v>
      </c>
      <c r="G25" s="3175" t="s">
        <v>3782</v>
      </c>
      <c r="H25" s="3178"/>
      <c r="I25" s="3178">
        <v>2230.1799999999998</v>
      </c>
      <c r="J25" s="3179">
        <v>2230.1799999999998</v>
      </c>
      <c r="K25" s="3178"/>
      <c r="L25" s="3178">
        <v>4231.7056000000002</v>
      </c>
      <c r="M25" s="3180">
        <v>18975</v>
      </c>
      <c r="N25" s="3181">
        <v>18974.726703674147</v>
      </c>
      <c r="O25" s="3175" t="s">
        <v>3783</v>
      </c>
      <c r="P25" s="3186">
        <v>45115</v>
      </c>
      <c r="Q25" s="3175" t="s">
        <v>3784</v>
      </c>
      <c r="R25" s="3178" t="s">
        <v>3785</v>
      </c>
      <c r="S25" s="3178">
        <v>6612.04</v>
      </c>
      <c r="T25" s="3184">
        <v>29648.010474490849</v>
      </c>
      <c r="U25" s="3178"/>
      <c r="V25" s="3185">
        <v>0.64</v>
      </c>
      <c r="W25" s="3178" t="s">
        <v>3679</v>
      </c>
    </row>
    <row r="26" spans="1:23" ht="55.95" customHeight="1">
      <c r="A26" s="3175">
        <v>555</v>
      </c>
      <c r="B26" s="3178" t="s">
        <v>3786</v>
      </c>
      <c r="C26" s="3175" t="s">
        <v>3787</v>
      </c>
      <c r="D26" s="3178" t="s">
        <v>2739</v>
      </c>
      <c r="E26" s="3175" t="s">
        <v>3709</v>
      </c>
      <c r="F26" s="3175" t="s">
        <v>3788</v>
      </c>
      <c r="G26" s="3175" t="s">
        <v>3782</v>
      </c>
      <c r="H26" s="3178"/>
      <c r="I26" s="3178">
        <v>1187.81</v>
      </c>
      <c r="J26" s="3179">
        <v>1187.81</v>
      </c>
      <c r="K26" s="3178"/>
      <c r="L26" s="3178">
        <v>2550</v>
      </c>
      <c r="M26" s="3180">
        <v>21468</v>
      </c>
      <c r="N26" s="3181">
        <v>21468.079911770405</v>
      </c>
      <c r="O26" s="3175" t="s">
        <v>3789</v>
      </c>
      <c r="P26" s="3186">
        <v>45126</v>
      </c>
      <c r="Q26" s="3175" t="s">
        <v>3790</v>
      </c>
      <c r="R26" s="3178" t="s">
        <v>3791</v>
      </c>
      <c r="S26" s="3178">
        <v>3590.04</v>
      </c>
      <c r="T26" s="3184">
        <v>30224.025728020475</v>
      </c>
      <c r="U26" s="3178"/>
      <c r="V26" s="3185">
        <v>0.71029849249590538</v>
      </c>
      <c r="W26" s="3178" t="s">
        <v>3679</v>
      </c>
    </row>
    <row r="27" spans="1:23" ht="55.95" customHeight="1">
      <c r="A27" s="3175">
        <v>559</v>
      </c>
      <c r="B27" s="3175" t="s">
        <v>3792</v>
      </c>
      <c r="C27" s="3175" t="s">
        <v>3793</v>
      </c>
      <c r="D27" s="3175" t="s">
        <v>3690</v>
      </c>
      <c r="E27" s="3178" t="s">
        <v>3691</v>
      </c>
      <c r="F27" s="3175" t="s">
        <v>3794</v>
      </c>
      <c r="G27" s="3175" t="s">
        <v>3659</v>
      </c>
      <c r="H27" s="3178"/>
      <c r="I27" s="3178">
        <v>2079.25</v>
      </c>
      <c r="J27" s="3179"/>
      <c r="K27" s="3178"/>
      <c r="L27" s="3178">
        <v>3229.33</v>
      </c>
      <c r="M27" s="3180">
        <v>15531</v>
      </c>
      <c r="N27" s="3181" t="e">
        <v>#DIV/0!</v>
      </c>
      <c r="O27" s="3175" t="s">
        <v>3795</v>
      </c>
      <c r="P27" s="3186">
        <v>45146</v>
      </c>
      <c r="Q27" s="3175" t="s">
        <v>3796</v>
      </c>
      <c r="R27" s="3178" t="s">
        <v>3695</v>
      </c>
      <c r="S27" s="3178">
        <v>3799.21</v>
      </c>
      <c r="T27" s="3184">
        <v>18272.021161476496</v>
      </c>
      <c r="U27" s="3178"/>
      <c r="V27" s="3185">
        <v>0.85000039481892287</v>
      </c>
      <c r="W27" s="3175" t="s">
        <v>3679</v>
      </c>
    </row>
    <row r="28" spans="1:23" ht="55.95" customHeight="1">
      <c r="A28" s="3175">
        <v>564</v>
      </c>
      <c r="B28" s="3175" t="s">
        <v>3797</v>
      </c>
      <c r="C28" s="3175" t="s">
        <v>3798</v>
      </c>
      <c r="D28" s="3178" t="s">
        <v>2744</v>
      </c>
      <c r="E28" s="3178" t="s">
        <v>3746</v>
      </c>
      <c r="F28" s="3178" t="s">
        <v>3747</v>
      </c>
      <c r="G28" s="3175" t="s">
        <v>460</v>
      </c>
      <c r="H28" s="3178"/>
      <c r="I28" s="3178">
        <v>30899.29</v>
      </c>
      <c r="J28" s="3179">
        <v>30899.29</v>
      </c>
      <c r="K28" s="3178"/>
      <c r="L28" s="3178">
        <v>105057.59</v>
      </c>
      <c r="M28" s="3180">
        <v>34000</v>
      </c>
      <c r="N28" s="3181">
        <v>34000.001294528127</v>
      </c>
      <c r="O28" s="3178" t="s">
        <v>0</v>
      </c>
      <c r="P28" s="3194">
        <v>45139</v>
      </c>
      <c r="Q28" s="3178" t="s">
        <v>3799</v>
      </c>
      <c r="R28" s="3178" t="s">
        <v>3749</v>
      </c>
      <c r="S28" s="3178"/>
      <c r="T28" s="3184">
        <v>0</v>
      </c>
      <c r="U28" s="3178"/>
      <c r="V28" s="3185" t="e">
        <v>#DIV/0!</v>
      </c>
      <c r="W28" s="3178" t="s">
        <v>3750</v>
      </c>
    </row>
    <row r="29" spans="1:23" s="3201" customFormat="1" ht="55.95" customHeight="1">
      <c r="A29" s="3195">
        <v>565</v>
      </c>
      <c r="B29" s="3196" t="s">
        <v>3800</v>
      </c>
      <c r="C29" s="3196" t="s">
        <v>3801</v>
      </c>
      <c r="D29" s="3196" t="s">
        <v>2744</v>
      </c>
      <c r="E29" s="3195" t="s">
        <v>3664</v>
      </c>
      <c r="F29" s="3195" t="s">
        <v>3802</v>
      </c>
      <c r="G29" s="3195" t="s">
        <v>3803</v>
      </c>
      <c r="H29" s="3196"/>
      <c r="I29" s="3196">
        <v>20714.13</v>
      </c>
      <c r="J29" s="3197">
        <v>20714.13</v>
      </c>
      <c r="K29" s="3196"/>
      <c r="L29" s="3196">
        <v>93213.58</v>
      </c>
      <c r="M29" s="3195">
        <v>45000</v>
      </c>
      <c r="N29" s="3198">
        <v>44999.997586188751</v>
      </c>
      <c r="O29" s="3195" t="s">
        <v>3804</v>
      </c>
      <c r="P29" s="3199">
        <v>45139</v>
      </c>
      <c r="Q29" s="3195" t="s">
        <v>3805</v>
      </c>
      <c r="R29" s="3196" t="s">
        <v>3749</v>
      </c>
      <c r="S29" s="3196"/>
      <c r="T29" s="3198">
        <v>0</v>
      </c>
      <c r="U29" s="3196"/>
      <c r="V29" s="3200" t="e">
        <v>#DIV/0!</v>
      </c>
      <c r="W29" s="3196" t="s">
        <v>3806</v>
      </c>
    </row>
    <row r="30" spans="1:23" s="3208" customFormat="1" ht="55.95" customHeight="1">
      <c r="A30" s="3202">
        <v>566</v>
      </c>
      <c r="B30" s="3202" t="s">
        <v>3807</v>
      </c>
      <c r="C30" s="3202" t="s">
        <v>3808</v>
      </c>
      <c r="D30" s="3203" t="s">
        <v>2732</v>
      </c>
      <c r="E30" s="3203" t="s">
        <v>3809</v>
      </c>
      <c r="F30" s="3203" t="s">
        <v>3810</v>
      </c>
      <c r="G30" s="3202" t="s">
        <v>3811</v>
      </c>
      <c r="H30" s="3203"/>
      <c r="I30" s="3203">
        <v>8905</v>
      </c>
      <c r="J30" s="3204">
        <v>8905</v>
      </c>
      <c r="K30" s="3203"/>
      <c r="L30" s="3203">
        <v>33839</v>
      </c>
      <c r="M30" s="3202">
        <v>38000</v>
      </c>
      <c r="N30" s="3205">
        <v>38000</v>
      </c>
      <c r="O30" s="3203" t="s">
        <v>3812</v>
      </c>
      <c r="P30" s="3206">
        <v>45041</v>
      </c>
      <c r="Q30" s="3202" t="s">
        <v>3813</v>
      </c>
      <c r="R30" s="3203" t="s">
        <v>3814</v>
      </c>
      <c r="S30" s="3203"/>
      <c r="T30" s="3205">
        <v>0</v>
      </c>
      <c r="U30" s="3203"/>
      <c r="V30" s="3207" t="e">
        <v>#DIV/0!</v>
      </c>
      <c r="W30" s="3203" t="s">
        <v>3739</v>
      </c>
    </row>
    <row r="31" spans="1:23" ht="55.95" customHeight="1">
      <c r="A31" s="3180">
        <v>568</v>
      </c>
      <c r="B31" s="3180" t="s">
        <v>3815</v>
      </c>
      <c r="C31" s="3180" t="s">
        <v>3816</v>
      </c>
      <c r="D31" s="3180" t="s">
        <v>2719</v>
      </c>
      <c r="E31" s="3209" t="s">
        <v>3657</v>
      </c>
      <c r="F31" s="3180" t="s">
        <v>3658</v>
      </c>
      <c r="G31" s="3180" t="s">
        <v>3659</v>
      </c>
      <c r="H31" s="3209"/>
      <c r="I31" s="3210">
        <v>35283.660000000003</v>
      </c>
      <c r="J31" s="3210">
        <v>29000</v>
      </c>
      <c r="K31" s="3210">
        <v>6283.6600000000035</v>
      </c>
      <c r="L31" s="3209">
        <v>90000</v>
      </c>
      <c r="M31" s="3180">
        <v>25508</v>
      </c>
      <c r="N31" s="3209">
        <v>31034</v>
      </c>
      <c r="O31" s="3180" t="s">
        <v>3817</v>
      </c>
      <c r="P31" s="3211" t="s">
        <v>3818</v>
      </c>
      <c r="Q31" s="3212" t="s">
        <v>3819</v>
      </c>
      <c r="R31" s="3213" t="s">
        <v>3749</v>
      </c>
      <c r="S31" s="3209"/>
      <c r="T31" s="3209"/>
      <c r="U31" s="3209"/>
      <c r="V31" s="3209"/>
      <c r="W31" s="3209" t="s">
        <v>3820</v>
      </c>
    </row>
    <row r="32" spans="1:23" ht="55.95" customHeight="1">
      <c r="A32" s="3175">
        <v>571</v>
      </c>
      <c r="B32" s="3175" t="s">
        <v>3821</v>
      </c>
      <c r="C32" s="3175" t="s">
        <v>3822</v>
      </c>
      <c r="D32" s="3178" t="s">
        <v>2744</v>
      </c>
      <c r="E32" s="3178" t="s">
        <v>3746</v>
      </c>
      <c r="F32" s="3178" t="s">
        <v>3747</v>
      </c>
      <c r="G32" s="3175" t="s">
        <v>460</v>
      </c>
      <c r="H32" s="3178"/>
      <c r="I32" s="3178">
        <v>4550.4799999999996</v>
      </c>
      <c r="J32" s="3179">
        <v>4550.4799999999996</v>
      </c>
      <c r="K32" s="3178"/>
      <c r="L32" s="3178">
        <v>15471.632</v>
      </c>
      <c r="M32" s="3180">
        <v>34000</v>
      </c>
      <c r="N32" s="3181">
        <v>34000</v>
      </c>
      <c r="O32" s="3178" t="s">
        <v>0</v>
      </c>
      <c r="P32" s="3194">
        <v>45139</v>
      </c>
      <c r="Q32" s="3178" t="s">
        <v>3799</v>
      </c>
      <c r="R32" s="3178" t="s">
        <v>3749</v>
      </c>
      <c r="S32" s="3178"/>
      <c r="T32" s="3184">
        <v>0</v>
      </c>
      <c r="U32" s="3178"/>
      <c r="V32" s="3185" t="e">
        <v>#DIV/0!</v>
      </c>
      <c r="W32" s="3178" t="s">
        <v>3750</v>
      </c>
    </row>
    <row r="33" spans="1:23" ht="55.95" customHeight="1">
      <c r="A33" s="3175">
        <v>578</v>
      </c>
      <c r="B33" s="3175" t="s">
        <v>3823</v>
      </c>
      <c r="C33" s="3175" t="s">
        <v>3824</v>
      </c>
      <c r="D33" s="3178" t="s">
        <v>2744</v>
      </c>
      <c r="E33" s="3178" t="s">
        <v>3746</v>
      </c>
      <c r="F33" s="3178" t="s">
        <v>3747</v>
      </c>
      <c r="G33" s="3175" t="s">
        <v>460</v>
      </c>
      <c r="H33" s="3178"/>
      <c r="I33" s="3178">
        <v>20425.009999999998</v>
      </c>
      <c r="J33" s="3179">
        <v>20425.009999999998</v>
      </c>
      <c r="K33" s="3178"/>
      <c r="L33" s="3178">
        <v>69445.03</v>
      </c>
      <c r="M33" s="3180">
        <v>34000</v>
      </c>
      <c r="N33" s="3181">
        <v>33999.998041616629</v>
      </c>
      <c r="O33" s="3178" t="s">
        <v>0</v>
      </c>
      <c r="P33" s="3194">
        <v>45184</v>
      </c>
      <c r="Q33" s="3178" t="s">
        <v>3825</v>
      </c>
      <c r="R33" s="3178" t="s">
        <v>3749</v>
      </c>
      <c r="S33" s="3178"/>
      <c r="T33" s="3184">
        <v>0</v>
      </c>
      <c r="U33" s="3178"/>
      <c r="V33" s="3185" t="e">
        <v>#DIV/0!</v>
      </c>
      <c r="W33" s="3178" t="s">
        <v>3750</v>
      </c>
    </row>
    <row r="34" spans="1:23" ht="55.95" customHeight="1">
      <c r="A34" s="3175">
        <v>585</v>
      </c>
      <c r="B34" s="3175" t="s">
        <v>3826</v>
      </c>
      <c r="C34" s="3175" t="s">
        <v>3827</v>
      </c>
      <c r="D34" s="3178" t="s">
        <v>2759</v>
      </c>
      <c r="E34" s="3178" t="s">
        <v>3828</v>
      </c>
      <c r="F34" s="3178" t="s">
        <v>3674</v>
      </c>
      <c r="G34" s="3175" t="s">
        <v>3829</v>
      </c>
      <c r="H34" s="3178"/>
      <c r="I34" s="3178">
        <v>1500.64</v>
      </c>
      <c r="J34" s="3179">
        <v>1203.8800000000001</v>
      </c>
      <c r="K34" s="3178">
        <v>296.76</v>
      </c>
      <c r="L34" s="3178">
        <v>1623.6775</v>
      </c>
      <c r="M34" s="3180">
        <v>10820</v>
      </c>
      <c r="N34" s="3181">
        <v>13487.03774462571</v>
      </c>
      <c r="O34" s="3175" t="s">
        <v>3830</v>
      </c>
      <c r="P34" s="3186">
        <v>45216</v>
      </c>
      <c r="Q34" s="3175" t="s">
        <v>3831</v>
      </c>
      <c r="R34" s="3178" t="s">
        <v>3832</v>
      </c>
      <c r="S34" s="3178">
        <v>2319.5392000000002</v>
      </c>
      <c r="T34" s="3184">
        <v>19267.196066053093</v>
      </c>
      <c r="U34" s="3178"/>
      <c r="V34" s="3185">
        <v>0.70000002586720667</v>
      </c>
      <c r="W34" s="3178" t="s">
        <v>3679</v>
      </c>
    </row>
    <row r="35" spans="1:23" ht="55.95" customHeight="1">
      <c r="A35" s="3175">
        <v>586</v>
      </c>
      <c r="B35" s="3178" t="s">
        <v>3833</v>
      </c>
      <c r="C35" s="3175" t="s">
        <v>3834</v>
      </c>
      <c r="D35" s="3178" t="s">
        <v>2774</v>
      </c>
      <c r="E35" s="3178" t="s">
        <v>3835</v>
      </c>
      <c r="F35" s="3178" t="s">
        <v>3836</v>
      </c>
      <c r="G35" s="3175" t="s">
        <v>460</v>
      </c>
      <c r="H35" s="3178"/>
      <c r="I35" s="3178">
        <v>12280.94</v>
      </c>
      <c r="J35" s="3179">
        <v>12280.94</v>
      </c>
      <c r="K35" s="3178"/>
      <c r="L35" s="3184">
        <v>32716.42</v>
      </c>
      <c r="M35" s="3180">
        <v>26640</v>
      </c>
      <c r="N35" s="3181">
        <v>26639.99661263714</v>
      </c>
      <c r="O35" s="3178" t="s">
        <v>0</v>
      </c>
      <c r="P35" s="3186">
        <v>45217</v>
      </c>
      <c r="Q35" s="3178" t="s">
        <v>3837</v>
      </c>
      <c r="R35" s="3178" t="s">
        <v>3838</v>
      </c>
      <c r="S35" s="3178">
        <v>42983.29</v>
      </c>
      <c r="T35" s="3184">
        <v>35000</v>
      </c>
      <c r="U35" s="3178" t="s">
        <v>3839</v>
      </c>
      <c r="V35" s="3185">
        <v>0.76114276036106121</v>
      </c>
      <c r="W35" s="3178" t="s">
        <v>3750</v>
      </c>
    </row>
    <row r="36" spans="1:23" ht="55.95" customHeight="1">
      <c r="A36" s="3175">
        <v>589</v>
      </c>
      <c r="B36" s="3175" t="s">
        <v>3840</v>
      </c>
      <c r="C36" s="3175" t="s">
        <v>3841</v>
      </c>
      <c r="D36" s="3175" t="s">
        <v>3690</v>
      </c>
      <c r="E36" s="3178" t="s">
        <v>3691</v>
      </c>
      <c r="F36" s="3175" t="s">
        <v>3842</v>
      </c>
      <c r="G36" s="3175" t="s">
        <v>3843</v>
      </c>
      <c r="H36" s="3178"/>
      <c r="I36" s="3178">
        <v>11369.28</v>
      </c>
      <c r="J36" s="3179"/>
      <c r="K36" s="3178"/>
      <c r="L36" s="3214">
        <v>6336.32</v>
      </c>
      <c r="M36" s="3180">
        <v>5573</v>
      </c>
      <c r="N36" s="3181" t="e">
        <v>#DIV/0!</v>
      </c>
      <c r="O36" s="3175" t="s">
        <v>3844</v>
      </c>
      <c r="P36" s="3186">
        <v>45249</v>
      </c>
      <c r="Q36" s="3175" t="s">
        <v>3845</v>
      </c>
      <c r="R36" s="3178" t="s">
        <v>3846</v>
      </c>
      <c r="S36" s="3178">
        <v>11047</v>
      </c>
      <c r="T36" s="3184" t="e">
        <v>#DIV/0!</v>
      </c>
      <c r="U36" s="3178"/>
      <c r="V36" s="3185">
        <v>0.57357834706255084</v>
      </c>
      <c r="W36" s="3178" t="s">
        <v>3679</v>
      </c>
    </row>
    <row r="37" spans="1:23" ht="55.95" customHeight="1">
      <c r="A37" s="3175">
        <v>590</v>
      </c>
      <c r="B37" s="3175" t="s">
        <v>3847</v>
      </c>
      <c r="C37" s="3175" t="s">
        <v>3848</v>
      </c>
      <c r="D37" s="3178" t="s">
        <v>3849</v>
      </c>
      <c r="E37" s="3178" t="s">
        <v>3850</v>
      </c>
      <c r="F37" s="3175" t="s">
        <v>3851</v>
      </c>
      <c r="G37" s="3175" t="s">
        <v>3652</v>
      </c>
      <c r="H37" s="3178"/>
      <c r="I37" s="3178">
        <v>2772.84</v>
      </c>
      <c r="J37" s="3179">
        <v>2772.84</v>
      </c>
      <c r="K37" s="3178"/>
      <c r="L37" s="3178">
        <v>1537.2144000000001</v>
      </c>
      <c r="M37" s="3180">
        <v>5544</v>
      </c>
      <c r="N37" s="3181">
        <v>5543.8265460682915</v>
      </c>
      <c r="O37" s="3175" t="s">
        <v>3852</v>
      </c>
      <c r="P37" s="3186">
        <v>45150</v>
      </c>
      <c r="Q37" s="3178" t="s">
        <v>3853</v>
      </c>
      <c r="R37" s="3178"/>
      <c r="S37" s="3178">
        <v>2347.21</v>
      </c>
      <c r="T37" s="3184">
        <v>8465.0033900261096</v>
      </c>
      <c r="U37" s="3178"/>
      <c r="V37" s="3185">
        <v>0.65491132024829479</v>
      </c>
      <c r="W37" s="3178" t="s">
        <v>3679</v>
      </c>
    </row>
    <row r="38" spans="1:23" ht="55.95" customHeight="1">
      <c r="A38" s="3175">
        <v>591</v>
      </c>
      <c r="B38" s="3175" t="s">
        <v>3854</v>
      </c>
      <c r="C38" s="3178" t="s">
        <v>3757</v>
      </c>
      <c r="D38" s="3178" t="s">
        <v>2774</v>
      </c>
      <c r="E38" s="3175" t="s">
        <v>3758</v>
      </c>
      <c r="F38" s="3178" t="s">
        <v>3759</v>
      </c>
      <c r="G38" s="3175" t="s">
        <v>3760</v>
      </c>
      <c r="H38" s="3178"/>
      <c r="I38" s="3178">
        <v>57617.54</v>
      </c>
      <c r="J38" s="3179">
        <v>51245.68</v>
      </c>
      <c r="K38" s="3179">
        <v>6371.8600000000006</v>
      </c>
      <c r="L38" s="3178">
        <v>81377.37</v>
      </c>
      <c r="M38" s="3180">
        <v>14124</v>
      </c>
      <c r="N38" s="3181">
        <v>15879.849774654176</v>
      </c>
      <c r="O38" s="3178" t="s">
        <v>0</v>
      </c>
      <c r="P38" s="3182">
        <v>45231</v>
      </c>
      <c r="Q38" s="3178" t="s">
        <v>3855</v>
      </c>
      <c r="R38" s="3178" t="s">
        <v>3668</v>
      </c>
      <c r="S38" s="3178"/>
      <c r="T38" s="3184">
        <v>0</v>
      </c>
      <c r="U38" s="3178"/>
      <c r="V38" s="3185" t="e">
        <v>#DIV/0!</v>
      </c>
      <c r="W38" s="3178" t="s">
        <v>3750</v>
      </c>
    </row>
    <row r="39" spans="1:23" ht="55.95" customHeight="1">
      <c r="A39" s="3175">
        <v>596</v>
      </c>
      <c r="B39" s="3175" t="s">
        <v>3856</v>
      </c>
      <c r="C39" s="3175" t="s">
        <v>3857</v>
      </c>
      <c r="D39" s="3178" t="s">
        <v>2732</v>
      </c>
      <c r="E39" s="3178" t="s">
        <v>3858</v>
      </c>
      <c r="F39" s="3178" t="s">
        <v>3859</v>
      </c>
      <c r="G39" s="3175" t="s">
        <v>460</v>
      </c>
      <c r="H39" s="3178"/>
      <c r="I39" s="3178">
        <v>19158.28</v>
      </c>
      <c r="J39" s="3179">
        <v>19158.28</v>
      </c>
      <c r="K39" s="3178"/>
      <c r="L39" s="3178">
        <v>167194.31</v>
      </c>
      <c r="M39" s="3180">
        <v>87270</v>
      </c>
      <c r="N39" s="3181">
        <v>87270.000229665719</v>
      </c>
      <c r="O39" s="3178" t="s">
        <v>0</v>
      </c>
      <c r="P39" s="3182">
        <v>45280</v>
      </c>
      <c r="Q39" s="3175" t="s">
        <v>3860</v>
      </c>
      <c r="R39" s="3178" t="s">
        <v>3861</v>
      </c>
      <c r="S39" s="3178">
        <v>186026.87964172001</v>
      </c>
      <c r="T39" s="3184">
        <v>97099.99000000002</v>
      </c>
      <c r="U39" s="3178"/>
      <c r="V39" s="3185">
        <v>0.89876425558504902</v>
      </c>
      <c r="W39" s="3178" t="s">
        <v>3750</v>
      </c>
    </row>
    <row r="40" spans="1:23" ht="55.95" customHeight="1">
      <c r="A40" s="3175">
        <v>600</v>
      </c>
      <c r="B40" s="3175" t="s">
        <v>3862</v>
      </c>
      <c r="C40" s="3175" t="s">
        <v>3857</v>
      </c>
      <c r="D40" s="3178" t="s">
        <v>2732</v>
      </c>
      <c r="E40" s="3178" t="s">
        <v>3858</v>
      </c>
      <c r="F40" s="3178" t="s">
        <v>3859</v>
      </c>
      <c r="G40" s="3175" t="s">
        <v>460</v>
      </c>
      <c r="H40" s="3178"/>
      <c r="I40" s="3178">
        <v>9290.6</v>
      </c>
      <c r="J40" s="3179">
        <v>9290.6</v>
      </c>
      <c r="K40" s="3178"/>
      <c r="L40" s="3178">
        <v>81079.070000000007</v>
      </c>
      <c r="M40" s="3180">
        <v>87270</v>
      </c>
      <c r="N40" s="3181">
        <v>87270.004090155649</v>
      </c>
      <c r="O40" s="3178" t="s">
        <v>0</v>
      </c>
      <c r="P40" s="3182">
        <v>45300</v>
      </c>
      <c r="Q40" s="3175" t="s">
        <v>3863</v>
      </c>
      <c r="R40" s="3178" t="s">
        <v>3861</v>
      </c>
      <c r="S40" s="3178">
        <v>90211.716709400003</v>
      </c>
      <c r="T40" s="3184">
        <v>97099.99</v>
      </c>
      <c r="U40" s="3178"/>
      <c r="V40" s="3185">
        <v>0.89876429534293101</v>
      </c>
      <c r="W40" s="3178" t="s">
        <v>3750</v>
      </c>
    </row>
    <row r="41" spans="1:23" ht="55.95" customHeight="1">
      <c r="A41" s="3175">
        <v>613</v>
      </c>
      <c r="B41" s="3175" t="s">
        <v>3864</v>
      </c>
      <c r="C41" s="3175" t="s">
        <v>3865</v>
      </c>
      <c r="D41" s="3175" t="s">
        <v>3690</v>
      </c>
      <c r="E41" s="3178" t="s">
        <v>3691</v>
      </c>
      <c r="F41" s="3178" t="s">
        <v>3866</v>
      </c>
      <c r="G41" s="3175" t="s">
        <v>3811</v>
      </c>
      <c r="H41" s="3178"/>
      <c r="I41" s="3178">
        <v>5791.2</v>
      </c>
      <c r="J41" s="3179"/>
      <c r="K41" s="3178"/>
      <c r="L41" s="3178">
        <v>9265.92</v>
      </c>
      <c r="M41" s="3180">
        <v>16000</v>
      </c>
      <c r="N41" s="3181" t="e">
        <v>#DIV/0!</v>
      </c>
      <c r="O41" s="3178" t="s">
        <v>0</v>
      </c>
      <c r="P41" s="3182">
        <v>45292</v>
      </c>
      <c r="Q41" s="3178" t="s">
        <v>3867</v>
      </c>
      <c r="R41" s="3178" t="s">
        <v>3868</v>
      </c>
      <c r="S41" s="3178">
        <v>12740.640000000001</v>
      </c>
      <c r="T41" s="3184" t="e">
        <v>#DIV/0!</v>
      </c>
      <c r="U41" s="3178"/>
      <c r="V41" s="3185">
        <v>0.72727272727272718</v>
      </c>
      <c r="W41" s="3178" t="s">
        <v>3732</v>
      </c>
    </row>
  </sheetData>
  <phoneticPr fontId="13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view="pageBreakPreview" zoomScale="70" zoomScaleNormal="70" zoomScaleSheetLayoutView="70" workbookViewId="0">
      <selection activeCell="L38" sqref="L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14635</v>
      </c>
      <c r="C2" s="1288" t="s">
        <v>805</v>
      </c>
      <c r="D2" s="1288"/>
      <c r="E2" s="1294"/>
      <c r="F2" s="1295"/>
      <c r="G2" s="2474"/>
      <c r="H2" s="2464"/>
      <c r="I2" s="2464"/>
      <c r="J2" s="2464"/>
      <c r="K2" s="2465"/>
      <c r="L2" s="2464"/>
      <c r="M2" s="2464"/>
    </row>
    <row r="3" spans="1:37" ht="18" customHeight="1" thickBot="1">
      <c r="A3" s="1296" t="s">
        <v>806</v>
      </c>
      <c r="B3" s="1297">
        <f ca="1">IF(ISERROR(B2*10000/F43),0,ROUND(B2*10000/F43,0))</f>
        <v>12196</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1358</v>
      </c>
      <c r="D5" s="1272" t="s">
        <v>693</v>
      </c>
      <c r="E5" s="1008"/>
      <c r="F5" s="1009"/>
      <c r="G5" s="1291"/>
      <c r="H5" s="291">
        <v>1</v>
      </c>
      <c r="I5" s="292" t="s">
        <v>692</v>
      </c>
      <c r="J5" s="1007">
        <f ca="1">J6+J10+J12</f>
        <v>0</v>
      </c>
      <c r="K5" s="1272" t="s">
        <v>693</v>
      </c>
      <c r="L5" s="1008"/>
      <c r="M5" s="1009"/>
    </row>
    <row r="6" spans="1:37" ht="18" customHeight="1">
      <c r="A6" s="1006" t="s">
        <v>398</v>
      </c>
      <c r="B6" s="3516" t="s">
        <v>694</v>
      </c>
      <c r="C6" s="1011">
        <f ca="1">ROUND(F6*F8*F7*(1-F9)/10000,0)</f>
        <v>1356</v>
      </c>
      <c r="D6" s="147" t="s">
        <v>2109</v>
      </c>
      <c r="E6" s="294" t="s">
        <v>696</v>
      </c>
      <c r="F6" s="295">
        <f ca="1">INDIRECT("'数据-取费表'!u"&amp;$G$1)</f>
        <v>3.44</v>
      </c>
      <c r="G6" s="1291"/>
      <c r="H6" s="1006" t="s">
        <v>398</v>
      </c>
      <c r="I6" s="3516" t="s">
        <v>694</v>
      </c>
      <c r="J6" s="293">
        <f ca="1">ROUND(M6*M8*M7*(1-M9)/10000,0)</f>
        <v>0</v>
      </c>
      <c r="K6" s="147" t="s">
        <v>2108</v>
      </c>
      <c r="L6" s="294" t="s">
        <v>696</v>
      </c>
      <c r="M6" s="295">
        <f ca="1">INDIRECT("'数据-取费表'!z"&amp;$G$1)</f>
        <v>0</v>
      </c>
    </row>
    <row r="7" spans="1:37" ht="18" customHeight="1">
      <c r="A7" s="1010"/>
      <c r="B7" s="3517"/>
      <c r="C7" s="1012"/>
      <c r="D7" s="299"/>
      <c r="E7" s="1013" t="s">
        <v>697</v>
      </c>
      <c r="F7" s="295">
        <f ca="1">IF(INDIRECT("'数据-取费表'!ah"&amp;$G$1)="",INDIRECT("'数据-取费表'!k"&amp;$G$1),INDIRECT("'数据-取费表'!ah"&amp;$G$1))</f>
        <v>12000.23</v>
      </c>
      <c r="G7" s="1291"/>
      <c r="H7" s="296"/>
      <c r="I7" s="3517"/>
      <c r="J7" s="298"/>
      <c r="K7" s="299"/>
      <c r="L7" s="294" t="s">
        <v>697</v>
      </c>
      <c r="M7" s="295">
        <f ca="1">F7</f>
        <v>12000.23</v>
      </c>
    </row>
    <row r="8" spans="1:37" ht="18" customHeight="1">
      <c r="A8" s="296"/>
      <c r="B8" s="3517"/>
      <c r="C8" s="298"/>
      <c r="D8" s="299"/>
      <c r="E8" s="294" t="s">
        <v>698</v>
      </c>
      <c r="F8" s="295">
        <f ca="1">INDIRECT("'数据-取费表'!ai"&amp;$G$1)</f>
        <v>365</v>
      </c>
      <c r="G8" s="1291"/>
      <c r="H8" s="296"/>
      <c r="I8" s="3517"/>
      <c r="J8" s="298"/>
      <c r="K8" s="299"/>
      <c r="L8" s="294" t="s">
        <v>698</v>
      </c>
      <c r="M8" s="295">
        <f ca="1">INDIRECT("'数据-取费表'!ai"&amp;$G$1)</f>
        <v>365</v>
      </c>
    </row>
    <row r="9" spans="1:37" ht="18" customHeight="1">
      <c r="A9" s="296"/>
      <c r="B9" s="3518"/>
      <c r="C9" s="298"/>
      <c r="D9" s="299"/>
      <c r="E9" s="294" t="s">
        <v>699</v>
      </c>
      <c r="F9" s="304">
        <f ca="1">INDIRECT("'数据-取费表'!w"&amp;$G$1)</f>
        <v>0.1</v>
      </c>
      <c r="G9" s="1291"/>
      <c r="H9" s="296"/>
      <c r="I9" s="3518"/>
      <c r="J9" s="298"/>
      <c r="K9" s="299"/>
      <c r="L9" s="305" t="s">
        <v>699</v>
      </c>
      <c r="M9" s="306">
        <f ca="1">INDIRECT("'数据-取费表'!ab"&amp;$G$1)</f>
        <v>0</v>
      </c>
    </row>
    <row r="10" spans="1:37" ht="18" customHeight="1">
      <c r="A10" s="1006" t="s">
        <v>402</v>
      </c>
      <c r="B10" s="1273" t="s">
        <v>700</v>
      </c>
      <c r="C10" s="308">
        <f ca="1">ROUND(IF(F10="押一",C6/12*F11,IF(F10="押二",C6/12*2*F11,IF(F10="押三",C6/12*3*F11,C11*F11))),0)</f>
        <v>2</v>
      </c>
      <c r="D10" s="150" t="s">
        <v>2117</v>
      </c>
      <c r="E10" s="305" t="s">
        <v>701</v>
      </c>
      <c r="F10" s="1053" t="s">
        <v>3468</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6231</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5760</v>
      </c>
      <c r="D14" s="1256" t="s">
        <v>708</v>
      </c>
      <c r="E14" s="1254"/>
      <c r="F14" s="311"/>
      <c r="G14" s="1291"/>
      <c r="H14" s="928" t="s">
        <v>398</v>
      </c>
      <c r="I14" s="294" t="s">
        <v>709</v>
      </c>
      <c r="J14" s="21">
        <f ca="1">C29</f>
        <v>8776</v>
      </c>
      <c r="K14" s="12"/>
      <c r="L14" s="759"/>
      <c r="M14" s="760"/>
    </row>
    <row r="15" spans="1:37" s="1303" customFormat="1" ht="18" customHeight="1" thickBot="1">
      <c r="A15" s="928" t="s">
        <v>399</v>
      </c>
      <c r="B15" s="294" t="s">
        <v>710</v>
      </c>
      <c r="C15" s="21">
        <f ca="1">ROUND(C14*F15,0)</f>
        <v>288</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90</v>
      </c>
      <c r="K16" s="1024" t="s">
        <v>715</v>
      </c>
      <c r="L16" s="1025"/>
      <c r="M16" s="1009"/>
    </row>
    <row r="17" spans="1:37" s="1303" customFormat="1" ht="18" customHeight="1">
      <c r="A17" s="928" t="s">
        <v>681</v>
      </c>
      <c r="B17" s="294" t="s">
        <v>716</v>
      </c>
      <c r="C17" s="21">
        <f ca="1">ROUND(F17*(F43+INDIRECT("'数据-取费表'!S"&amp;$G$1))/10000,0)</f>
        <v>240</v>
      </c>
      <c r="D17" s="294" t="s">
        <v>717</v>
      </c>
      <c r="E17" s="294" t="s">
        <v>718</v>
      </c>
      <c r="F17" s="23">
        <f>'数据-取费表'!B35</f>
        <v>200</v>
      </c>
      <c r="G17" s="1302"/>
      <c r="H17" s="928" t="s">
        <v>398</v>
      </c>
      <c r="I17" s="294" t="s">
        <v>719</v>
      </c>
      <c r="J17" s="2139">
        <f ca="1">ROUND(IF(AND(项目基本情况!B11="自然人",项目基本情况!B10="北京市"),J6*M17/(1+'数据-取费表'!C42),J18+J19+J20),2)</f>
        <v>2.56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115</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6403</v>
      </c>
      <c r="D19" s="123" t="s">
        <v>726</v>
      </c>
      <c r="E19" s="1268"/>
      <c r="F19" s="23"/>
      <c r="G19" s="1291"/>
      <c r="H19" s="928"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128</v>
      </c>
      <c r="D20" s="315" t="s">
        <v>729</v>
      </c>
      <c r="E20" s="294" t="s">
        <v>712</v>
      </c>
      <c r="F20" s="314">
        <f>'数据-取费表'!B37</f>
        <v>0.02</v>
      </c>
      <c r="G20" s="1302"/>
      <c r="H20" s="928" t="s">
        <v>680</v>
      </c>
      <c r="I20" s="147" t="s">
        <v>730</v>
      </c>
      <c r="J20" s="22">
        <f ca="1">ROUND(M20*M21/10000,2)</f>
        <v>2.56</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87.76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254</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-90</v>
      </c>
      <c r="K25" s="1032" t="s">
        <v>753</v>
      </c>
      <c r="L25" s="1033"/>
      <c r="M25" s="1034"/>
    </row>
    <row r="26" spans="1:37">
      <c r="A26" s="928" t="s">
        <v>397</v>
      </c>
      <c r="B26" s="294" t="s">
        <v>754</v>
      </c>
      <c r="C26" s="21">
        <f ca="1">ROUND((C19+C20)*F26,0)</f>
        <v>1306</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8776</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337</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229.85</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IF(项目基本情况!B11="自然人","——",ROUND(C6*F32/(1+'数据-取费表'!C42),2))</f>
        <v>72.319999999999993</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154.97</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2.56</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ROUND(C29*F36,2)</f>
        <v>87.76</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ROUND(C13*F37,2)</f>
        <v>6.23</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ROUND(C5*F38,2)</f>
        <v>13.58</v>
      </c>
      <c r="D38" s="1029" t="s">
        <v>748</v>
      </c>
      <c r="E38" s="1027" t="s">
        <v>744</v>
      </c>
      <c r="F38" s="1023">
        <f ca="1">INDIRECT("'数据-取费表'!Am"&amp;$G$1)</f>
        <v>0.01</v>
      </c>
      <c r="G38" s="1291"/>
      <c r="H38" s="2469">
        <f ca="1">C39/C5</f>
        <v>0.75184094256259204</v>
      </c>
      <c r="I38" s="1304"/>
      <c r="J38" s="1305"/>
      <c r="K38" s="2467"/>
      <c r="L38" s="2469"/>
      <c r="M38" s="2469"/>
    </row>
    <row r="39" spans="1:18" ht="24.6" customHeight="1" thickTop="1">
      <c r="A39" s="1016" t="s">
        <v>394</v>
      </c>
      <c r="B39" s="1031" t="s">
        <v>772</v>
      </c>
      <c r="C39" s="302">
        <f ca="1">C5-C30</f>
        <v>1021</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13738</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ROUND(C40*10000/F43,0)</f>
        <v>11448</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f ca="1">C68-C40</f>
        <v>-14859</v>
      </c>
      <c r="D46" s="1312" t="str">
        <f>C2</f>
        <v>万元</v>
      </c>
      <c r="E46" s="1306"/>
      <c r="F46" s="1306"/>
      <c r="I46" s="1313" t="s">
        <v>810</v>
      </c>
      <c r="J46" s="1314"/>
      <c r="K46" s="1315"/>
      <c r="L46" s="1316">
        <f ca="1">IF(M47="住宅",0,IF(L48&gt;J51,L60,J60))</f>
        <v>897</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13738</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897</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f>'数据-取费表'!N18</f>
        <v>1995</v>
      </c>
      <c r="K49" s="1329" t="s">
        <v>824</v>
      </c>
      <c r="L49" s="1332"/>
      <c r="O49" s="1333" t="s">
        <v>405</v>
      </c>
      <c r="P49" s="1325" t="s">
        <v>825</v>
      </c>
      <c r="Q49" s="1326">
        <f ca="1">C29</f>
        <v>8776</v>
      </c>
      <c r="R49" s="1326" t="s">
        <v>818</v>
      </c>
    </row>
    <row r="50" spans="1:18" s="1291" customFormat="1" ht="13.8" thickBot="1">
      <c r="A50" s="922"/>
      <c r="B50" s="925"/>
      <c r="C50" s="1055"/>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8990</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18.87</v>
      </c>
      <c r="K53" s="3514" t="s">
        <v>837</v>
      </c>
      <c r="L53" s="3515"/>
      <c r="O53" s="1324" t="s">
        <v>409</v>
      </c>
      <c r="P53" s="1325" t="s">
        <v>838</v>
      </c>
      <c r="Q53" s="1326">
        <f ca="1">Q47+Q48</f>
        <v>14635</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6231</v>
      </c>
      <c r="D56" s="1351"/>
      <c r="E56" s="1352"/>
      <c r="F56" s="1344"/>
      <c r="I56" s="1353" t="s">
        <v>842</v>
      </c>
      <c r="J56" s="1354" t="s">
        <v>3412</v>
      </c>
      <c r="K56" s="1327" t="s">
        <v>843</v>
      </c>
      <c r="L56" s="1330" t="str">
        <f ca="1">IF(L48&lt;J51,"——",L48-J53)</f>
        <v>——</v>
      </c>
      <c r="O56" s="1324" t="s">
        <v>403</v>
      </c>
      <c r="P56" s="1325" t="s">
        <v>817</v>
      </c>
      <c r="Q56" s="1326">
        <f ca="1">C40+J29</f>
        <v>13738</v>
      </c>
      <c r="R56" s="1326" t="s">
        <v>818</v>
      </c>
    </row>
    <row r="57" spans="1:18" s="1291" customFormat="1" ht="24.6" thickBot="1">
      <c r="A57" s="1355"/>
      <c r="B57" s="896" t="s">
        <v>767</v>
      </c>
      <c r="C57" s="230">
        <f ca="1">C29</f>
        <v>8776</v>
      </c>
      <c r="D57" s="1356"/>
      <c r="E57" s="1357"/>
      <c r="F57" s="1358"/>
      <c r="I57" s="1359" t="s">
        <v>844</v>
      </c>
      <c r="J57" s="1360">
        <f ca="1">IF(OR(M47="住宅",J51&lt;L48,J56="是"),"——",J51-L48)</f>
        <v>11.129999999999999</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97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3510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897</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2.56</v>
      </c>
      <c r="D62" s="911" t="s">
        <v>786</v>
      </c>
      <c r="E62" s="896" t="s">
        <v>787</v>
      </c>
      <c r="F62" s="317">
        <f t="shared" si="0"/>
        <v>24</v>
      </c>
      <c r="I62" s="1366" t="s">
        <v>858</v>
      </c>
      <c r="J62" s="610" t="s">
        <v>859</v>
      </c>
      <c r="K62" s="610" t="s">
        <v>860</v>
      </c>
      <c r="L62" s="610" t="s">
        <v>861</v>
      </c>
      <c r="M62" s="1367" t="s">
        <v>862</v>
      </c>
      <c r="O62" s="1324" t="s">
        <v>409</v>
      </c>
      <c r="P62" s="1325" t="s">
        <v>863</v>
      </c>
      <c r="Q62" s="1326">
        <f ca="1">Q56+Q57</f>
        <v>13738</v>
      </c>
      <c r="R62" s="1326" t="s">
        <v>410</v>
      </c>
    </row>
    <row r="63" spans="1:18" s="1291" customFormat="1" ht="13.8"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87.76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6.23</v>
      </c>
      <c r="D65" s="910" t="s">
        <v>743</v>
      </c>
      <c r="E65" s="896" t="s">
        <v>744</v>
      </c>
      <c r="F65" s="321">
        <f t="shared" ca="1" si="0"/>
        <v>1E-3</v>
      </c>
      <c r="I65" s="1366" t="s">
        <v>867</v>
      </c>
      <c r="J65" s="610">
        <v>40</v>
      </c>
      <c r="K65" s="610">
        <v>30</v>
      </c>
      <c r="L65" s="610">
        <v>50</v>
      </c>
      <c r="M65" s="1368">
        <v>0.02</v>
      </c>
      <c r="O65" s="1324" t="s">
        <v>403</v>
      </c>
      <c r="P65" s="1325" t="s">
        <v>868</v>
      </c>
      <c r="Q65" s="1326">
        <f ca="1">C40+J29</f>
        <v>13738</v>
      </c>
      <c r="R65" s="1326" t="s">
        <v>818</v>
      </c>
    </row>
    <row r="66" spans="1:18" s="1291" customFormat="1" ht="16.2"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-97</v>
      </c>
      <c r="D67" s="909" t="s">
        <v>753</v>
      </c>
      <c r="E67" s="914"/>
      <c r="F67" s="915"/>
      <c r="O67" s="1333" t="s">
        <v>405</v>
      </c>
      <c r="P67" s="1325" t="s">
        <v>850</v>
      </c>
      <c r="Q67" s="1369">
        <f ca="1">L51</f>
        <v>8990</v>
      </c>
      <c r="R67" s="1326" t="s">
        <v>870</v>
      </c>
    </row>
    <row r="68" spans="1:18" s="1291" customFormat="1" ht="16.2" thickBot="1">
      <c r="A68" s="893" t="s">
        <v>395</v>
      </c>
      <c r="B68" s="894" t="s">
        <v>774</v>
      </c>
      <c r="C68" s="293">
        <f ca="1">ROUND(C67*(1-((1+F70)/(1+F68))^F69)/(F68-F70),0)</f>
        <v>-1121</v>
      </c>
      <c r="D68" s="911" t="s">
        <v>758</v>
      </c>
      <c r="E68" s="896" t="s">
        <v>759</v>
      </c>
      <c r="F68" s="304">
        <f ca="1">F40</f>
        <v>5.5E-2</v>
      </c>
      <c r="O68" s="1333" t="s">
        <v>406</v>
      </c>
      <c r="P68" s="1370" t="s">
        <v>871</v>
      </c>
      <c r="Q68" s="1326">
        <f ca="1">ROUND(Q69-Q70*Q71,0)</f>
        <v>585</v>
      </c>
      <c r="R68" s="1326" t="s">
        <v>414</v>
      </c>
    </row>
    <row r="69" spans="1:18" s="1291" customFormat="1" ht="13.8" thickBot="1">
      <c r="A69" s="897"/>
      <c r="B69" s="898"/>
      <c r="C69" s="298"/>
      <c r="D69" s="916" t="s">
        <v>762</v>
      </c>
      <c r="E69" s="896" t="s">
        <v>763</v>
      </c>
      <c r="F69" s="324">
        <f ca="1">F41</f>
        <v>18.87</v>
      </c>
      <c r="O69" s="1333" t="s">
        <v>411</v>
      </c>
      <c r="P69" s="1370" t="s">
        <v>872</v>
      </c>
      <c r="Q69" s="1326">
        <f ca="1">C39</f>
        <v>1021</v>
      </c>
      <c r="R69" s="1326" t="s">
        <v>818</v>
      </c>
    </row>
    <row r="70" spans="1:18" s="1291" customFormat="1" ht="13.8" thickBot="1">
      <c r="A70" s="900"/>
      <c r="B70" s="901"/>
      <c r="C70" s="302"/>
      <c r="D70" s="912"/>
      <c r="E70" s="896" t="s">
        <v>766</v>
      </c>
      <c r="F70" s="991"/>
      <c r="O70" s="1333" t="s">
        <v>412</v>
      </c>
      <c r="P70" s="1370" t="s">
        <v>873</v>
      </c>
      <c r="Q70" s="1326">
        <f ca="1">C13</f>
        <v>6231</v>
      </c>
      <c r="R70" s="1326" t="s">
        <v>818</v>
      </c>
    </row>
    <row r="71" spans="1:18" s="1291" customFormat="1" ht="13.8" thickBot="1">
      <c r="A71" s="917" t="s">
        <v>396</v>
      </c>
      <c r="B71" s="918" t="s">
        <v>776</v>
      </c>
      <c r="C71" s="327">
        <f ca="1">ROUND(C68*10000/F71,0)</f>
        <v>-934</v>
      </c>
      <c r="D71" s="919" t="s">
        <v>777</v>
      </c>
      <c r="E71" s="920" t="s">
        <v>778</v>
      </c>
      <c r="F71" s="330">
        <f ca="1">F43</f>
        <v>12000.23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436</v>
      </c>
      <c r="D75" s="1291"/>
      <c r="E75" s="1291"/>
      <c r="F75" s="1291"/>
      <c r="K75" s="1308"/>
      <c r="L75" s="1291"/>
      <c r="O75" s="1324" t="s">
        <v>409</v>
      </c>
      <c r="P75" s="1325" t="s">
        <v>838</v>
      </c>
      <c r="Q75" s="1326">
        <f ca="1">Q65+Q66</f>
        <v>13738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0.57299999999999995</v>
      </c>
    </row>
    <row r="80" spans="1:18">
      <c r="B80" s="331" t="s">
        <v>800</v>
      </c>
      <c r="C80" s="266">
        <f ca="1">ROUND(C75/C39,3)</f>
        <v>0.42699999999999999</v>
      </c>
    </row>
    <row r="81" spans="2:3">
      <c r="B81" s="262" t="s">
        <v>801</v>
      </c>
      <c r="C81" s="230"/>
    </row>
    <row r="82" spans="2:3">
      <c r="B82" s="265" t="s">
        <v>802</v>
      </c>
      <c r="C82" s="267">
        <f ca="1">1-C83</f>
        <v>0.54600000000000004</v>
      </c>
    </row>
    <row r="83" spans="2:3">
      <c r="B83" s="265" t="s">
        <v>803</v>
      </c>
      <c r="C83" s="266">
        <f ca="1">ROUND(C13/C40,3)</f>
        <v>0.45400000000000001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估价范围判定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topLeftCell="A25"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9">
        <f ca="1">J53</f>
        <v>18.87</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14625.569</v>
      </c>
      <c r="C2" s="1288" t="s">
        <v>879</v>
      </c>
      <c r="D2" s="1374">
        <f ca="1">C40+J29+L46</f>
        <v>146255690</v>
      </c>
      <c r="E2" s="1294" t="s">
        <v>880</v>
      </c>
      <c r="F2" s="1295"/>
      <c r="G2" s="2474"/>
      <c r="H2" s="2464"/>
      <c r="I2" s="2464"/>
      <c r="J2" s="2464"/>
      <c r="K2" s="2465"/>
      <c r="L2" s="2464"/>
      <c r="M2" s="2464"/>
    </row>
    <row r="3" spans="1:37" ht="18" customHeight="1" thickBot="1">
      <c r="A3" s="1296" t="s">
        <v>881</v>
      </c>
      <c r="B3" s="1297">
        <f ca="1">IF(ISERROR(D2/F43),0,ROUND(D2/F43,0))</f>
        <v>12188</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13577691</v>
      </c>
      <c r="D5" s="1272" t="s">
        <v>889</v>
      </c>
      <c r="E5" s="1008"/>
      <c r="F5" s="1009"/>
      <c r="G5" s="1291"/>
      <c r="H5" s="291">
        <v>1</v>
      </c>
      <c r="I5" s="292" t="s">
        <v>888</v>
      </c>
      <c r="J5" s="1007">
        <f ca="1">J6+J10+J12</f>
        <v>0</v>
      </c>
      <c r="K5" s="1272" t="s">
        <v>889</v>
      </c>
      <c r="L5" s="1008"/>
      <c r="M5" s="1009"/>
    </row>
    <row r="6" spans="1:37" ht="18" customHeight="1">
      <c r="A6" s="1006" t="s">
        <v>398</v>
      </c>
      <c r="B6" s="3516" t="s">
        <v>694</v>
      </c>
      <c r="C6" s="1011">
        <f ca="1">ROUND(F6*F8*F7*(1-F9),0)</f>
        <v>13560740</v>
      </c>
      <c r="D6" s="147" t="s">
        <v>2106</v>
      </c>
      <c r="E6" s="294" t="s">
        <v>696</v>
      </c>
      <c r="F6" s="295">
        <f ca="1">INDIRECT("'数据-取费表'!u"&amp;$G$1)</f>
        <v>3.44</v>
      </c>
      <c r="G6" s="1291"/>
      <c r="H6" s="1006" t="s">
        <v>398</v>
      </c>
      <c r="I6" s="3516" t="s">
        <v>694</v>
      </c>
      <c r="J6" s="293">
        <f ca="1">ROUND(M6*M8*M7*(1-M9),0)</f>
        <v>0</v>
      </c>
      <c r="K6" s="1283" t="s">
        <v>2107</v>
      </c>
      <c r="L6" s="294" t="s">
        <v>696</v>
      </c>
      <c r="M6" s="295">
        <f ca="1">INDIRECT("'数据-取费表'!z"&amp;$G$1)</f>
        <v>0</v>
      </c>
    </row>
    <row r="7" spans="1:37" ht="18" customHeight="1">
      <c r="A7" s="1010"/>
      <c r="B7" s="3517"/>
      <c r="C7" s="1012"/>
      <c r="D7" s="299"/>
      <c r="E7" s="1013" t="s">
        <v>697</v>
      </c>
      <c r="F7" s="295">
        <f ca="1">IF(INDIRECT("'数据-取费表'!ah"&amp;$G$1)="",INDIRECT("'数据-取费表'!k"&amp;$G$1),INDIRECT("'数据-取费表'!ah"&amp;$G$1))</f>
        <v>12000.23</v>
      </c>
      <c r="G7" s="1291"/>
      <c r="H7" s="296"/>
      <c r="I7" s="3517"/>
      <c r="J7" s="298"/>
      <c r="K7" s="299"/>
      <c r="L7" s="294" t="s">
        <v>697</v>
      </c>
      <c r="M7" s="295">
        <f ca="1">F7</f>
        <v>12000.23</v>
      </c>
    </row>
    <row r="8" spans="1:37" ht="18" customHeight="1">
      <c r="A8" s="296"/>
      <c r="B8" s="3517"/>
      <c r="C8" s="298"/>
      <c r="D8" s="299"/>
      <c r="E8" s="294" t="s">
        <v>698</v>
      </c>
      <c r="F8" s="295">
        <f ca="1">INDIRECT("'数据-取费表'!ai"&amp;$G$1)</f>
        <v>365</v>
      </c>
      <c r="G8" s="1291"/>
      <c r="H8" s="296"/>
      <c r="I8" s="3517"/>
      <c r="J8" s="298"/>
      <c r="K8" s="299"/>
      <c r="L8" s="294" t="s">
        <v>698</v>
      </c>
      <c r="M8" s="295">
        <f ca="1">INDIRECT("'数据-取费表'!ai"&amp;$G$1)</f>
        <v>365</v>
      </c>
    </row>
    <row r="9" spans="1:37" ht="18" customHeight="1">
      <c r="A9" s="296"/>
      <c r="B9" s="3518"/>
      <c r="C9" s="298"/>
      <c r="D9" s="299"/>
      <c r="E9" s="294" t="s">
        <v>699</v>
      </c>
      <c r="F9" s="304">
        <f ca="1">INDIRECT("'数据-取费表'!w"&amp;$G$1)</f>
        <v>0.1</v>
      </c>
      <c r="G9" s="1291"/>
      <c r="H9" s="296"/>
      <c r="I9" s="3518"/>
      <c r="J9" s="298"/>
      <c r="K9" s="299"/>
      <c r="L9" s="305" t="s">
        <v>699</v>
      </c>
      <c r="M9" s="306">
        <f ca="1">INDIRECT("'数据-取费表'!ab"&amp;$G$1)</f>
        <v>0</v>
      </c>
    </row>
    <row r="10" spans="1:37" ht="18" customHeight="1">
      <c r="A10" s="1006" t="s">
        <v>402</v>
      </c>
      <c r="B10" s="1273" t="s">
        <v>700</v>
      </c>
      <c r="C10" s="308">
        <f ca="1">ROUND(IF(F10="押一",C6/12*F11,IF(F10="押二",C6/12*2*F11,IF(F10="押三",C6/12*3*F11,C11*F11))),0)</f>
        <v>16951</v>
      </c>
      <c r="D10" s="150" t="s">
        <v>2116</v>
      </c>
      <c r="E10" s="305" t="s">
        <v>701</v>
      </c>
      <c r="F10" s="1053" t="s">
        <v>3468</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62318358</v>
      </c>
      <c r="D13" s="1018" t="s">
        <v>705</v>
      </c>
      <c r="E13" s="1018" t="s">
        <v>706</v>
      </c>
      <c r="F13" s="1019">
        <f ca="1">INDIRECT("'数据-取费表'!y"&amp;$G$1)</f>
        <v>0.71</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57601104</v>
      </c>
      <c r="D14" s="1256" t="s">
        <v>708</v>
      </c>
      <c r="E14" s="1254"/>
      <c r="F14" s="311"/>
      <c r="G14" s="1291"/>
      <c r="H14" s="928" t="s">
        <v>398</v>
      </c>
      <c r="I14" s="294" t="s">
        <v>709</v>
      </c>
      <c r="J14" s="21">
        <f ca="1">C29</f>
        <v>87772335</v>
      </c>
      <c r="K14" s="12"/>
      <c r="L14" s="759"/>
      <c r="M14" s="760"/>
    </row>
    <row r="15" spans="1:37" s="1303" customFormat="1" ht="18" customHeight="1" thickBot="1">
      <c r="A15" s="928" t="s">
        <v>399</v>
      </c>
      <c r="B15" s="294" t="s">
        <v>710</v>
      </c>
      <c r="C15" s="21">
        <f ca="1">ROUND(C14*F15,0)</f>
        <v>2880055</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903312</v>
      </c>
      <c r="K16" s="1024" t="s">
        <v>715</v>
      </c>
      <c r="L16" s="1025"/>
      <c r="M16" s="1009"/>
    </row>
    <row r="17" spans="1:37" s="1303" customFormat="1" ht="18" customHeight="1">
      <c r="A17" s="928" t="s">
        <v>681</v>
      </c>
      <c r="B17" s="294" t="s">
        <v>716</v>
      </c>
      <c r="C17" s="21">
        <f ca="1">ROUND(F17*(F43+INDIRECT("'数据-取费表'!S"&amp;$G$1)),0)</f>
        <v>2400046</v>
      </c>
      <c r="D17" s="294" t="s">
        <v>717</v>
      </c>
      <c r="E17" s="294" t="s">
        <v>718</v>
      </c>
      <c r="F17" s="23">
        <f>'数据-取费表'!B35</f>
        <v>200</v>
      </c>
      <c r="G17" s="1302"/>
      <c r="H17" s="928" t="s">
        <v>398</v>
      </c>
      <c r="I17" s="294" t="s">
        <v>719</v>
      </c>
      <c r="J17" s="2139">
        <f ca="1">ROUND(IF(AND(项目基本情况!B11="自然人",项目基本情况!B10="北京市"),J6*M17/(1+'数据-取费表'!C42),J18+J19+J20),0)</f>
        <v>25589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1152022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64033227</v>
      </c>
      <c r="D19" s="123" t="s">
        <v>726</v>
      </c>
      <c r="E19" s="1268"/>
      <c r="F19" s="23"/>
      <c r="G19" s="1291"/>
      <c r="H19" s="928"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8" t="s">
        <v>402</v>
      </c>
      <c r="B20" s="294" t="s">
        <v>728</v>
      </c>
      <c r="C20" s="21">
        <f ca="1">ROUND(C19*F20,0)</f>
        <v>1280665</v>
      </c>
      <c r="D20" s="315" t="s">
        <v>729</v>
      </c>
      <c r="E20" s="294" t="s">
        <v>712</v>
      </c>
      <c r="F20" s="314">
        <f>'数据-取费表'!B37</f>
        <v>0.02</v>
      </c>
      <c r="G20" s="1302"/>
      <c r="H20" s="928" t="s">
        <v>680</v>
      </c>
      <c r="I20" s="147" t="s">
        <v>730</v>
      </c>
      <c r="J20" s="22">
        <f ca="1">ROUND(M20*M21,0)</f>
        <v>25589</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1066.21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877723</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2540646</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-903312</v>
      </c>
      <c r="K25" s="1032" t="s">
        <v>753</v>
      </c>
      <c r="L25" s="1033"/>
      <c r="M25" s="1034"/>
    </row>
    <row r="26" spans="1:37" ht="18" customHeight="1">
      <c r="A26" s="928" t="s">
        <v>397</v>
      </c>
      <c r="B26" s="294" t="s">
        <v>754</v>
      </c>
      <c r="C26" s="21">
        <f ca="1">ROUND((C19+C20)*F26,0)</f>
        <v>13062778</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87772335</v>
      </c>
      <c r="D29" s="1029"/>
      <c r="E29" s="1027"/>
      <c r="F29" s="1030"/>
      <c r="G29" s="1302"/>
      <c r="H29" s="325" t="s">
        <v>396</v>
      </c>
      <c r="I29" s="326" t="s">
        <v>768</v>
      </c>
      <c r="J29" s="327">
        <f ca="1">ROUND(J26/(1+F40)^F41,0)</f>
        <v>0</v>
      </c>
      <c r="K29" s="328" t="s">
        <v>769</v>
      </c>
      <c r="L29" s="329"/>
      <c r="M29" s="330">
        <f ca="1">INDIRECT("'数据-取费表'!k"&amp;$G$1)</f>
        <v>12000.23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3374445</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2298627</v>
      </c>
      <c r="D31" s="1256" t="s">
        <v>720</v>
      </c>
      <c r="E31" s="1255" t="s">
        <v>770</v>
      </c>
      <c r="F31" s="2138" t="str">
        <f>IF(项目基本情况!B11="企业","——",IF(M47="住宅",IF(F6*F7*F8/12/(1+'数据-取费表'!F30)&gt;100000,4%,2.5%),IF(F6*F7*F8/12/(1+'数据-取费表'!F30)&gt;100000,12%,7%)))</f>
        <v>——</v>
      </c>
      <c r="G31" s="1291"/>
      <c r="H31" s="2565" t="s">
        <v>2304</v>
      </c>
      <c r="I31" s="1304"/>
      <c r="J31" s="1305"/>
      <c r="K31" s="121"/>
      <c r="L31" s="2467"/>
      <c r="M31" s="2468"/>
    </row>
    <row r="32" spans="1:37" ht="18" customHeight="1">
      <c r="A32" s="928" t="s">
        <v>397</v>
      </c>
      <c r="B32" s="294" t="s">
        <v>723</v>
      </c>
      <c r="C32" s="21">
        <f ca="1">IF(项目基本情况!B11="自然人","——",ROUND(C6*F32/(1+'数据-取费表'!C42),0))</f>
        <v>723239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1549799</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25589</v>
      </c>
      <c r="D34" s="316" t="s">
        <v>731</v>
      </c>
      <c r="E34" s="294" t="s">
        <v>732</v>
      </c>
      <c r="F34" s="317">
        <f>'数据-取费表'!B52</f>
        <v>24</v>
      </c>
      <c r="G34" s="1291"/>
      <c r="H34" s="2466"/>
      <c r="I34" s="1304"/>
      <c r="J34" s="1305"/>
      <c r="K34" s="2471"/>
      <c r="L34" s="2472"/>
      <c r="M34" s="2472"/>
    </row>
    <row r="35" spans="1:18" ht="18" customHeight="1">
      <c r="A35" s="1040"/>
      <c r="B35" s="1038"/>
      <c r="C35" s="26"/>
      <c r="D35" s="319"/>
      <c r="E35" s="294" t="s">
        <v>736</v>
      </c>
      <c r="F35" s="295">
        <f ca="1">INDIRECT("'数据-取费表'!r"&amp;$G$1)</f>
        <v>1066.21</v>
      </c>
      <c r="G35" s="1291"/>
      <c r="H35" s="2466"/>
      <c r="I35" s="1304"/>
      <c r="J35" s="1305"/>
      <c r="K35" s="2470"/>
      <c r="L35" s="2469"/>
      <c r="M35" s="2469"/>
    </row>
    <row r="36" spans="1:18" ht="18" customHeight="1">
      <c r="A36" s="1039" t="s">
        <v>402</v>
      </c>
      <c r="B36" s="294" t="s">
        <v>738</v>
      </c>
      <c r="C36" s="21">
        <f ca="1">ROUND(C29*F36,0)</f>
        <v>877723</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62318</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135777</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10203246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137286775</v>
      </c>
      <c r="D40" s="316" t="s">
        <v>758</v>
      </c>
      <c r="E40" s="294" t="s">
        <v>759</v>
      </c>
      <c r="F40" s="304">
        <f ca="1">INDIRECT("'数据-取费表'!I"&amp;$G$1)</f>
        <v>5.5E-2</v>
      </c>
      <c r="G40" s="1291"/>
      <c r="H40" s="1365">
        <f ca="1">C39/C5</f>
        <v>0.75147136578671592</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18.87</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11440</v>
      </c>
      <c r="D43" s="328" t="s">
        <v>777</v>
      </c>
      <c r="E43" s="329" t="s">
        <v>778</v>
      </c>
      <c r="F43" s="330">
        <f ca="1">INDIRECT("'数据-取费表'!k"&amp;$G$1)</f>
        <v>12000.23</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3350</v>
      </c>
      <c r="B45" s="1306"/>
      <c r="C45" s="1375">
        <f ca="1">ROUND((C68-C40)/10000,4)</f>
        <v>-14845.1134</v>
      </c>
      <c r="D45" s="3126" t="s">
        <v>3351</v>
      </c>
      <c r="E45" s="1306"/>
      <c r="F45" s="1306"/>
      <c r="O45" s="1309" t="s">
        <v>808</v>
      </c>
      <c r="P45" s="1365"/>
      <c r="Q45" s="1365"/>
      <c r="R45" s="1365"/>
    </row>
    <row r="46" spans="1:18" s="1291" customFormat="1" ht="13.8" thickBot="1">
      <c r="A46" s="1310" t="s">
        <v>809</v>
      </c>
      <c r="C46" s="1311">
        <f ca="1">ROUND(C45,0)</f>
        <v>-14845</v>
      </c>
      <c r="D46" s="1312" t="str">
        <f>C2</f>
        <v>万元</v>
      </c>
      <c r="I46" s="1313" t="s">
        <v>810</v>
      </c>
      <c r="J46" s="1314"/>
      <c r="K46" s="1315"/>
      <c r="L46" s="1316">
        <f ca="1">IF(M47="住宅",0,IF(L48&gt;J51,L60,J60))</f>
        <v>8968915</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3469</v>
      </c>
      <c r="K47" s="1322" t="s">
        <v>816</v>
      </c>
      <c r="L47" s="1323">
        <f ca="1">INDIRECT("'数据-取费表'!d"&amp;$G$1)</f>
        <v>50</v>
      </c>
      <c r="M47" s="1287" t="str">
        <f>IF(ISNUMBER(FIND("住宅",C1)),"住宅","非住宅")</f>
        <v>非住宅</v>
      </c>
      <c r="O47" s="1324" t="s">
        <v>403</v>
      </c>
      <c r="P47" s="1325" t="s">
        <v>817</v>
      </c>
      <c r="Q47" s="1326">
        <f ca="1">C40+J29</f>
        <v>137286775</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3470</v>
      </c>
      <c r="K48" s="1329" t="s">
        <v>820</v>
      </c>
      <c r="L48" s="1330">
        <f ca="1">INDIRECT("'数据-取费表'!f"&amp;$G$1)</f>
        <v>18.87</v>
      </c>
      <c r="O48" s="1324" t="s">
        <v>404</v>
      </c>
      <c r="P48" s="1325" t="s">
        <v>821</v>
      </c>
      <c r="Q48" s="1326">
        <f ca="1">J60</f>
        <v>8968915</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1995</v>
      </c>
      <c r="K49" s="1329" t="s">
        <v>824</v>
      </c>
      <c r="L49" s="1332"/>
      <c r="O49" s="1333" t="s">
        <v>405</v>
      </c>
      <c r="P49" s="1325" t="s">
        <v>825</v>
      </c>
      <c r="Q49" s="1326">
        <f ca="1">C29</f>
        <v>87772335</v>
      </c>
      <c r="R49" s="1326" t="s">
        <v>818</v>
      </c>
    </row>
    <row r="50" spans="1:18" s="1291" customFormat="1" ht="13.8" thickBot="1">
      <c r="A50" s="922"/>
      <c r="B50" s="925"/>
      <c r="C50" s="926"/>
      <c r="D50" s="899"/>
      <c r="E50" s="993" t="s">
        <v>697</v>
      </c>
      <c r="F50" s="994">
        <f ca="1">F7</f>
        <v>12000.23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30</v>
      </c>
      <c r="K51" s="1338" t="s">
        <v>830</v>
      </c>
      <c r="L51" s="1339">
        <f ca="1">ROUND(-PV(INDIRECT("'数据-取费表'!h"&amp;$G$1),J51,(C39-C13*C76),0),0)</f>
        <v>89789886</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18.87</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18.87</v>
      </c>
      <c r="K53" s="3514" t="s">
        <v>837</v>
      </c>
      <c r="L53" s="3515"/>
      <c r="O53" s="1324" t="s">
        <v>409</v>
      </c>
      <c r="P53" s="1325" t="s">
        <v>838</v>
      </c>
      <c r="Q53" s="1326">
        <f ca="1">Q47+Q48</f>
        <v>146255690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0.186</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62318358</v>
      </c>
      <c r="D56" s="1351"/>
      <c r="E56" s="1352"/>
      <c r="F56" s="1344"/>
      <c r="I56" s="1353" t="s">
        <v>842</v>
      </c>
      <c r="J56" s="1354" t="s">
        <v>3412</v>
      </c>
      <c r="K56" s="1327" t="s">
        <v>843</v>
      </c>
      <c r="L56" s="1330" t="str">
        <f ca="1">IF(L48&lt;J51,"——",L48-J51)</f>
        <v>——</v>
      </c>
      <c r="O56" s="1324" t="s">
        <v>403</v>
      </c>
      <c r="P56" s="1325" t="s">
        <v>817</v>
      </c>
      <c r="Q56" s="1326">
        <f ca="1">C40+J29</f>
        <v>137286775</v>
      </c>
      <c r="R56" s="1326" t="s">
        <v>818</v>
      </c>
    </row>
    <row r="57" spans="1:18" s="1291" customFormat="1" ht="24.6" thickBot="1">
      <c r="A57" s="1355"/>
      <c r="B57" s="896" t="s">
        <v>767</v>
      </c>
      <c r="C57" s="230">
        <f ca="1">C29</f>
        <v>87772335</v>
      </c>
      <c r="D57" s="1356"/>
      <c r="E57" s="1357"/>
      <c r="F57" s="1358"/>
      <c r="I57" s="1359" t="s">
        <v>844</v>
      </c>
      <c r="J57" s="1360">
        <f ca="1">IF(OR(M47="住宅",J51&lt;L48,J56="是"),"——",J51-L48)</f>
        <v>11.129999999999999</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965630</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25589</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35108934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8968915</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25589</v>
      </c>
      <c r="D62" s="911" t="s">
        <v>786</v>
      </c>
      <c r="E62" s="896" t="s">
        <v>787</v>
      </c>
      <c r="F62" s="317">
        <f t="shared" si="0"/>
        <v>24</v>
      </c>
      <c r="I62" s="1366" t="s">
        <v>858</v>
      </c>
      <c r="J62" s="610" t="s">
        <v>859</v>
      </c>
      <c r="K62" s="610" t="s">
        <v>860</v>
      </c>
      <c r="L62" s="610" t="s">
        <v>861</v>
      </c>
      <c r="M62" s="1367" t="s">
        <v>862</v>
      </c>
      <c r="O62" s="1324" t="s">
        <v>409</v>
      </c>
      <c r="P62" s="1325" t="s">
        <v>863</v>
      </c>
      <c r="Q62" s="1326">
        <f ca="1">Q56+Q57</f>
        <v>137286775</v>
      </c>
      <c r="R62" s="1326" t="s">
        <v>410</v>
      </c>
    </row>
    <row r="63" spans="1:18" s="1291" customFormat="1" ht="13.8" thickBot="1">
      <c r="A63" s="318"/>
      <c r="B63" s="902"/>
      <c r="C63" s="26"/>
      <c r="D63" s="912"/>
      <c r="E63" s="896" t="s">
        <v>788</v>
      </c>
      <c r="F63" s="295">
        <f t="shared" ca="1" si="0"/>
        <v>1066.21</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877723</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62318</v>
      </c>
      <c r="D65" s="910" t="s">
        <v>743</v>
      </c>
      <c r="E65" s="896" t="s">
        <v>744</v>
      </c>
      <c r="F65" s="321">
        <f t="shared" ca="1" si="0"/>
        <v>1E-3</v>
      </c>
      <c r="I65" s="1366" t="s">
        <v>867</v>
      </c>
      <c r="J65" s="610">
        <v>40</v>
      </c>
      <c r="K65" s="610">
        <v>30</v>
      </c>
      <c r="L65" s="610">
        <v>50</v>
      </c>
      <c r="M65" s="1368">
        <v>0.02</v>
      </c>
      <c r="O65" s="1324" t="s">
        <v>403</v>
      </c>
      <c r="P65" s="1325" t="s">
        <v>868</v>
      </c>
      <c r="Q65" s="1326">
        <f ca="1">C40+J29</f>
        <v>137286775</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-965630</v>
      </c>
      <c r="D67" s="909" t="s">
        <v>753</v>
      </c>
      <c r="E67" s="914"/>
      <c r="F67" s="915"/>
      <c r="O67" s="1333" t="s">
        <v>405</v>
      </c>
      <c r="P67" s="1325" t="s">
        <v>850</v>
      </c>
      <c r="Q67" s="1369">
        <f ca="1">L51</f>
        <v>89789886</v>
      </c>
      <c r="R67" s="1326" t="s">
        <v>870</v>
      </c>
    </row>
    <row r="68" spans="1:18" s="1291" customFormat="1" ht="16.2" thickBot="1">
      <c r="A68" s="893" t="s">
        <v>395</v>
      </c>
      <c r="B68" s="894" t="s">
        <v>774</v>
      </c>
      <c r="C68" s="293">
        <f ca="1">ROUND(C67*(1-((1+F70)/(1+F68))^F69)/(F68-F70),0)</f>
        <v>-11164359</v>
      </c>
      <c r="D68" s="911" t="s">
        <v>758</v>
      </c>
      <c r="E68" s="896" t="s">
        <v>759</v>
      </c>
      <c r="F68" s="304">
        <f ca="1">F40</f>
        <v>5.5E-2</v>
      </c>
      <c r="O68" s="1333" t="s">
        <v>406</v>
      </c>
      <c r="P68" s="1370" t="s">
        <v>871</v>
      </c>
      <c r="Q68" s="1326">
        <f ca="1">ROUND(Q69-Q70*Q71,0)</f>
        <v>5840961</v>
      </c>
      <c r="R68" s="1326" t="s">
        <v>414</v>
      </c>
    </row>
    <row r="69" spans="1:18" s="1291" customFormat="1" ht="13.8" thickBot="1">
      <c r="A69" s="897"/>
      <c r="B69" s="898"/>
      <c r="C69" s="298"/>
      <c r="D69" s="916" t="s">
        <v>762</v>
      </c>
      <c r="E69" s="896" t="s">
        <v>763</v>
      </c>
      <c r="F69" s="324">
        <f ca="1">F41</f>
        <v>18.87</v>
      </c>
      <c r="O69" s="1333" t="s">
        <v>411</v>
      </c>
      <c r="P69" s="1370" t="s">
        <v>872</v>
      </c>
      <c r="Q69" s="1326">
        <f ca="1">C39</f>
        <v>10203246</v>
      </c>
      <c r="R69" s="1326" t="s">
        <v>818</v>
      </c>
    </row>
    <row r="70" spans="1:18" s="1291" customFormat="1" ht="13.8" thickBot="1">
      <c r="A70" s="900"/>
      <c r="B70" s="901"/>
      <c r="C70" s="302"/>
      <c r="D70" s="912"/>
      <c r="E70" s="896" t="s">
        <v>766</v>
      </c>
      <c r="F70" s="991"/>
      <c r="O70" s="1333" t="s">
        <v>412</v>
      </c>
      <c r="P70" s="1370" t="s">
        <v>873</v>
      </c>
      <c r="Q70" s="1326">
        <f ca="1">C13</f>
        <v>62318358</v>
      </c>
      <c r="R70" s="1326" t="s">
        <v>818</v>
      </c>
    </row>
    <row r="71" spans="1:18" s="1291" customFormat="1" ht="13.8" thickBot="1">
      <c r="A71" s="917" t="s">
        <v>396</v>
      </c>
      <c r="B71" s="918" t="s">
        <v>776</v>
      </c>
      <c r="C71" s="327">
        <f ca="1">ROUND(C68/F71,0)</f>
        <v>-930</v>
      </c>
      <c r="D71" s="919" t="s">
        <v>777</v>
      </c>
      <c r="E71" s="920" t="s">
        <v>778</v>
      </c>
      <c r="F71" s="330">
        <f ca="1">F43</f>
        <v>12000.23</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4362285</v>
      </c>
      <c r="D75" s="1291"/>
      <c r="E75" s="1291"/>
      <c r="F75" s="1291"/>
      <c r="K75" s="1308"/>
      <c r="L75" s="1291"/>
      <c r="O75" s="1324" t="s">
        <v>409</v>
      </c>
      <c r="P75" s="1325" t="s">
        <v>838</v>
      </c>
      <c r="Q75" s="1326">
        <f ca="1">Q65+Q66</f>
        <v>137286775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0.57200000000000006</v>
      </c>
    </row>
    <row r="80" spans="1:18">
      <c r="B80" s="331" t="s">
        <v>800</v>
      </c>
      <c r="C80" s="266">
        <f ca="1">ROUND(C75/C39,3)</f>
        <v>0.42799999999999999</v>
      </c>
    </row>
    <row r="81" spans="2:3">
      <c r="B81" s="262" t="s">
        <v>801</v>
      </c>
      <c r="C81" s="230"/>
    </row>
    <row r="82" spans="2:3">
      <c r="B82" s="265" t="s">
        <v>802</v>
      </c>
      <c r="C82" s="267">
        <f ca="1">1-C83</f>
        <v>0.54600000000000004</v>
      </c>
    </row>
    <row r="83" spans="2:3">
      <c r="B83" s="265" t="s">
        <v>803</v>
      </c>
      <c r="C83" s="266">
        <f ca="1">ROUND(C13/C40,3)</f>
        <v>0.45400000000000001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2400-000000000000}">
      <formula1>"比较法,基准地价,收益还原"</formula1>
    </dataValidation>
    <dataValidation type="list" allowBlank="1" showInputMessage="1" showErrorMessage="1" sqref="J56" xr:uid="{00000000-0002-0000-2400-000001000000}">
      <formula1>估价范围判定</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C1" xr:uid="{00000000-0002-0000-2400-000004000000}">
      <formula1>项目类型</formula1>
    </dataValidation>
    <dataValidation type="list" allowBlank="1" showInputMessage="1" showErrorMessage="1" sqref="D33 D61"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F10 F53 M10"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2" customHeight="1">
      <c r="A2" s="1292" t="s">
        <v>2313</v>
      </c>
      <c r="B2" s="2590" t="e">
        <f>IF(D2="——",C40,C40+E2)</f>
        <v>#DIV/0!</v>
      </c>
      <c r="C2" s="2591" t="s">
        <v>2314</v>
      </c>
      <c r="D2" s="3134" t="s">
        <v>3357</v>
      </c>
      <c r="E2" s="3135"/>
      <c r="F2" s="2593"/>
      <c r="G2" s="2594"/>
      <c r="H2" s="2595"/>
      <c r="I2" s="2596"/>
      <c r="J2" s="3525" t="s">
        <v>2315</v>
      </c>
      <c r="K2" s="3526"/>
      <c r="L2" s="2597" t="s">
        <v>2316</v>
      </c>
      <c r="M2" s="2597" t="s">
        <v>2317</v>
      </c>
      <c r="N2" s="2597" t="s">
        <v>2318</v>
      </c>
      <c r="O2" s="2597" t="s">
        <v>2319</v>
      </c>
      <c r="P2" s="2597" t="s">
        <v>2320</v>
      </c>
      <c r="Q2" s="2598" t="s">
        <v>2321</v>
      </c>
      <c r="R2" s="2599" t="s">
        <v>2322</v>
      </c>
      <c r="S2" s="2588"/>
      <c r="T2" s="2588"/>
      <c r="U2" s="2588"/>
      <c r="V2" s="2596"/>
    </row>
    <row r="3" spans="1:22" s="2600" customFormat="1" ht="13.2" customHeight="1">
      <c r="A3" s="2601" t="s">
        <v>2323</v>
      </c>
      <c r="B3" s="2602" t="e">
        <f>ROUND(B2*10000/B4,0)</f>
        <v>#DIV/0!</v>
      </c>
      <c r="C3" s="2591" t="s">
        <v>2324</v>
      </c>
      <c r="D3" s="2591"/>
      <c r="E3" s="2592"/>
      <c r="F3" s="2593"/>
      <c r="G3" s="2594"/>
      <c r="H3" s="2595"/>
      <c r="I3" s="2596"/>
      <c r="J3" s="3527" t="s">
        <v>2325</v>
      </c>
      <c r="K3" s="3528"/>
      <c r="L3" s="2603"/>
      <c r="M3" s="2603"/>
      <c r="N3" s="2603"/>
      <c r="O3" s="2603"/>
      <c r="P3" s="2603"/>
      <c r="Q3" s="2604"/>
      <c r="R3" s="2605">
        <f>SUM(L3:Q3)</f>
        <v>0</v>
      </c>
      <c r="S3" s="2588"/>
      <c r="T3" s="2588"/>
      <c r="U3" s="2588"/>
      <c r="V3" s="2596"/>
    </row>
    <row r="4" spans="1:22" s="2600" customFormat="1" ht="13.2" customHeight="1">
      <c r="A4" s="2606" t="s">
        <v>2326</v>
      </c>
      <c r="B4" s="2607"/>
      <c r="C4" s="2591"/>
      <c r="D4" s="2591"/>
      <c r="E4" s="2592"/>
      <c r="F4" s="2593"/>
      <c r="G4" s="2594"/>
      <c r="H4" s="2595"/>
      <c r="I4" s="2596"/>
      <c r="J4" s="3527" t="s">
        <v>2327</v>
      </c>
      <c r="K4" s="3528"/>
      <c r="L4" s="2608"/>
      <c r="M4" s="2608"/>
      <c r="N4" s="2608"/>
      <c r="O4" s="2608"/>
      <c r="P4" s="2608"/>
      <c r="Q4" s="2609"/>
      <c r="R4" s="2610">
        <f>SUM(L4:Q4)</f>
        <v>0</v>
      </c>
      <c r="S4" s="2588"/>
      <c r="T4" s="2588"/>
      <c r="U4" s="2588"/>
      <c r="V4" s="2596"/>
    </row>
    <row r="5" spans="1:22" s="2600" customFormat="1" ht="13.2"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2" customHeight="1" thickBot="1">
      <c r="A6" s="3533" t="s">
        <v>2331</v>
      </c>
      <c r="B6" s="3534"/>
      <c r="C6" s="3535"/>
      <c r="D6" s="2617"/>
      <c r="E6" s="2618"/>
      <c r="F6" s="2619"/>
      <c r="G6" s="2620"/>
      <c r="H6" s="2595"/>
      <c r="I6" s="2596"/>
      <c r="J6" s="3519">
        <v>1</v>
      </c>
      <c r="K6" s="3520"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2" customHeight="1">
      <c r="A7" s="2623" t="s">
        <v>2341</v>
      </c>
      <c r="B7" s="2624"/>
      <c r="C7" s="2625"/>
      <c r="D7" s="2626">
        <f>SUM(D9,D10,D11,D17,0)</f>
        <v>0</v>
      </c>
      <c r="E7" s="2627" t="e">
        <f>E9+E10+E11+E17</f>
        <v>#DIV/0!</v>
      </c>
      <c r="F7" s="2628"/>
      <c r="G7" s="2629"/>
      <c r="H7" s="2595"/>
      <c r="I7" s="2596"/>
      <c r="J7" s="3519"/>
      <c r="K7" s="3521"/>
      <c r="L7" s="2630" t="s">
        <v>2342</v>
      </c>
      <c r="M7" s="2631"/>
      <c r="N7" s="2607"/>
      <c r="O7" s="2632"/>
      <c r="P7" s="2632"/>
      <c r="Q7" s="2633">
        <v>365</v>
      </c>
      <c r="R7" s="2634">
        <f>ROUND(M7*N7*O7*P7*Q7/10000,0)</f>
        <v>0</v>
      </c>
      <c r="S7" s="2588"/>
      <c r="T7" s="2588" t="s">
        <v>2343</v>
      </c>
      <c r="U7" s="2588"/>
      <c r="V7" s="2596"/>
    </row>
    <row r="8" spans="1:22" s="2600" customFormat="1" ht="13.2" customHeight="1">
      <c r="A8" s="2635" t="s">
        <v>2344</v>
      </c>
      <c r="B8" s="3536" t="s">
        <v>2345</v>
      </c>
      <c r="C8" s="3537"/>
      <c r="D8" s="2636" t="s">
        <v>2346</v>
      </c>
      <c r="E8" s="2637" t="s">
        <v>2347</v>
      </c>
      <c r="F8" s="2638" t="s">
        <v>2348</v>
      </c>
      <c r="G8" s="2639"/>
      <c r="H8" s="2595"/>
      <c r="I8" s="2596"/>
      <c r="J8" s="3519"/>
      <c r="K8" s="3521"/>
      <c r="L8" s="2630" t="s">
        <v>2349</v>
      </c>
      <c r="M8" s="2631"/>
      <c r="N8" s="2607"/>
      <c r="O8" s="2632"/>
      <c r="P8" s="2632"/>
      <c r="Q8" s="2633">
        <v>365</v>
      </c>
      <c r="R8" s="2634">
        <f t="shared" ref="R8:R13" si="0">ROUND(M8*N8*O8*P8*Q8/10000,0)</f>
        <v>0</v>
      </c>
      <c r="S8" s="2588"/>
      <c r="T8" s="2588" t="s">
        <v>2350</v>
      </c>
      <c r="U8" s="2588"/>
      <c r="V8" s="2596"/>
    </row>
    <row r="9" spans="1:22" s="2600" customFormat="1" ht="13.2" customHeight="1">
      <c r="A9" s="2635">
        <v>1</v>
      </c>
      <c r="B9" s="3536" t="s">
        <v>2351</v>
      </c>
      <c r="C9" s="3537"/>
      <c r="D9" s="2636">
        <f>ROUND(D6*E9,0)</f>
        <v>0</v>
      </c>
      <c r="E9" s="2640"/>
      <c r="F9" s="2641" t="s">
        <v>2352</v>
      </c>
      <c r="G9" s="2620"/>
      <c r="H9" s="2595"/>
      <c r="I9" s="2596"/>
      <c r="J9" s="3519"/>
      <c r="K9" s="3521"/>
      <c r="L9" s="2630" t="s">
        <v>2353</v>
      </c>
      <c r="M9" s="2631"/>
      <c r="N9" s="2607"/>
      <c r="O9" s="2632"/>
      <c r="P9" s="2632"/>
      <c r="Q9" s="2633">
        <v>365</v>
      </c>
      <c r="R9" s="2634">
        <f t="shared" si="0"/>
        <v>0</v>
      </c>
      <c r="S9" s="2588"/>
      <c r="T9" s="2588"/>
      <c r="U9" s="2588"/>
      <c r="V9" s="2596"/>
    </row>
    <row r="10" spans="1:22" s="2600" customFormat="1" ht="13.2" customHeight="1">
      <c r="A10" s="2635">
        <v>2</v>
      </c>
      <c r="B10" s="3536" t="s">
        <v>2354</v>
      </c>
      <c r="C10" s="3537"/>
      <c r="D10" s="2636">
        <f>ROUND(D6*E10,0)</f>
        <v>0</v>
      </c>
      <c r="E10" s="2640"/>
      <c r="F10" s="2641" t="s">
        <v>2355</v>
      </c>
      <c r="G10" s="2620"/>
      <c r="H10" s="2595"/>
      <c r="I10" s="2596"/>
      <c r="J10" s="3519"/>
      <c r="K10" s="3521"/>
      <c r="L10" s="2630" t="s">
        <v>2356</v>
      </c>
      <c r="M10" s="2631"/>
      <c r="N10" s="2607"/>
      <c r="O10" s="2632"/>
      <c r="P10" s="2632"/>
      <c r="Q10" s="2633">
        <v>365</v>
      </c>
      <c r="R10" s="2634">
        <f t="shared" si="0"/>
        <v>0</v>
      </c>
      <c r="S10" s="2588"/>
      <c r="T10" s="2588"/>
      <c r="U10" s="2588"/>
      <c r="V10" s="2596"/>
    </row>
    <row r="11" spans="1:22" s="2600" customFormat="1" ht="13.2" customHeight="1">
      <c r="A11" s="2635">
        <v>3</v>
      </c>
      <c r="B11" s="3536" t="s">
        <v>2357</v>
      </c>
      <c r="C11" s="3537"/>
      <c r="D11" s="2636">
        <f>D12+D14+D15+D16</f>
        <v>0</v>
      </c>
      <c r="E11" s="2642" t="e">
        <f>D11/D6</f>
        <v>#DIV/0!</v>
      </c>
      <c r="F11" s="2638"/>
      <c r="G11" s="2639"/>
      <c r="H11" s="2595"/>
      <c r="I11" s="2596"/>
      <c r="J11" s="3519"/>
      <c r="K11" s="3521"/>
      <c r="L11" s="2630" t="s">
        <v>2358</v>
      </c>
      <c r="M11" s="2631"/>
      <c r="N11" s="2607"/>
      <c r="O11" s="2632"/>
      <c r="P11" s="2632"/>
      <c r="Q11" s="2633">
        <v>365</v>
      </c>
      <c r="R11" s="2634">
        <f t="shared" si="0"/>
        <v>0</v>
      </c>
      <c r="S11" s="2588"/>
      <c r="T11" s="2588"/>
      <c r="U11" s="2588"/>
      <c r="V11" s="2596"/>
    </row>
    <row r="12" spans="1:22" s="2600" customFormat="1" ht="13.2" customHeight="1">
      <c r="A12" s="2643" t="s">
        <v>2359</v>
      </c>
      <c r="B12" s="3529" t="s">
        <v>2360</v>
      </c>
      <c r="C12" s="3530"/>
      <c r="D12" s="2644">
        <f>ROUND(D13*1.2%*(1-30%),0)</f>
        <v>0</v>
      </c>
      <c r="E12" s="2645">
        <v>1.2E-2</v>
      </c>
      <c r="F12" s="2638" t="s">
        <v>2361</v>
      </c>
      <c r="G12" s="2639"/>
      <c r="H12" s="2595"/>
      <c r="I12" s="2596"/>
      <c r="J12" s="3519"/>
      <c r="K12" s="3521"/>
      <c r="L12" s="2630" t="s">
        <v>2362</v>
      </c>
      <c r="M12" s="2631"/>
      <c r="N12" s="2607"/>
      <c r="O12" s="2632"/>
      <c r="P12" s="2632"/>
      <c r="Q12" s="2633">
        <v>365</v>
      </c>
      <c r="R12" s="2634">
        <f t="shared" si="0"/>
        <v>0</v>
      </c>
      <c r="S12" s="2588"/>
      <c r="T12" s="2588"/>
      <c r="U12" s="2588"/>
      <c r="V12" s="2596"/>
    </row>
    <row r="13" spans="1:22" s="2600" customFormat="1" ht="13.2" customHeight="1">
      <c r="A13" s="2643"/>
      <c r="B13" s="2646"/>
      <c r="C13" s="2647" t="s">
        <v>2363</v>
      </c>
      <c r="D13" s="2648"/>
      <c r="E13" s="2649"/>
      <c r="F13" s="2638"/>
      <c r="G13" s="2639"/>
      <c r="H13" s="2595"/>
      <c r="I13" s="2596"/>
      <c r="J13" s="3519"/>
      <c r="K13" s="3521"/>
      <c r="L13" s="2630" t="s">
        <v>2364</v>
      </c>
      <c r="M13" s="2631"/>
      <c r="N13" s="2607"/>
      <c r="O13" s="2632"/>
      <c r="P13" s="2632"/>
      <c r="Q13" s="2633">
        <v>365</v>
      </c>
      <c r="R13" s="2634">
        <f t="shared" si="0"/>
        <v>0</v>
      </c>
      <c r="S13" s="2588"/>
      <c r="T13" s="2588"/>
      <c r="U13" s="2588"/>
      <c r="V13" s="2596"/>
    </row>
    <row r="14" spans="1:22" s="2600" customFormat="1" ht="13.2" customHeight="1">
      <c r="A14" s="2643" t="s">
        <v>2365</v>
      </c>
      <c r="B14" s="3529" t="s">
        <v>2366</v>
      </c>
      <c r="C14" s="3530"/>
      <c r="D14" s="2644">
        <f>ROUND(E14*B5/10000,0)</f>
        <v>0</v>
      </c>
      <c r="E14" s="2633"/>
      <c r="F14" s="2638" t="s">
        <v>2367</v>
      </c>
      <c r="G14" s="2639"/>
      <c r="H14" s="2595"/>
      <c r="I14" s="2596"/>
      <c r="J14" s="3519"/>
      <c r="K14" s="3522"/>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2369</v>
      </c>
      <c r="B15" s="3529" t="s">
        <v>2370</v>
      </c>
      <c r="C15" s="3530"/>
      <c r="D15" s="2644">
        <f>ROUND(D6*E15,0)</f>
        <v>0</v>
      </c>
      <c r="E15" s="2645">
        <v>5.5E-2</v>
      </c>
      <c r="F15" s="2638" t="s">
        <v>2371</v>
      </c>
      <c r="G15" s="2620"/>
      <c r="H15" s="2595"/>
      <c r="I15" s="2596"/>
      <c r="J15" s="3519">
        <v>2</v>
      </c>
      <c r="K15" s="3520"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2" customHeight="1">
      <c r="A16" s="2643" t="s">
        <v>2378</v>
      </c>
      <c r="B16" s="3529" t="s">
        <v>2379</v>
      </c>
      <c r="C16" s="3530"/>
      <c r="D16" s="2655">
        <f>D6*E16</f>
        <v>0</v>
      </c>
      <c r="E16" s="2656"/>
      <c r="F16" s="2641" t="s">
        <v>2380</v>
      </c>
      <c r="G16" s="2620"/>
      <c r="H16" s="2595"/>
      <c r="I16" s="2596"/>
      <c r="J16" s="3519"/>
      <c r="K16" s="3521"/>
      <c r="L16" s="2630" t="s">
        <v>2381</v>
      </c>
      <c r="M16" s="2631"/>
      <c r="N16" s="2631"/>
      <c r="O16" s="2632"/>
      <c r="P16" s="2633">
        <v>365</v>
      </c>
      <c r="Q16" s="2607"/>
      <c r="R16" s="2654">
        <f>ROUND(M16*N16*O16*P16/10000,0)</f>
        <v>0</v>
      </c>
      <c r="S16" s="2588"/>
      <c r="T16" s="2588"/>
      <c r="U16" s="2588"/>
      <c r="V16" s="2596"/>
    </row>
    <row r="17" spans="1:22" s="2600" customFormat="1" ht="13.2" customHeight="1" thickBot="1">
      <c r="A17" s="2657">
        <v>4</v>
      </c>
      <c r="B17" s="3531" t="s">
        <v>2382</v>
      </c>
      <c r="C17" s="3532"/>
      <c r="D17" s="2658">
        <f>ROUND(D6*E17,0)</f>
        <v>0</v>
      </c>
      <c r="E17" s="2659"/>
      <c r="F17" s="2660" t="s">
        <v>2383</v>
      </c>
      <c r="G17" s="2620"/>
      <c r="H17" s="2595"/>
      <c r="I17" s="2596"/>
      <c r="J17" s="3519"/>
      <c r="K17" s="3521"/>
      <c r="L17" s="2630" t="s">
        <v>2384</v>
      </c>
      <c r="M17" s="2631"/>
      <c r="N17" s="2631"/>
      <c r="O17" s="2632"/>
      <c r="P17" s="2633">
        <v>365</v>
      </c>
      <c r="Q17" s="2607"/>
      <c r="R17" s="2654">
        <f>ROUND(M17*N17*O17*P17/10000,0)</f>
        <v>0</v>
      </c>
      <c r="S17" s="2588"/>
      <c r="T17" s="2588"/>
      <c r="U17" s="2588"/>
      <c r="V17" s="2596"/>
    </row>
    <row r="18" spans="1:22" s="2600" customFormat="1" ht="13.2" customHeight="1" thickBot="1">
      <c r="A18" s="2623" t="s">
        <v>2385</v>
      </c>
      <c r="B18" s="2624"/>
      <c r="C18" s="2624"/>
      <c r="D18" s="2661">
        <f>ROUND(D6*E18,0)</f>
        <v>0</v>
      </c>
      <c r="E18" s="2662"/>
      <c r="F18" s="2663" t="s">
        <v>2386</v>
      </c>
      <c r="G18" s="2620"/>
      <c r="H18" s="2595"/>
      <c r="I18" s="2596"/>
      <c r="J18" s="3519"/>
      <c r="K18" s="3521"/>
      <c r="L18" s="2630" t="s">
        <v>2387</v>
      </c>
      <c r="M18" s="2631"/>
      <c r="N18" s="2631"/>
      <c r="O18" s="2632"/>
      <c r="P18" s="2633">
        <v>365</v>
      </c>
      <c r="Q18" s="2607"/>
      <c r="R18" s="2654">
        <f>ROUND(M18*N18*O18*P18/10000,0)</f>
        <v>0</v>
      </c>
      <c r="S18" s="2588"/>
      <c r="T18" s="2588"/>
      <c r="U18" s="2588"/>
      <c r="V18" s="2596"/>
    </row>
    <row r="19" spans="1:22" s="2600" customFormat="1" ht="13.2" customHeight="1" thickBot="1">
      <c r="A19" s="2664" t="s">
        <v>2388</v>
      </c>
      <c r="B19" s="2618"/>
      <c r="C19" s="2618"/>
      <c r="D19" s="2618"/>
      <c r="E19" s="2618"/>
      <c r="F19" s="2619"/>
      <c r="G19" s="2639"/>
      <c r="H19" s="2595"/>
      <c r="I19" s="2596"/>
      <c r="J19" s="3519"/>
      <c r="K19" s="3522"/>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519">
        <v>3</v>
      </c>
      <c r="K20" s="3520"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2" customHeight="1">
      <c r="A21" s="2623"/>
      <c r="B21" s="2624"/>
      <c r="C21" s="2669" t="s">
        <v>2397</v>
      </c>
      <c r="D21" s="2670" t="s">
        <v>2398</v>
      </c>
      <c r="E21" s="2671" t="s">
        <v>2399</v>
      </c>
      <c r="F21" s="2667"/>
      <c r="G21" s="2639"/>
      <c r="H21" s="2595"/>
      <c r="I21" s="2596"/>
      <c r="J21" s="3519"/>
      <c r="K21" s="3521"/>
      <c r="L21" s="2630" t="s">
        <v>2400</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2401</v>
      </c>
      <c r="D22" s="2674" t="s">
        <v>2402</v>
      </c>
      <c r="E22" s="2675" t="s">
        <v>2403</v>
      </c>
      <c r="F22" s="2667"/>
      <c r="G22" s="2588"/>
      <c r="H22" s="2595"/>
      <c r="I22" s="2596"/>
      <c r="J22" s="3519"/>
      <c r="K22" s="3521"/>
      <c r="L22" s="2630" t="s">
        <v>2404</v>
      </c>
      <c r="M22" s="2631"/>
      <c r="N22" s="2631"/>
      <c r="O22" s="2632"/>
      <c r="P22" s="2633">
        <v>365</v>
      </c>
      <c r="Q22" s="2607"/>
      <c r="R22" s="2672">
        <f>ROUND(M22*N22*O22*P22/10000,0)</f>
        <v>0</v>
      </c>
      <c r="S22" s="2588"/>
      <c r="T22" s="2588"/>
      <c r="U22" s="2588"/>
      <c r="V22" s="2596"/>
    </row>
    <row r="23" spans="1:22" s="2600" customFormat="1" ht="13.2" customHeight="1">
      <c r="A23" s="2676">
        <v>1</v>
      </c>
      <c r="B23" s="2677" t="s">
        <v>2405</v>
      </c>
      <c r="C23" s="2678">
        <f>D6</f>
        <v>0</v>
      </c>
      <c r="D23" s="2679">
        <f>C23*(1+D24)</f>
        <v>0</v>
      </c>
      <c r="E23" s="2680">
        <f>D23*(1+E24)</f>
        <v>0</v>
      </c>
      <c r="F23" s="2681"/>
      <c r="G23" s="2682"/>
      <c r="H23" s="2595"/>
      <c r="I23" s="2596"/>
      <c r="J23" s="3519"/>
      <c r="K23" s="3521"/>
      <c r="L23" s="2630" t="s">
        <v>2406</v>
      </c>
      <c r="M23" s="2631"/>
      <c r="N23" s="2631"/>
      <c r="O23" s="2632"/>
      <c r="P23" s="2633">
        <v>365</v>
      </c>
      <c r="Q23" s="2607"/>
      <c r="R23" s="2672">
        <f>ROUND(M23*N23*O23*P23/10000,0)</f>
        <v>0</v>
      </c>
      <c r="S23" s="2588"/>
      <c r="T23" s="2588"/>
      <c r="U23" s="2588"/>
      <c r="V23" s="2596"/>
    </row>
    <row r="24" spans="1:22" s="2600" customFormat="1" ht="13.2" customHeight="1">
      <c r="A24" s="2683"/>
      <c r="B24" s="2684" t="s">
        <v>2407</v>
      </c>
      <c r="C24" s="2685"/>
      <c r="D24" s="2686"/>
      <c r="E24" s="2687"/>
      <c r="F24" s="2688"/>
      <c r="G24" s="2682"/>
      <c r="H24" s="2595"/>
      <c r="I24" s="2596"/>
      <c r="J24" s="3519"/>
      <c r="K24" s="3522"/>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2" customHeight="1">
      <c r="A26" s="2676">
        <v>2</v>
      </c>
      <c r="B26" s="2677" t="s">
        <v>2409</v>
      </c>
      <c r="C26" s="2678">
        <f>D7</f>
        <v>0</v>
      </c>
      <c r="D26" s="2679">
        <f>D23*D27</f>
        <v>0</v>
      </c>
      <c r="E26" s="2680">
        <f>E23*E27</f>
        <v>0</v>
      </c>
      <c r="F26" s="2681"/>
      <c r="G26" s="2682"/>
      <c r="H26" s="2595"/>
      <c r="I26" s="2596"/>
      <c r="J26" s="3523">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2" customHeight="1">
      <c r="A27" s="2683"/>
      <c r="B27" s="2684" t="s">
        <v>2415</v>
      </c>
      <c r="C27" s="2701" t="e">
        <f>E7</f>
        <v>#DIV/0!</v>
      </c>
      <c r="D27" s="2686"/>
      <c r="E27" s="2687"/>
      <c r="F27" s="2688"/>
      <c r="G27" s="2682"/>
      <c r="H27" s="2702"/>
      <c r="I27" s="2694"/>
      <c r="J27" s="352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2"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2" customHeight="1">
      <c r="A32" s="2676">
        <v>4</v>
      </c>
      <c r="B32" s="2677" t="s">
        <v>2423</v>
      </c>
      <c r="C32" s="2678">
        <f>C23-C26-C29</f>
        <v>0</v>
      </c>
      <c r="D32" s="2679">
        <f>D23-D26-D29</f>
        <v>0</v>
      </c>
      <c r="E32" s="2680">
        <f>E23-E26-E29</f>
        <v>0</v>
      </c>
      <c r="F32" s="2681"/>
      <c r="G32" s="2588"/>
      <c r="H32" s="2595"/>
      <c r="I32" s="2596"/>
      <c r="J32" s="3525" t="s">
        <v>2315</v>
      </c>
      <c r="K32" s="3526"/>
      <c r="L32" s="2597" t="s">
        <v>2316</v>
      </c>
      <c r="M32" s="2597" t="s">
        <v>2317</v>
      </c>
      <c r="N32" s="2597" t="s">
        <v>2318</v>
      </c>
      <c r="O32" s="2597" t="s">
        <v>2319</v>
      </c>
      <c r="P32" s="2597" t="s">
        <v>2320</v>
      </c>
      <c r="Q32" s="2598" t="s">
        <v>2321</v>
      </c>
      <c r="R32" s="2717" t="s">
        <v>2322</v>
      </c>
      <c r="S32" s="2588"/>
      <c r="T32" s="2588"/>
      <c r="U32" s="2588"/>
      <c r="V32" s="2694"/>
    </row>
    <row r="33" spans="1:23" s="2600" customFormat="1" ht="13.2" customHeight="1">
      <c r="A33" s="2676"/>
      <c r="B33" s="2677"/>
      <c r="C33" s="2678"/>
      <c r="D33" s="2718"/>
      <c r="E33" s="2719"/>
      <c r="F33" s="2681"/>
      <c r="G33" s="2588"/>
      <c r="H33" s="2702"/>
      <c r="I33" s="2694"/>
      <c r="J33" s="3527" t="s">
        <v>2325</v>
      </c>
      <c r="K33" s="3528"/>
      <c r="L33" s="2603"/>
      <c r="M33" s="2603"/>
      <c r="N33" s="2603"/>
      <c r="O33" s="2603"/>
      <c r="P33" s="2603"/>
      <c r="Q33" s="2604"/>
      <c r="R33" s="2720">
        <f>SUM(L33:Q33)</f>
        <v>0</v>
      </c>
      <c r="S33" s="2588"/>
      <c r="T33" s="2588"/>
      <c r="U33" s="2588"/>
      <c r="V33" s="2596"/>
    </row>
    <row r="34" spans="1:23" s="2600" customFormat="1" ht="13.2" customHeight="1">
      <c r="A34" s="2676">
        <v>5</v>
      </c>
      <c r="B34" s="2677" t="s">
        <v>2424</v>
      </c>
      <c r="C34" s="2721"/>
      <c r="D34" s="2722"/>
      <c r="E34" s="2723"/>
      <c r="F34" s="2681"/>
      <c r="G34" s="2588"/>
      <c r="H34" s="2702"/>
      <c r="I34" s="2694"/>
      <c r="J34" s="3527" t="s">
        <v>2327</v>
      </c>
      <c r="K34" s="352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2" customHeight="1" thickBot="1">
      <c r="A36" s="2676">
        <v>7</v>
      </c>
      <c r="B36" s="2730" t="s">
        <v>2426</v>
      </c>
      <c r="C36" s="2731"/>
      <c r="D36" s="2732"/>
      <c r="E36" s="2733"/>
      <c r="F36" s="2734">
        <f>C36+D36+E36</f>
        <v>0</v>
      </c>
      <c r="G36" s="2588"/>
      <c r="H36" s="2595"/>
      <c r="I36" s="2596"/>
      <c r="J36" s="3519">
        <v>1</v>
      </c>
      <c r="K36" s="3520" t="s">
        <v>2427</v>
      </c>
      <c r="L36" s="2621"/>
      <c r="M36" s="2622"/>
      <c r="N36" s="2622"/>
      <c r="O36" s="2622"/>
      <c r="P36" s="2622"/>
      <c r="Q36" s="2622"/>
      <c r="R36" s="2605" t="s">
        <v>2339</v>
      </c>
      <c r="S36" s="2588"/>
      <c r="T36" s="2588" t="s">
        <v>2340</v>
      </c>
      <c r="U36" s="2588"/>
      <c r="V36" s="2596"/>
    </row>
    <row r="37" spans="1:23" s="2600" customFormat="1" ht="13.2" customHeight="1">
      <c r="A37" s="2676"/>
      <c r="B37" s="2677"/>
      <c r="C37" s="2677"/>
      <c r="D37" s="2677"/>
      <c r="E37" s="2677"/>
      <c r="F37" s="2681"/>
      <c r="G37" s="2588"/>
      <c r="H37" s="2595"/>
      <c r="I37" s="2596"/>
      <c r="J37" s="3519"/>
      <c r="K37" s="3521"/>
      <c r="L37" s="2630"/>
      <c r="M37" s="2631"/>
      <c r="N37" s="2607"/>
      <c r="O37" s="2632"/>
      <c r="P37" s="2632"/>
      <c r="Q37" s="2633"/>
      <c r="R37" s="2634"/>
      <c r="S37" s="2588"/>
      <c r="T37" s="2588" t="s">
        <v>2343</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519"/>
      <c r="K38" s="3521"/>
      <c r="L38" s="2630"/>
      <c r="M38" s="2631"/>
      <c r="N38" s="2607"/>
      <c r="O38" s="2632"/>
      <c r="P38" s="2632"/>
      <c r="Q38" s="2633"/>
      <c r="R38" s="2634"/>
      <c r="S38" s="2588"/>
      <c r="T38" s="2588" t="s">
        <v>2350</v>
      </c>
      <c r="U38" s="2588"/>
      <c r="V38" s="2596"/>
    </row>
    <row r="39" spans="1:23" s="2600" customFormat="1" ht="13.2" customHeight="1">
      <c r="A39" s="2676">
        <v>9</v>
      </c>
      <c r="B39" s="2677" t="s">
        <v>2428</v>
      </c>
      <c r="C39" s="2644" t="e">
        <f>C38</f>
        <v>#DIV/0!</v>
      </c>
      <c r="D39" s="2677">
        <f>D38/(1+D34)^C36</f>
        <v>0</v>
      </c>
      <c r="E39" s="2677">
        <f>E38/(1+E34)^(C36+D36)</f>
        <v>0</v>
      </c>
      <c r="F39" s="2681"/>
      <c r="G39" s="2596"/>
      <c r="H39" s="2595"/>
      <c r="I39" s="2596"/>
      <c r="J39" s="3519"/>
      <c r="K39" s="3521"/>
      <c r="L39" s="2630"/>
      <c r="M39" s="2631"/>
      <c r="N39" s="2607"/>
      <c r="O39" s="2632"/>
      <c r="P39" s="2632"/>
      <c r="Q39" s="2633"/>
      <c r="R39" s="2634"/>
      <c r="S39" s="2588"/>
      <c r="T39" s="2588"/>
      <c r="U39" s="2588"/>
      <c r="V39" s="2596"/>
    </row>
    <row r="40" spans="1:23" s="2600" customFormat="1" ht="13.2" customHeight="1">
      <c r="A40" s="2735">
        <v>10</v>
      </c>
      <c r="B40" s="2677" t="s">
        <v>2429</v>
      </c>
      <c r="C40" s="2736" t="e">
        <f>C39+D39+E39</f>
        <v>#DIV/0!</v>
      </c>
      <c r="D40" s="2737"/>
      <c r="E40" s="2737"/>
      <c r="F40" s="2738"/>
      <c r="G40" s="2588"/>
      <c r="H40" s="2595"/>
      <c r="I40" s="2596"/>
      <c r="J40" s="3519"/>
      <c r="K40" s="3522"/>
      <c r="L40" s="2650" t="s">
        <v>2368</v>
      </c>
      <c r="M40" s="2651"/>
      <c r="N40" s="2651"/>
      <c r="O40" s="2652"/>
      <c r="P40" s="2652"/>
      <c r="Q40" s="2653"/>
      <c r="R40" s="2599">
        <f>SUM(R37:R39)</f>
        <v>0</v>
      </c>
      <c r="S40" s="2588"/>
      <c r="T40" s="2588"/>
      <c r="U40" s="2588"/>
      <c r="V40" s="2596"/>
    </row>
    <row r="41" spans="1:23" s="2600" customFormat="1" ht="13.2"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2" customHeight="1">
      <c r="G42" s="2595"/>
      <c r="H42" s="2595"/>
      <c r="I42" s="2596"/>
      <c r="J42" s="3523">
        <v>3</v>
      </c>
      <c r="K42" s="2696" t="s">
        <v>2410</v>
      </c>
      <c r="L42" s="2697"/>
      <c r="M42" s="2698"/>
      <c r="N42" s="2699" t="s">
        <v>2411</v>
      </c>
      <c r="O42" s="2699" t="s">
        <v>2412</v>
      </c>
      <c r="P42" s="2700" t="s">
        <v>2413</v>
      </c>
      <c r="Q42" s="2700" t="s">
        <v>2414</v>
      </c>
      <c r="R42" s="2605" t="s">
        <v>2339</v>
      </c>
      <c r="S42" s="2639"/>
      <c r="T42" s="2639"/>
      <c r="U42" s="2588"/>
      <c r="V42" s="2596"/>
    </row>
    <row r="43" spans="1:23" ht="13.2" customHeight="1">
      <c r="A43" s="2600"/>
      <c r="B43" s="2600"/>
      <c r="C43" s="2600"/>
      <c r="D43" s="2600"/>
      <c r="E43" s="2600"/>
      <c r="F43" s="2600"/>
      <c r="I43" s="2583"/>
      <c r="J43" s="352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1000000}">
      <formula1>"按明细,按比例"</formula1>
    </dataValidation>
    <dataValidation type="list" allowBlank="1" showInputMessage="1" showErrorMessage="1" sqref="D2" xr:uid="{00000000-0002-0000-2500-000002000000}">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14635</v>
      </c>
      <c r="C2" s="1728" t="s">
        <v>1651</v>
      </c>
      <c r="D2" s="1729" t="s">
        <v>1652</v>
      </c>
      <c r="E2" s="2389">
        <f>SUM(E6:E13)</f>
        <v>12000.23</v>
      </c>
      <c r="F2" s="2475"/>
      <c r="G2" s="459"/>
      <c r="H2" s="459"/>
      <c r="I2" s="459"/>
      <c r="J2" s="459"/>
      <c r="K2" s="459"/>
      <c r="L2" s="459"/>
      <c r="M2" s="459"/>
      <c r="N2" s="459"/>
      <c r="O2" s="459"/>
      <c r="P2" s="459"/>
      <c r="Q2" s="459"/>
      <c r="R2" s="459"/>
      <c r="S2" s="459"/>
    </row>
    <row r="3" spans="1:22" ht="15.6">
      <c r="A3" s="1727" t="s">
        <v>686</v>
      </c>
      <c r="B3" s="2383">
        <f ca="1">ROUND(B2*10000/E2,0)</f>
        <v>12196</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538" t="s">
        <v>1654</v>
      </c>
      <c r="C5" s="3539"/>
      <c r="D5" s="2476"/>
      <c r="E5" s="1730" t="s">
        <v>1655</v>
      </c>
      <c r="F5" s="129" t="s">
        <v>1656</v>
      </c>
      <c r="G5" s="459"/>
      <c r="H5" s="459"/>
      <c r="I5" s="459"/>
      <c r="J5" s="459"/>
      <c r="K5" s="459"/>
      <c r="L5" s="459"/>
      <c r="M5" s="459"/>
      <c r="N5" s="459"/>
      <c r="O5" s="459"/>
      <c r="P5" s="459"/>
      <c r="Q5" s="459"/>
      <c r="R5" s="459"/>
      <c r="S5" s="459"/>
    </row>
    <row r="6" spans="1:22" ht="14.4">
      <c r="A6" s="2386" t="str">
        <f>'数据-取费表'!AN6</f>
        <v>收益法</v>
      </c>
      <c r="B6" s="2384">
        <f ca="1">IF(F6="是",'数据-取费表'!AO6,0)</f>
        <v>14635</v>
      </c>
      <c r="C6" s="1728" t="s">
        <v>1651</v>
      </c>
      <c r="D6" s="2475"/>
      <c r="E6" s="2388">
        <f>IF(OR(A6=0,F6="否"),0,'数据-取费表'!K6+'数据-取费表'!S6)</f>
        <v>12000.23</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6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7.399999999999999">
      <c r="A3" s="3249" t="str">
        <f>IF(项目基本情况!B9="房地产市场价值","估价结果一览表（市场价值不需“结果表-1”）","估价结果一览表")</f>
        <v>估价结果一览表</v>
      </c>
      <c r="B3" s="3249"/>
      <c r="C3" s="3249"/>
      <c r="D3" s="3249"/>
      <c r="E3" s="3249"/>
    </row>
    <row r="4" spans="1:5" ht="18" thickBot="1">
      <c r="A4" s="1390"/>
      <c r="B4" s="3247" t="s">
        <v>917</v>
      </c>
      <c r="C4" s="3247"/>
      <c r="D4" s="3247"/>
      <c r="E4" s="1390"/>
    </row>
    <row r="5" spans="1:5" ht="16.2" thickTop="1">
      <c r="B5" s="3245" t="s">
        <v>909</v>
      </c>
      <c r="C5" s="1391" t="s">
        <v>910</v>
      </c>
      <c r="D5" s="797">
        <f ca="1">结果表!H101</f>
        <v>43142</v>
      </c>
    </row>
    <row r="6" spans="1:5" ht="15.6">
      <c r="B6" s="3245"/>
      <c r="C6" s="1391" t="s">
        <v>911</v>
      </c>
      <c r="D6" s="797" t="str">
        <f ca="1">NUMBERSTRING(INT(D5*10000),2)&amp;"元整"</f>
        <v>肆亿叁仟壹佰肆拾贰万元整</v>
      </c>
    </row>
    <row r="7" spans="1:5" ht="15.6">
      <c r="B7" s="3250"/>
      <c r="C7" s="1392" t="s">
        <v>912</v>
      </c>
      <c r="D7" s="798">
        <f ca="1">结果表!H102</f>
        <v>35951</v>
      </c>
    </row>
    <row r="8" spans="1:5" ht="15.6">
      <c r="B8" s="3251" t="str">
        <f>结果表!E103</f>
        <v>2.估价师知悉的法定优先受偿款</v>
      </c>
      <c r="C8" s="1393" t="s">
        <v>913</v>
      </c>
      <c r="D8" s="798">
        <f>结果表!H103</f>
        <v>0</v>
      </c>
    </row>
    <row r="9" spans="1:5" ht="15.6">
      <c r="B9" s="3253"/>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244" t="str">
        <f>结果表!E107</f>
        <v>3.房地产抵押价值</v>
      </c>
      <c r="C13" s="1396" t="s">
        <v>910</v>
      </c>
      <c r="D13" s="800">
        <f ca="1">结果表!H107</f>
        <v>43142</v>
      </c>
    </row>
    <row r="14" spans="1:5" ht="15.6">
      <c r="B14" s="3245"/>
      <c r="C14" s="1391" t="s">
        <v>911</v>
      </c>
      <c r="D14" s="797" t="str">
        <f ca="1">NUMBERSTRING(INT(D13*10000),2)&amp;"元整"</f>
        <v>肆亿叁仟壹佰肆拾贰万元整</v>
      </c>
    </row>
    <row r="15" spans="1:5" ht="15.6">
      <c r="B15" s="3250"/>
      <c r="C15" s="1392" t="s">
        <v>921</v>
      </c>
      <c r="D15" s="806">
        <f ca="1">结果表!H108</f>
        <v>35951</v>
      </c>
    </row>
    <row r="16" spans="1:5" ht="15.6">
      <c r="B16" s="3251" t="str">
        <f>结果表!E109</f>
        <v>——</v>
      </c>
      <c r="C16" s="1396" t="s">
        <v>922</v>
      </c>
      <c r="D16" s="1397" t="str">
        <f>结果表!H109</f>
        <v>——</v>
      </c>
    </row>
    <row r="17" spans="1:5" ht="15.6">
      <c r="B17" s="3252"/>
      <c r="C17" s="1391" t="s">
        <v>923</v>
      </c>
      <c r="D17" s="797" t="e">
        <f>NUMBERSTRING(INT(D16*10000),2)&amp;"元整"</f>
        <v>#VALUE!</v>
      </c>
    </row>
    <row r="18" spans="1:5" ht="15.6">
      <c r="B18" s="3253"/>
      <c r="C18" s="1392" t="s">
        <v>912</v>
      </c>
      <c r="D18" s="806" t="str">
        <f>结果表!H110</f>
        <v>——</v>
      </c>
    </row>
    <row r="19" spans="1:5" ht="15.6">
      <c r="B19" s="3244" t="str">
        <f>结果表!E111</f>
        <v>——</v>
      </c>
      <c r="C19" s="1396" t="s">
        <v>910</v>
      </c>
      <c r="D19" s="798" t="str">
        <f>结果表!H111</f>
        <v>——</v>
      </c>
    </row>
    <row r="20" spans="1:5" ht="15.6">
      <c r="B20" s="3245"/>
      <c r="C20" s="1391" t="s">
        <v>923</v>
      </c>
      <c r="D20" s="797" t="e">
        <f>NUMBERSTRING(INT(D19*10000),2)&amp;"元整"</f>
        <v>#VALUE!</v>
      </c>
    </row>
    <row r="21" spans="1:5" ht="16.2" thickBot="1">
      <c r="B21" s="3246"/>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12000.230000000001</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431" t="s">
        <v>1667</v>
      </c>
      <c r="D4" s="3432"/>
      <c r="E4" s="3433" t="s">
        <v>1668</v>
      </c>
      <c r="F4" s="3434"/>
      <c r="G4" s="3431" t="s">
        <v>1669</v>
      </c>
      <c r="H4" s="3432"/>
      <c r="I4" s="3431" t="s">
        <v>1670</v>
      </c>
      <c r="J4" s="3432"/>
      <c r="K4" s="1743" t="s">
        <v>1671</v>
      </c>
      <c r="L4" s="2482"/>
      <c r="M4" s="2483"/>
      <c r="N4" s="2483"/>
      <c r="O4" s="2483"/>
      <c r="P4" s="3544" t="s">
        <v>1672</v>
      </c>
      <c r="Q4" s="3545"/>
      <c r="R4" s="3548" t="s">
        <v>1668</v>
      </c>
      <c r="S4" s="3549"/>
      <c r="T4" s="3548" t="s">
        <v>1669</v>
      </c>
      <c r="U4" s="3549"/>
      <c r="V4" s="3455" t="s">
        <v>1670</v>
      </c>
      <c r="W4" s="3455"/>
      <c r="X4" s="1264"/>
      <c r="Y4" s="3548" t="s">
        <v>1672</v>
      </c>
      <c r="Z4" s="3549"/>
      <c r="AA4" s="3543" t="s">
        <v>1668</v>
      </c>
      <c r="AB4" s="3543" t="s">
        <v>1669</v>
      </c>
      <c r="AC4" s="3543" t="s">
        <v>1670</v>
      </c>
    </row>
    <row r="5" spans="1:29">
      <c r="A5" s="348"/>
      <c r="B5" s="349"/>
      <c r="C5" s="3449" t="s">
        <v>1673</v>
      </c>
      <c r="D5" s="3446"/>
      <c r="E5" s="3447" t="s">
        <v>1674</v>
      </c>
      <c r="F5" s="3448"/>
      <c r="G5" s="3449" t="s">
        <v>1675</v>
      </c>
      <c r="H5" s="3446"/>
      <c r="I5" s="3449" t="s">
        <v>1676</v>
      </c>
      <c r="J5" s="3446"/>
      <c r="K5" s="1744"/>
      <c r="L5" s="2482"/>
      <c r="M5" s="2483"/>
      <c r="N5" s="2483"/>
      <c r="O5" s="2483"/>
      <c r="P5" s="3546"/>
      <c r="Q5" s="3438"/>
      <c r="R5" s="3443"/>
      <c r="S5" s="3444"/>
      <c r="T5" s="3443"/>
      <c r="U5" s="3444"/>
      <c r="V5" s="3455"/>
      <c r="W5" s="3455"/>
      <c r="X5" s="1264"/>
      <c r="Y5" s="3443"/>
      <c r="Z5" s="3444"/>
      <c r="AA5" s="3426"/>
      <c r="AB5" s="3426"/>
      <c r="AC5" s="3426"/>
    </row>
    <row r="6" spans="1:29" ht="15" thickBot="1">
      <c r="A6" s="350"/>
      <c r="B6" s="351"/>
      <c r="C6" s="3513" t="s">
        <v>1677</v>
      </c>
      <c r="D6" s="3457"/>
      <c r="E6" s="3550" t="s">
        <v>1677</v>
      </c>
      <c r="F6" s="3459"/>
      <c r="G6" s="3513" t="s">
        <v>1677</v>
      </c>
      <c r="H6" s="3457"/>
      <c r="I6" s="3513" t="s">
        <v>1677</v>
      </c>
      <c r="J6" s="3457"/>
      <c r="K6" s="1744" t="s">
        <v>1678</v>
      </c>
      <c r="L6" s="2482"/>
      <c r="M6" s="2483"/>
      <c r="N6" s="2483"/>
      <c r="O6" s="2483"/>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450" t="s">
        <v>1680</v>
      </c>
      <c r="Q7" s="3462"/>
      <c r="R7" s="664" t="s">
        <v>20</v>
      </c>
      <c r="S7" s="665">
        <f t="shared" ref="S7:S15" si="0">F7</f>
        <v>0</v>
      </c>
      <c r="T7" s="664" t="s">
        <v>20</v>
      </c>
      <c r="U7" s="665">
        <f t="shared" ref="U7:U15" si="1">H7</f>
        <v>0</v>
      </c>
      <c r="V7" s="664" t="s">
        <v>20</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450" t="s">
        <v>1683</v>
      </c>
      <c r="Q8" s="3451"/>
      <c r="R8" s="664" t="s">
        <v>20</v>
      </c>
      <c r="S8" s="665">
        <f t="shared" si="0"/>
        <v>100</v>
      </c>
      <c r="T8" s="664" t="s">
        <v>20</v>
      </c>
      <c r="U8" s="665">
        <f t="shared" si="1"/>
        <v>100</v>
      </c>
      <c r="V8" s="664" t="s">
        <v>20</v>
      </c>
      <c r="W8" s="665">
        <f t="shared" si="2"/>
        <v>100</v>
      </c>
      <c r="X8" s="666"/>
      <c r="Y8" s="3450" t="s">
        <v>1683</v>
      </c>
      <c r="Z8" s="345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46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6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63"/>
      <c r="Q11" s="530" t="str">
        <f t="shared" si="6"/>
        <v>容积率</v>
      </c>
      <c r="R11" s="664" t="s">
        <v>18</v>
      </c>
      <c r="S11" s="665" t="e">
        <f t="shared" si="0"/>
        <v>#N/A</v>
      </c>
      <c r="T11" s="664" t="s">
        <v>18</v>
      </c>
      <c r="U11" s="665" t="e">
        <f t="shared" si="1"/>
        <v>#N/A</v>
      </c>
      <c r="V11" s="664" t="s">
        <v>18</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463"/>
      <c r="Q12" s="530">
        <f t="shared" si="6"/>
        <v>111</v>
      </c>
      <c r="R12" s="664" t="s">
        <v>18</v>
      </c>
      <c r="S12" s="665">
        <f t="shared" si="0"/>
        <v>100</v>
      </c>
      <c r="T12" s="664" t="s">
        <v>18</v>
      </c>
      <c r="U12" s="665">
        <f t="shared" si="1"/>
        <v>100</v>
      </c>
      <c r="V12" s="664" t="s">
        <v>18</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463"/>
      <c r="Q13" s="530">
        <f t="shared" si="6"/>
        <v>111</v>
      </c>
      <c r="R13" s="664" t="s">
        <v>18</v>
      </c>
      <c r="S13" s="665">
        <f t="shared" si="0"/>
        <v>100</v>
      </c>
      <c r="T13" s="664" t="s">
        <v>18</v>
      </c>
      <c r="U13" s="665">
        <f t="shared" si="1"/>
        <v>100</v>
      </c>
      <c r="V13" s="664" t="s">
        <v>18</v>
      </c>
      <c r="W13" s="665">
        <f t="shared" si="2"/>
        <v>100</v>
      </c>
      <c r="X13" s="666"/>
      <c r="Y13" s="333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463"/>
      <c r="Q14" s="530">
        <f t="shared" si="6"/>
        <v>111</v>
      </c>
      <c r="R14" s="664" t="s">
        <v>18</v>
      </c>
      <c r="S14" s="665">
        <f t="shared" si="0"/>
        <v>100</v>
      </c>
      <c r="T14" s="664" t="s">
        <v>18</v>
      </c>
      <c r="U14" s="665">
        <f t="shared" si="1"/>
        <v>100</v>
      </c>
      <c r="V14" s="664" t="s">
        <v>18</v>
      </c>
      <c r="W14" s="665">
        <f t="shared" si="2"/>
        <v>100</v>
      </c>
      <c r="X14" s="666"/>
      <c r="Y14" s="3332"/>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64" t="s">
        <v>1691</v>
      </c>
      <c r="Q15" s="1262" t="str">
        <f t="shared" si="6"/>
        <v>居住社区成熟度</v>
      </c>
      <c r="R15" s="667" t="s">
        <v>18</v>
      </c>
      <c r="S15" s="668">
        <f t="shared" si="0"/>
        <v>100</v>
      </c>
      <c r="T15" s="667" t="s">
        <v>18</v>
      </c>
      <c r="U15" s="668">
        <f t="shared" si="1"/>
        <v>100</v>
      </c>
      <c r="V15" s="667" t="s">
        <v>18</v>
      </c>
      <c r="W15" s="668">
        <f t="shared" si="2"/>
        <v>100</v>
      </c>
      <c r="X15" s="1264"/>
      <c r="Y15" s="346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65"/>
      <c r="Q16" s="1262"/>
      <c r="R16" s="667"/>
      <c r="S16" s="668"/>
      <c r="T16" s="667"/>
      <c r="U16" s="668"/>
      <c r="V16" s="667"/>
      <c r="W16" s="668"/>
      <c r="X16" s="1264"/>
      <c r="Y16" s="3467"/>
      <c r="Z16" s="1263"/>
      <c r="AA16" s="1263">
        <v>1</v>
      </c>
      <c r="AB16" s="1263">
        <v>1</v>
      </c>
      <c r="AC16" s="1263">
        <v>1</v>
      </c>
    </row>
    <row r="17" spans="1:29" ht="151.80000000000001">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65"/>
      <c r="Q17" s="1262" t="str">
        <f>B17</f>
        <v>交通便捷度</v>
      </c>
      <c r="R17" s="667" t="s">
        <v>18</v>
      </c>
      <c r="S17" s="668">
        <f>F17</f>
        <v>100</v>
      </c>
      <c r="T17" s="667" t="s">
        <v>18</v>
      </c>
      <c r="U17" s="668">
        <f>H17</f>
        <v>100</v>
      </c>
      <c r="V17" s="667" t="s">
        <v>18</v>
      </c>
      <c r="W17" s="668">
        <f>J17</f>
        <v>100</v>
      </c>
      <c r="X17" s="1264"/>
      <c r="Y17" s="346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65"/>
      <c r="Q18" s="1262"/>
      <c r="R18" s="667"/>
      <c r="S18" s="668"/>
      <c r="T18" s="667"/>
      <c r="U18" s="668"/>
      <c r="V18" s="667"/>
      <c r="W18" s="668"/>
      <c r="X18" s="1264"/>
      <c r="Y18" s="3467"/>
      <c r="Z18" s="1263"/>
      <c r="AA18" s="1263">
        <v>1</v>
      </c>
      <c r="AB18" s="1263">
        <v>1</v>
      </c>
      <c r="AC18" s="1263">
        <v>1</v>
      </c>
    </row>
    <row r="19" spans="1:29" ht="55.2">
      <c r="A19" s="367"/>
      <c r="B19" s="390" t="s">
        <v>1258</v>
      </c>
      <c r="C19" s="1753" t="str">
        <f>估价对象房地状况!C7</f>
        <v>估价对象所在区域公共配套设施齐备情况：商场（东环广场、</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65"/>
      <c r="Q19" s="1262" t="str">
        <f>B19</f>
        <v>公共配套设施</v>
      </c>
      <c r="R19" s="667" t="s">
        <v>18</v>
      </c>
      <c r="S19" s="668">
        <f>F19</f>
        <v>100</v>
      </c>
      <c r="T19" s="667" t="s">
        <v>18</v>
      </c>
      <c r="U19" s="668">
        <f>H19</f>
        <v>100</v>
      </c>
      <c r="V19" s="667" t="s">
        <v>18</v>
      </c>
      <c r="W19" s="668">
        <f>J19</f>
        <v>100</v>
      </c>
      <c r="X19" s="1264"/>
      <c r="Y19" s="346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65"/>
      <c r="Q20" s="1262"/>
      <c r="R20" s="667"/>
      <c r="S20" s="668"/>
      <c r="T20" s="667"/>
      <c r="U20" s="668"/>
      <c r="V20" s="667"/>
      <c r="W20" s="668"/>
      <c r="X20" s="1264"/>
      <c r="Y20" s="3467"/>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65"/>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65"/>
      <c r="Q22" s="1262"/>
      <c r="R22" s="667"/>
      <c r="S22" s="668"/>
      <c r="T22" s="667"/>
      <c r="U22" s="668"/>
      <c r="V22" s="667"/>
      <c r="W22" s="668"/>
      <c r="X22" s="1264"/>
      <c r="Y22" s="3467"/>
      <c r="Z22" s="1263"/>
      <c r="AA22" s="1263">
        <v>1</v>
      </c>
      <c r="AB22" s="1263">
        <v>1</v>
      </c>
      <c r="AC22" s="1263">
        <v>1</v>
      </c>
    </row>
    <row r="23" spans="1:29" ht="220.8">
      <c r="A23" s="367"/>
      <c r="B23" s="390" t="s">
        <v>1261</v>
      </c>
      <c r="C23" s="1753"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65"/>
      <c r="Q23" s="1262" t="str">
        <f>B23</f>
        <v>自然及人文环境</v>
      </c>
      <c r="R23" s="667" t="s">
        <v>18</v>
      </c>
      <c r="S23" s="668">
        <f>F23</f>
        <v>100</v>
      </c>
      <c r="T23" s="667" t="s">
        <v>18</v>
      </c>
      <c r="U23" s="668">
        <f>H23</f>
        <v>100</v>
      </c>
      <c r="V23" s="667" t="s">
        <v>18</v>
      </c>
      <c r="W23" s="668">
        <f>J23</f>
        <v>100</v>
      </c>
      <c r="X23" s="1264"/>
      <c r="Y23" s="346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65"/>
      <c r="Q24" s="1262"/>
      <c r="R24" s="667"/>
      <c r="S24" s="668"/>
      <c r="T24" s="667"/>
      <c r="U24" s="668"/>
      <c r="V24" s="667"/>
      <c r="W24" s="668"/>
      <c r="X24" s="1264"/>
      <c r="Y24" s="346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6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6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65"/>
      <c r="Q26" s="1262" t="str">
        <f t="shared" si="11"/>
        <v>朝向</v>
      </c>
      <c r="R26" s="667" t="s">
        <v>18</v>
      </c>
      <c r="S26" s="668">
        <f t="shared" si="12"/>
        <v>100</v>
      </c>
      <c r="T26" s="667" t="s">
        <v>18</v>
      </c>
      <c r="U26" s="668">
        <f t="shared" si="13"/>
        <v>100</v>
      </c>
      <c r="V26" s="667" t="s">
        <v>18</v>
      </c>
      <c r="W26" s="668">
        <f t="shared" si="14"/>
        <v>100</v>
      </c>
      <c r="X26" s="1264"/>
      <c r="Y26" s="346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65"/>
      <c r="Q27" s="530">
        <f t="shared" si="11"/>
        <v>111</v>
      </c>
      <c r="R27" s="664" t="s">
        <v>18</v>
      </c>
      <c r="S27" s="665">
        <f t="shared" si="12"/>
        <v>100</v>
      </c>
      <c r="T27" s="664" t="s">
        <v>18</v>
      </c>
      <c r="U27" s="665">
        <f t="shared" si="13"/>
        <v>100</v>
      </c>
      <c r="V27" s="664" t="s">
        <v>18</v>
      </c>
      <c r="W27" s="665">
        <f t="shared" si="14"/>
        <v>100</v>
      </c>
      <c r="X27" s="666"/>
      <c r="Y27" s="346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65"/>
      <c r="Q28" s="1262">
        <f t="shared" si="11"/>
        <v>111</v>
      </c>
      <c r="R28" s="667" t="s">
        <v>18</v>
      </c>
      <c r="S28" s="668">
        <f t="shared" si="12"/>
        <v>100</v>
      </c>
      <c r="T28" s="667" t="s">
        <v>18</v>
      </c>
      <c r="U28" s="668">
        <f t="shared" si="13"/>
        <v>100</v>
      </c>
      <c r="V28" s="667" t="s">
        <v>18</v>
      </c>
      <c r="W28" s="668">
        <f t="shared" si="14"/>
        <v>100</v>
      </c>
      <c r="X28" s="1264"/>
      <c r="Y28" s="346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65"/>
      <c r="Q29" s="1262">
        <f t="shared" si="11"/>
        <v>111</v>
      </c>
      <c r="R29" s="667" t="s">
        <v>18</v>
      </c>
      <c r="S29" s="668">
        <f t="shared" si="12"/>
        <v>100</v>
      </c>
      <c r="T29" s="667" t="s">
        <v>18</v>
      </c>
      <c r="U29" s="668">
        <f t="shared" si="13"/>
        <v>100</v>
      </c>
      <c r="V29" s="667" t="s">
        <v>18</v>
      </c>
      <c r="W29" s="668">
        <f t="shared" si="14"/>
        <v>100</v>
      </c>
      <c r="X29" s="1264"/>
      <c r="Y29" s="346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65"/>
      <c r="Q30" s="1262">
        <f t="shared" si="11"/>
        <v>111</v>
      </c>
      <c r="R30" s="667" t="s">
        <v>18</v>
      </c>
      <c r="S30" s="668">
        <f t="shared" si="12"/>
        <v>100</v>
      </c>
      <c r="T30" s="667" t="s">
        <v>18</v>
      </c>
      <c r="U30" s="668">
        <f t="shared" si="13"/>
        <v>100</v>
      </c>
      <c r="V30" s="667" t="s">
        <v>18</v>
      </c>
      <c r="W30" s="668">
        <f t="shared" si="14"/>
        <v>100</v>
      </c>
      <c r="X30" s="1264"/>
      <c r="Y30" s="3467"/>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65"/>
      <c r="Q31" s="1262">
        <f t="shared" si="11"/>
        <v>111</v>
      </c>
      <c r="R31" s="667" t="s">
        <v>18</v>
      </c>
      <c r="S31" s="668">
        <f t="shared" si="12"/>
        <v>100</v>
      </c>
      <c r="T31" s="667" t="s">
        <v>18</v>
      </c>
      <c r="U31" s="668">
        <f t="shared" si="13"/>
        <v>100</v>
      </c>
      <c r="V31" s="667" t="s">
        <v>18</v>
      </c>
      <c r="W31" s="668">
        <f t="shared" si="14"/>
        <v>100</v>
      </c>
      <c r="X31" s="1264"/>
      <c r="Y31" s="346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68" t="s">
        <v>1696</v>
      </c>
      <c r="Q32" s="1262" t="str">
        <f t="shared" si="11"/>
        <v>建筑类型</v>
      </c>
      <c r="R32" s="667" t="s">
        <v>18</v>
      </c>
      <c r="S32" s="668">
        <f t="shared" si="12"/>
        <v>100</v>
      </c>
      <c r="T32" s="667" t="s">
        <v>18</v>
      </c>
      <c r="U32" s="668">
        <f t="shared" si="13"/>
        <v>100</v>
      </c>
      <c r="V32" s="667" t="s">
        <v>18</v>
      </c>
      <c r="W32" s="668">
        <f t="shared" si="14"/>
        <v>100</v>
      </c>
      <c r="X32" s="1264"/>
      <c r="Y32" s="347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69"/>
      <c r="Q33" s="531" t="str">
        <f t="shared" si="11"/>
        <v>项目建筑规模</v>
      </c>
      <c r="R33" s="669" t="s">
        <v>18</v>
      </c>
      <c r="S33" s="670" t="e">
        <f t="shared" si="12"/>
        <v>#N/A</v>
      </c>
      <c r="T33" s="669" t="s">
        <v>18</v>
      </c>
      <c r="U33" s="670" t="e">
        <f t="shared" si="13"/>
        <v>#N/A</v>
      </c>
      <c r="V33" s="669" t="s">
        <v>18</v>
      </c>
      <c r="W33" s="670" t="e">
        <f t="shared" si="14"/>
        <v>#N/A</v>
      </c>
      <c r="X33" s="671"/>
      <c r="Y33" s="347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69"/>
      <c r="Q34" s="1262" t="str">
        <f t="shared" si="11"/>
        <v>建筑结构</v>
      </c>
      <c r="R34" s="667" t="s">
        <v>18</v>
      </c>
      <c r="S34" s="668">
        <f t="shared" si="12"/>
        <v>100</v>
      </c>
      <c r="T34" s="667" t="s">
        <v>18</v>
      </c>
      <c r="U34" s="668">
        <f t="shared" si="13"/>
        <v>100</v>
      </c>
      <c r="V34" s="667" t="s">
        <v>18</v>
      </c>
      <c r="W34" s="668">
        <f t="shared" si="14"/>
        <v>100</v>
      </c>
      <c r="X34" s="1264"/>
      <c r="Y34" s="347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69"/>
      <c r="Q35" s="1262" t="str">
        <f t="shared" si="11"/>
        <v>建筑品质</v>
      </c>
      <c r="R35" s="667" t="s">
        <v>18</v>
      </c>
      <c r="S35" s="668">
        <f t="shared" si="12"/>
        <v>100</v>
      </c>
      <c r="T35" s="667" t="s">
        <v>18</v>
      </c>
      <c r="U35" s="668">
        <f t="shared" si="13"/>
        <v>100</v>
      </c>
      <c r="V35" s="667" t="s">
        <v>18</v>
      </c>
      <c r="W35" s="668">
        <f t="shared" si="14"/>
        <v>100</v>
      </c>
      <c r="X35" s="1264"/>
      <c r="Y35" s="347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69"/>
      <c r="Q36" s="1262" t="str">
        <f t="shared" si="11"/>
        <v>公共部分装修</v>
      </c>
      <c r="R36" s="667" t="s">
        <v>18</v>
      </c>
      <c r="S36" s="668">
        <f t="shared" si="12"/>
        <v>100</v>
      </c>
      <c r="T36" s="667" t="s">
        <v>18</v>
      </c>
      <c r="U36" s="668">
        <f t="shared" si="13"/>
        <v>100</v>
      </c>
      <c r="V36" s="667" t="s">
        <v>18</v>
      </c>
      <c r="W36" s="668">
        <f t="shared" si="14"/>
        <v>100</v>
      </c>
      <c r="X36" s="1264"/>
      <c r="Y36" s="347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69"/>
      <c r="Q37" s="530" t="str">
        <f t="shared" si="11"/>
        <v>成新度</v>
      </c>
      <c r="R37" s="664" t="s">
        <v>18</v>
      </c>
      <c r="S37" s="665" t="e">
        <f t="shared" si="12"/>
        <v>#N/A</v>
      </c>
      <c r="T37" s="664" t="s">
        <v>18</v>
      </c>
      <c r="U37" s="665" t="e">
        <f t="shared" si="13"/>
        <v>#N/A</v>
      </c>
      <c r="V37" s="664" t="s">
        <v>18</v>
      </c>
      <c r="W37" s="665" t="e">
        <f t="shared" si="14"/>
        <v>#N/A</v>
      </c>
      <c r="X37" s="666"/>
      <c r="Y37" s="347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69" t="s">
        <v>1696</v>
      </c>
      <c r="Q38" s="1262" t="str">
        <f t="shared" si="11"/>
        <v>物业管理</v>
      </c>
      <c r="R38" s="667" t="s">
        <v>18</v>
      </c>
      <c r="S38" s="668">
        <f t="shared" si="12"/>
        <v>100</v>
      </c>
      <c r="T38" s="667" t="s">
        <v>18</v>
      </c>
      <c r="U38" s="668">
        <f t="shared" si="13"/>
        <v>100</v>
      </c>
      <c r="V38" s="667" t="s">
        <v>18</v>
      </c>
      <c r="W38" s="668">
        <f t="shared" si="14"/>
        <v>100</v>
      </c>
      <c r="X38" s="1264"/>
      <c r="Y38" s="347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69"/>
      <c r="Q39" s="1262" t="str">
        <f t="shared" si="11"/>
        <v>市政基础设施</v>
      </c>
      <c r="R39" s="667" t="s">
        <v>18</v>
      </c>
      <c r="S39" s="668">
        <f t="shared" si="12"/>
        <v>100</v>
      </c>
      <c r="T39" s="667" t="s">
        <v>18</v>
      </c>
      <c r="U39" s="668">
        <f t="shared" si="13"/>
        <v>100</v>
      </c>
      <c r="V39" s="667" t="s">
        <v>18</v>
      </c>
      <c r="W39" s="668">
        <f t="shared" si="14"/>
        <v>100</v>
      </c>
      <c r="X39" s="1264"/>
      <c r="Y39" s="347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69"/>
      <c r="Q40" s="1262" t="str">
        <f t="shared" si="11"/>
        <v>房型</v>
      </c>
      <c r="R40" s="667" t="s">
        <v>18</v>
      </c>
      <c r="S40" s="668">
        <f t="shared" si="12"/>
        <v>100</v>
      </c>
      <c r="T40" s="667" t="s">
        <v>18</v>
      </c>
      <c r="U40" s="668">
        <f t="shared" si="13"/>
        <v>100</v>
      </c>
      <c r="V40" s="667" t="s">
        <v>18</v>
      </c>
      <c r="W40" s="668">
        <f t="shared" si="14"/>
        <v>100</v>
      </c>
      <c r="X40" s="1264"/>
      <c r="Y40" s="347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69"/>
      <c r="Q41" s="531" t="str">
        <f t="shared" si="11"/>
        <v>单套/主力户型建筑面积</v>
      </c>
      <c r="R41" s="669" t="s">
        <v>18</v>
      </c>
      <c r="S41" s="670">
        <f t="shared" si="12"/>
        <v>100</v>
      </c>
      <c r="T41" s="669" t="s">
        <v>18</v>
      </c>
      <c r="U41" s="670">
        <f t="shared" si="13"/>
        <v>100</v>
      </c>
      <c r="V41" s="669" t="s">
        <v>18</v>
      </c>
      <c r="W41" s="670">
        <f t="shared" si="14"/>
        <v>100</v>
      </c>
      <c r="X41" s="671"/>
      <c r="Y41" s="347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69"/>
      <c r="Q42" s="1262" t="str">
        <f t="shared" si="11"/>
        <v>内部装修</v>
      </c>
      <c r="R42" s="667" t="s">
        <v>18</v>
      </c>
      <c r="S42" s="668">
        <f t="shared" si="12"/>
        <v>100</v>
      </c>
      <c r="T42" s="667" t="s">
        <v>18</v>
      </c>
      <c r="U42" s="668">
        <f t="shared" si="13"/>
        <v>100</v>
      </c>
      <c r="V42" s="667" t="s">
        <v>18</v>
      </c>
      <c r="W42" s="668">
        <f t="shared" si="14"/>
        <v>100</v>
      </c>
      <c r="X42" s="1264"/>
      <c r="Y42" s="347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69"/>
      <c r="Q43" s="1262" t="str">
        <f t="shared" si="11"/>
        <v>内部装修维护情况</v>
      </c>
      <c r="R43" s="667" t="s">
        <v>18</v>
      </c>
      <c r="S43" s="668">
        <f t="shared" si="12"/>
        <v>100</v>
      </c>
      <c r="T43" s="667" t="s">
        <v>18</v>
      </c>
      <c r="U43" s="668">
        <f t="shared" si="13"/>
        <v>100</v>
      </c>
      <c r="V43" s="667" t="s">
        <v>18</v>
      </c>
      <c r="W43" s="668">
        <f t="shared" si="14"/>
        <v>100</v>
      </c>
      <c r="X43" s="1264"/>
      <c r="Y43" s="3471"/>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69"/>
      <c r="Q44" s="530">
        <f t="shared" si="11"/>
        <v>111</v>
      </c>
      <c r="R44" s="664" t="s">
        <v>18</v>
      </c>
      <c r="S44" s="665">
        <f t="shared" si="12"/>
        <v>100</v>
      </c>
      <c r="T44" s="664" t="s">
        <v>18</v>
      </c>
      <c r="U44" s="665">
        <f t="shared" si="13"/>
        <v>100</v>
      </c>
      <c r="V44" s="664" t="s">
        <v>18</v>
      </c>
      <c r="W44" s="665">
        <f t="shared" si="14"/>
        <v>100</v>
      </c>
      <c r="X44" s="666"/>
      <c r="Y44" s="34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69"/>
      <c r="Q45" s="1262">
        <f t="shared" si="11"/>
        <v>111</v>
      </c>
      <c r="R45" s="667" t="s">
        <v>18</v>
      </c>
      <c r="S45" s="668">
        <f t="shared" si="12"/>
        <v>100</v>
      </c>
      <c r="T45" s="667" t="s">
        <v>18</v>
      </c>
      <c r="U45" s="668">
        <f t="shared" si="13"/>
        <v>100</v>
      </c>
      <c r="V45" s="667" t="s">
        <v>18</v>
      </c>
      <c r="W45" s="668">
        <f t="shared" si="14"/>
        <v>100</v>
      </c>
      <c r="X45" s="1264"/>
      <c r="Y45" s="347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70"/>
      <c r="Q46" s="1262">
        <f t="shared" si="11"/>
        <v>111</v>
      </c>
      <c r="R46" s="667" t="s">
        <v>17</v>
      </c>
      <c r="S46" s="668">
        <f t="shared" si="12"/>
        <v>100</v>
      </c>
      <c r="T46" s="667" t="s">
        <v>17</v>
      </c>
      <c r="U46" s="668">
        <f t="shared" si="13"/>
        <v>100</v>
      </c>
      <c r="V46" s="667" t="s">
        <v>17</v>
      </c>
      <c r="W46" s="668">
        <f t="shared" si="14"/>
        <v>100</v>
      </c>
      <c r="X46" s="1264"/>
      <c r="Y46" s="3472"/>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0"/>
      <c r="M47" s="2483"/>
      <c r="N47" s="2483"/>
      <c r="O47" s="2483"/>
      <c r="P47" s="3473" t="str">
        <f>A47</f>
        <v>成交单价（元/平方米）</v>
      </c>
      <c r="Q47" s="3473"/>
      <c r="R47" s="3455">
        <f>E47</f>
        <v>0</v>
      </c>
      <c r="S47" s="3455"/>
      <c r="T47" s="3455">
        <f>G47</f>
        <v>0</v>
      </c>
      <c r="U47" s="3455"/>
      <c r="V47" s="3455">
        <f>I47</f>
        <v>0</v>
      </c>
      <c r="W47" s="3455"/>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0"/>
      <c r="M48" s="2483"/>
      <c r="N48" s="2483"/>
      <c r="O48" s="2483"/>
      <c r="P48" s="3473" t="str">
        <f>A48</f>
        <v>比较价值（元/平方米）</v>
      </c>
      <c r="Q48" s="3473"/>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0"/>
      <c r="M49" s="2483"/>
      <c r="N49" s="2483"/>
      <c r="O49" s="2483"/>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2700-000000000000}">
      <formula1>环境</formula1>
    </dataValidation>
    <dataValidation type="list" allowBlank="1" showInputMessage="1" showErrorMessage="1" sqref="E16 G16 I16 C16" xr:uid="{00000000-0002-0000-2700-000001000000}">
      <formula1>居住社区成熟度</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E20 I20" xr:uid="{00000000-0002-0000-2700-000003000000}">
      <formula1>公共配套设施</formula1>
    </dataValidation>
    <dataValidation type="list" allowBlank="1" showInputMessage="1" showErrorMessage="1" sqref="E25 G25 I25 C25" xr:uid="{00000000-0002-0000-2700-000004000000}">
      <formula1>住宅楼层</formula1>
    </dataValidation>
    <dataValidation type="list" allowBlank="1" showInputMessage="1" showErrorMessage="1" sqref="E26 G26 I26 C26" xr:uid="{00000000-0002-0000-2700-000005000000}">
      <formula1>住宅朝向</formula1>
    </dataValidation>
    <dataValidation type="list" allowBlank="1" showInputMessage="1" showErrorMessage="1" sqref="E32 G32 I32 C32" xr:uid="{00000000-0002-0000-2700-000006000000}">
      <formula1>住宅建筑类型</formula1>
    </dataValidation>
    <dataValidation type="list" allowBlank="1" showInputMessage="1" showErrorMessage="1" sqref="E34 G34 I34 C34" xr:uid="{00000000-0002-0000-2700-000007000000}">
      <formula1>住宅建筑结构</formula1>
    </dataValidation>
    <dataValidation type="list" allowBlank="1" showInputMessage="1" showErrorMessage="1" sqref="E35 G35 I35 C35" xr:uid="{00000000-0002-0000-2700-000008000000}">
      <formula1>住宅建筑品质</formula1>
    </dataValidation>
    <dataValidation type="list" allowBlank="1" showInputMessage="1" showErrorMessage="1" sqref="E36 G36 I36 C36" xr:uid="{00000000-0002-0000-2700-000009000000}">
      <formula1>住宅公共部分装修</formula1>
    </dataValidation>
    <dataValidation type="list" allowBlank="1" showInputMessage="1" showErrorMessage="1" sqref="E38 G38 I38 C38" xr:uid="{00000000-0002-0000-2700-00000A000000}">
      <formula1>住宅物业管理</formula1>
    </dataValidation>
    <dataValidation type="list" allowBlank="1" showInputMessage="1" showErrorMessage="1" sqref="E39 G39 I39 C39" xr:uid="{00000000-0002-0000-2700-00000B000000}">
      <formula1>住宅基础设施水平</formula1>
    </dataValidation>
    <dataValidation type="list" allowBlank="1" showInputMessage="1" showErrorMessage="1" sqref="E40 G40 I40 C40" xr:uid="{00000000-0002-0000-2700-00000C000000}">
      <formula1>住宅房型</formula1>
    </dataValidation>
    <dataValidation type="list" allowBlank="1" showInputMessage="1" showErrorMessage="1" sqref="E42 G42 I42 C42" xr:uid="{00000000-0002-0000-2700-00000D000000}">
      <formula1>住宅内部装修</formula1>
    </dataValidation>
    <dataValidation type="list" allowBlank="1" showInputMessage="1" showErrorMessage="1" sqref="E43 G43 I43 C43" xr:uid="{00000000-0002-0000-2700-00000E000000}">
      <formula1>内部装修维护情况</formula1>
    </dataValidation>
    <dataValidation type="list" allowBlank="1" showInputMessage="1" showErrorMessage="1" sqref="E8 G8 I8 C8" xr:uid="{00000000-0002-0000-2700-00000F000000}">
      <formula1>住宅交易情况</formula1>
    </dataValidation>
    <dataValidation type="list" allowBlank="1" showInputMessage="1" showErrorMessage="1" sqref="D1" xr:uid="{00000000-0002-0000-2700-000010000000}">
      <formula1>项目类型</formula1>
    </dataValidation>
    <dataValidation type="list" allowBlank="1" showInputMessage="1" showErrorMessage="1" sqref="E9 G9 I9" xr:uid="{00000000-0002-0000-2700-000011000000}">
      <formula1>住宅用途</formula1>
    </dataValidation>
    <dataValidation type="list" allowBlank="1" showInputMessage="1" showErrorMessage="1" sqref="C22 E22 G22 I22" xr:uid="{00000000-0002-0000-2700-000012000000}">
      <formula1>基础设施水平</formula1>
    </dataValidation>
    <dataValidation type="list" allowBlank="1" showInputMessage="1" showErrorMessage="1" sqref="F1" xr:uid="{00000000-0002-0000-2700-000013000000}">
      <formula1>"售价,租金"</formula1>
    </dataValidation>
    <dataValidation type="list" allowBlank="1" showInputMessage="1" showErrorMessage="1" sqref="C2" xr:uid="{00000000-0002-0000-2700-000014000000}">
      <formula1>"需扣减承租人权益,——"</formula1>
    </dataValidation>
    <dataValidation type="list" allowBlank="1" showInputMessage="1" showErrorMessage="1" sqref="F2" xr:uid="{00000000-0002-0000-2700-000015000000}">
      <formula1>估价方法</formula1>
    </dataValidation>
    <dataValidation type="list" allowBlank="1" showInputMessage="1" showErrorMessage="1" sqref="D48" xr:uid="{00000000-0002-0000-2700-000016000000}">
      <formula1>"简单平均,加权平均"</formula1>
    </dataValidation>
    <dataValidation type="list" allowBlank="1" showInputMessage="1" showErrorMessage="1" sqref="E1" xr:uid="{00000000-0002-0000-2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12000.230000000001</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544" t="s">
        <v>1775</v>
      </c>
      <c r="Q4" s="3545"/>
      <c r="R4" s="3548" t="s">
        <v>1771</v>
      </c>
      <c r="S4" s="3549"/>
      <c r="T4" s="3548" t="s">
        <v>1772</v>
      </c>
      <c r="U4" s="3549"/>
      <c r="V4" s="3455" t="s">
        <v>1773</v>
      </c>
      <c r="W4" s="3455"/>
      <c r="X4" s="1264"/>
      <c r="Y4" s="3548" t="s">
        <v>1775</v>
      </c>
      <c r="Z4" s="3549"/>
      <c r="AA4" s="3543" t="s">
        <v>1771</v>
      </c>
      <c r="AB4" s="3455" t="s">
        <v>1772</v>
      </c>
      <c r="AC4" s="3543" t="s">
        <v>1773</v>
      </c>
    </row>
    <row r="5" spans="1:29">
      <c r="A5" s="348"/>
      <c r="B5" s="349"/>
      <c r="C5" s="3449" t="s">
        <v>1673</v>
      </c>
      <c r="D5" s="3446"/>
      <c r="E5" s="3447" t="s">
        <v>1674</v>
      </c>
      <c r="F5" s="3448"/>
      <c r="G5" s="3449" t="s">
        <v>1675</v>
      </c>
      <c r="H5" s="3446"/>
      <c r="I5" s="3449" t="s">
        <v>1676</v>
      </c>
      <c r="J5" s="3446"/>
      <c r="K5" s="537"/>
      <c r="L5" s="2482"/>
      <c r="M5" s="2483"/>
      <c r="N5" s="2483"/>
      <c r="O5" s="2483"/>
      <c r="P5" s="3546"/>
      <c r="Q5" s="3438"/>
      <c r="R5" s="3443"/>
      <c r="S5" s="3444"/>
      <c r="T5" s="3443"/>
      <c r="U5" s="3444"/>
      <c r="V5" s="3455"/>
      <c r="W5" s="3455"/>
      <c r="X5" s="1264"/>
      <c r="Y5" s="3443"/>
      <c r="Z5" s="3444"/>
      <c r="AA5" s="3426"/>
      <c r="AB5" s="3455"/>
      <c r="AC5" s="3426"/>
    </row>
    <row r="6" spans="1:29" ht="15" thickBot="1">
      <c r="A6" s="350"/>
      <c r="B6" s="351"/>
      <c r="C6" s="3513" t="s">
        <v>1677</v>
      </c>
      <c r="D6" s="3457"/>
      <c r="E6" s="3550" t="s">
        <v>1677</v>
      </c>
      <c r="F6" s="3459"/>
      <c r="G6" s="3513" t="s">
        <v>1677</v>
      </c>
      <c r="H6" s="3457"/>
      <c r="I6" s="3513" t="s">
        <v>1677</v>
      </c>
      <c r="J6" s="3457"/>
      <c r="K6" s="537" t="s">
        <v>1678</v>
      </c>
      <c r="L6" s="2482"/>
      <c r="M6" s="2483"/>
      <c r="N6" s="2483"/>
      <c r="O6" s="2483"/>
      <c r="P6" s="3547"/>
      <c r="Q6" s="3440"/>
      <c r="R6" s="3443"/>
      <c r="S6" s="3444"/>
      <c r="T6" s="3452"/>
      <c r="U6" s="3453"/>
      <c r="V6" s="3455"/>
      <c r="W6" s="3455"/>
      <c r="X6" s="1264"/>
      <c r="Y6" s="3452"/>
      <c r="Z6" s="3453"/>
      <c r="AA6" s="3427"/>
      <c r="AB6" s="3455"/>
      <c r="AC6" s="3427"/>
    </row>
    <row r="7" spans="1:29" s="102" customFormat="1" ht="15" thickBot="1">
      <c r="A7" s="352" t="s">
        <v>1679</v>
      </c>
      <c r="B7" s="353"/>
      <c r="C7" s="354">
        <f>'数据-取费表'!B2</f>
        <v>45722</v>
      </c>
      <c r="D7" s="355">
        <v>100</v>
      </c>
      <c r="E7" s="356"/>
      <c r="F7" s="357">
        <f>SUMIF(58:58,YEAR(E7)&amp;"-"&amp;MONTH(E7),59:59)</f>
        <v>0</v>
      </c>
      <c r="G7" s="356"/>
      <c r="H7" s="355">
        <f>SUMIF(58:58,YEAR(G7)&amp;"-"&amp;MONTH(G7),59:59)</f>
        <v>0</v>
      </c>
      <c r="I7" s="356"/>
      <c r="J7" s="355">
        <f>SUMIF(58:58,YEAR(I7)&amp;"-"&amp;MONTH(I7),59:59)</f>
        <v>0</v>
      </c>
      <c r="K7" s="38"/>
      <c r="L7" s="2484"/>
      <c r="M7" s="2436"/>
      <c r="N7" s="2436"/>
      <c r="O7" s="2436"/>
      <c r="P7" s="3450" t="s">
        <v>1680</v>
      </c>
      <c r="Q7" s="346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50" t="s">
        <v>1683</v>
      </c>
      <c r="Q8" s="3451"/>
      <c r="R8" s="664" t="s">
        <v>14</v>
      </c>
      <c r="S8" s="665">
        <f t="shared" si="0"/>
        <v>100</v>
      </c>
      <c r="T8" s="664" t="s">
        <v>14</v>
      </c>
      <c r="U8" s="665">
        <f t="shared" si="1"/>
        <v>100</v>
      </c>
      <c r="V8" s="664" t="s">
        <v>14</v>
      </c>
      <c r="W8" s="665">
        <f t="shared" si="2"/>
        <v>100</v>
      </c>
      <c r="X8" s="666"/>
      <c r="Y8" s="3450" t="s">
        <v>1683</v>
      </c>
      <c r="Z8" s="345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6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6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63"/>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6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6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6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64" t="s">
        <v>1691</v>
      </c>
      <c r="Q15" s="1262" t="str">
        <f t="shared" si="6"/>
        <v>商业繁华度</v>
      </c>
      <c r="R15" s="667" t="s">
        <v>14</v>
      </c>
      <c r="S15" s="668">
        <f t="shared" si="0"/>
        <v>100</v>
      </c>
      <c r="T15" s="667" t="s">
        <v>14</v>
      </c>
      <c r="U15" s="668">
        <f t="shared" si="1"/>
        <v>100</v>
      </c>
      <c r="V15" s="667" t="s">
        <v>14</v>
      </c>
      <c r="W15" s="668">
        <f t="shared" si="2"/>
        <v>100</v>
      </c>
      <c r="X15" s="1264"/>
      <c r="Y15" s="346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65"/>
      <c r="Q16" s="1262"/>
      <c r="R16" s="667"/>
      <c r="S16" s="668"/>
      <c r="T16" s="667"/>
      <c r="U16" s="668"/>
      <c r="V16" s="667"/>
      <c r="W16" s="668"/>
      <c r="X16" s="1264"/>
      <c r="Y16" s="3467"/>
      <c r="Z16" s="1263"/>
      <c r="AA16" s="1263">
        <v>1</v>
      </c>
      <c r="AB16" s="1263">
        <v>1</v>
      </c>
      <c r="AC16" s="1263">
        <v>1</v>
      </c>
    </row>
    <row r="17" spans="1:29" ht="165.6">
      <c r="A17" s="367"/>
      <c r="B17" s="390" t="s">
        <v>1259</v>
      </c>
      <c r="C17" s="1753" t="str">
        <f>估价对象房地状况!C6</f>
        <v>估价对象临城市快速路——东二环，公交：44、75、142、200，距地铁2号线、3号线东四十条站约352米，项目内部有停车位，停车便捷程度较好，综合评价交通便捷度较好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65"/>
      <c r="Q17" s="1262" t="str">
        <f>B17</f>
        <v>交通便捷度</v>
      </c>
      <c r="R17" s="667" t="s">
        <v>14</v>
      </c>
      <c r="S17" s="668">
        <f>F17</f>
        <v>100</v>
      </c>
      <c r="T17" s="667" t="s">
        <v>14</v>
      </c>
      <c r="U17" s="668">
        <f>H17</f>
        <v>100</v>
      </c>
      <c r="V17" s="667" t="s">
        <v>14</v>
      </c>
      <c r="W17" s="668">
        <f>J17</f>
        <v>100</v>
      </c>
      <c r="X17" s="1264"/>
      <c r="Y17" s="346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65"/>
      <c r="Q18" s="1262"/>
      <c r="R18" s="667"/>
      <c r="S18" s="668"/>
      <c r="T18" s="667"/>
      <c r="U18" s="668"/>
      <c r="V18" s="667"/>
      <c r="W18" s="668"/>
      <c r="X18" s="1264"/>
      <c r="Y18" s="3467"/>
      <c r="Z18" s="1263"/>
      <c r="AA18" s="1263">
        <v>1</v>
      </c>
      <c r="AB18" s="1263">
        <v>1</v>
      </c>
      <c r="AC18" s="1263">
        <v>1</v>
      </c>
    </row>
    <row r="19" spans="1:29" ht="55.2">
      <c r="A19" s="367"/>
      <c r="B19" s="390" t="s">
        <v>1778</v>
      </c>
      <c r="C19" s="1753" t="str">
        <f>估价对象房地状况!C7</f>
        <v>估价对象所在区域公共配套设施齐备情况：商场（东环广场、</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65"/>
      <c r="Q19" s="1262" t="str">
        <f>B19</f>
        <v>公共配套设施</v>
      </c>
      <c r="R19" s="667" t="s">
        <v>14</v>
      </c>
      <c r="S19" s="668">
        <f>F19</f>
        <v>100</v>
      </c>
      <c r="T19" s="667" t="s">
        <v>14</v>
      </c>
      <c r="U19" s="668">
        <f>H19</f>
        <v>100</v>
      </c>
      <c r="V19" s="667" t="s">
        <v>14</v>
      </c>
      <c r="W19" s="668">
        <f>J19</f>
        <v>100</v>
      </c>
      <c r="X19" s="1264"/>
      <c r="Y19" s="346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65"/>
      <c r="Q20" s="1262"/>
      <c r="R20" s="667"/>
      <c r="S20" s="668"/>
      <c r="T20" s="667"/>
      <c r="U20" s="668"/>
      <c r="V20" s="667"/>
      <c r="W20" s="668"/>
      <c r="X20" s="1264"/>
      <c r="Y20" s="3467"/>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65"/>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465"/>
      <c r="Q22" s="1262"/>
      <c r="R22" s="667"/>
      <c r="S22" s="668"/>
      <c r="T22" s="667"/>
      <c r="U22" s="668"/>
      <c r="V22" s="667"/>
      <c r="W22" s="668"/>
      <c r="X22" s="1264"/>
      <c r="Y22" s="3467"/>
      <c r="Z22" s="1263"/>
      <c r="AA22" s="1263">
        <v>1</v>
      </c>
      <c r="AB22" s="1263">
        <v>1</v>
      </c>
      <c r="AC22" s="1263">
        <v>1</v>
      </c>
    </row>
    <row r="23" spans="1:29" ht="220.8">
      <c r="A23" s="367"/>
      <c r="B23" s="390" t="s">
        <v>1261</v>
      </c>
      <c r="C23" s="1805" t="str">
        <f>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65"/>
      <c r="Q23" s="1262" t="str">
        <f>B23</f>
        <v>自然及人文环境</v>
      </c>
      <c r="R23" s="667" t="s">
        <v>14</v>
      </c>
      <c r="S23" s="668">
        <f>F23</f>
        <v>100</v>
      </c>
      <c r="T23" s="667" t="s">
        <v>14</v>
      </c>
      <c r="U23" s="668">
        <f>H23</f>
        <v>100</v>
      </c>
      <c r="V23" s="667" t="s">
        <v>14</v>
      </c>
      <c r="W23" s="668">
        <f>J23</f>
        <v>100</v>
      </c>
      <c r="X23" s="1264"/>
      <c r="Y23" s="346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65"/>
      <c r="Q24" s="1262"/>
      <c r="R24" s="667"/>
      <c r="S24" s="668"/>
      <c r="T24" s="667"/>
      <c r="U24" s="668"/>
      <c r="V24" s="667"/>
      <c r="W24" s="668"/>
      <c r="X24" s="1264"/>
      <c r="Y24" s="346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65"/>
      <c r="Q25" s="1262" t="str">
        <f t="shared" ref="Q25:Q46" si="11">B25</f>
        <v>临街状况</v>
      </c>
      <c r="R25" s="667" t="s">
        <v>14</v>
      </c>
      <c r="S25" s="668">
        <f>F25</f>
        <v>100</v>
      </c>
      <c r="T25" s="667" t="s">
        <v>14</v>
      </c>
      <c r="U25" s="668">
        <f>H25</f>
        <v>100</v>
      </c>
      <c r="V25" s="667" t="s">
        <v>14</v>
      </c>
      <c r="W25" s="668">
        <f>J25</f>
        <v>100</v>
      </c>
      <c r="X25" s="1264"/>
      <c r="Y25" s="346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65"/>
      <c r="Q26" s="1262" t="str">
        <f t="shared" si="11"/>
        <v>平面位置/可视性</v>
      </c>
      <c r="R26" s="667" t="s">
        <v>14</v>
      </c>
      <c r="S26" s="668">
        <f>F26</f>
        <v>100</v>
      </c>
      <c r="T26" s="667" t="s">
        <v>14</v>
      </c>
      <c r="U26" s="668">
        <f>H26</f>
        <v>100</v>
      </c>
      <c r="V26" s="667" t="s">
        <v>14</v>
      </c>
      <c r="W26" s="668">
        <f>J26</f>
        <v>100</v>
      </c>
      <c r="X26" s="1264"/>
      <c r="Y26" s="346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65"/>
      <c r="Q27" s="530" t="str">
        <f t="shared" si="11"/>
        <v>人流量</v>
      </c>
      <c r="R27" s="664" t="s">
        <v>14</v>
      </c>
      <c r="S27" s="665">
        <f>F27</f>
        <v>100</v>
      </c>
      <c r="T27" s="664" t="s">
        <v>14</v>
      </c>
      <c r="U27" s="665">
        <f>H27</f>
        <v>100</v>
      </c>
      <c r="V27" s="664" t="s">
        <v>14</v>
      </c>
      <c r="W27" s="665">
        <f>J27</f>
        <v>100</v>
      </c>
      <c r="X27" s="666"/>
      <c r="Y27" s="346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6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6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65"/>
      <c r="Q29" s="1262">
        <f t="shared" si="11"/>
        <v>111</v>
      </c>
      <c r="R29" s="667" t="s">
        <v>14</v>
      </c>
      <c r="S29" s="668">
        <f t="shared" si="12"/>
        <v>100</v>
      </c>
      <c r="T29" s="667" t="s">
        <v>14</v>
      </c>
      <c r="U29" s="668">
        <f t="shared" si="13"/>
        <v>100</v>
      </c>
      <c r="V29" s="667" t="s">
        <v>14</v>
      </c>
      <c r="W29" s="668">
        <f t="shared" si="14"/>
        <v>100</v>
      </c>
      <c r="X29" s="1264"/>
      <c r="Y29" s="346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65"/>
      <c r="Q30" s="1262">
        <f t="shared" si="11"/>
        <v>111</v>
      </c>
      <c r="R30" s="667" t="s">
        <v>14</v>
      </c>
      <c r="S30" s="668">
        <f t="shared" si="12"/>
        <v>100</v>
      </c>
      <c r="T30" s="667" t="s">
        <v>14</v>
      </c>
      <c r="U30" s="668">
        <f t="shared" si="13"/>
        <v>100</v>
      </c>
      <c r="V30" s="667" t="s">
        <v>14</v>
      </c>
      <c r="W30" s="668">
        <f t="shared" si="14"/>
        <v>100</v>
      </c>
      <c r="X30" s="1264"/>
      <c r="Y30" s="3467"/>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65"/>
      <c r="Q31" s="1262">
        <f t="shared" si="11"/>
        <v>111</v>
      </c>
      <c r="R31" s="667" t="s">
        <v>14</v>
      </c>
      <c r="S31" s="668">
        <f t="shared" si="12"/>
        <v>100</v>
      </c>
      <c r="T31" s="667" t="s">
        <v>14</v>
      </c>
      <c r="U31" s="668">
        <f t="shared" si="13"/>
        <v>100</v>
      </c>
      <c r="V31" s="667" t="s">
        <v>14</v>
      </c>
      <c r="W31" s="668">
        <f t="shared" si="14"/>
        <v>100</v>
      </c>
      <c r="X31" s="1264"/>
      <c r="Y31" s="346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68" t="s">
        <v>1696</v>
      </c>
      <c r="Q32" s="1262" t="str">
        <f t="shared" si="11"/>
        <v>商业类型</v>
      </c>
      <c r="R32" s="667" t="s">
        <v>14</v>
      </c>
      <c r="S32" s="668">
        <f t="shared" si="12"/>
        <v>100</v>
      </c>
      <c r="T32" s="667" t="s">
        <v>14</v>
      </c>
      <c r="U32" s="668">
        <f t="shared" si="13"/>
        <v>100</v>
      </c>
      <c r="V32" s="667" t="s">
        <v>14</v>
      </c>
      <c r="W32" s="668">
        <f t="shared" si="14"/>
        <v>100</v>
      </c>
      <c r="X32" s="1264"/>
      <c r="Y32" s="347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69"/>
      <c r="Q33" s="531" t="str">
        <f t="shared" si="11"/>
        <v>项目建筑规模</v>
      </c>
      <c r="R33" s="669" t="s">
        <v>14</v>
      </c>
      <c r="S33" s="670" t="e">
        <f t="shared" si="12"/>
        <v>#N/A</v>
      </c>
      <c r="T33" s="669" t="s">
        <v>14</v>
      </c>
      <c r="U33" s="670" t="e">
        <f t="shared" si="13"/>
        <v>#N/A</v>
      </c>
      <c r="V33" s="669" t="s">
        <v>14</v>
      </c>
      <c r="W33" s="670" t="e">
        <f t="shared" si="14"/>
        <v>#N/A</v>
      </c>
      <c r="X33" s="671"/>
      <c r="Y33" s="347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69"/>
      <c r="Q34" s="1262" t="str">
        <f t="shared" si="11"/>
        <v>建筑结构</v>
      </c>
      <c r="R34" s="667" t="s">
        <v>14</v>
      </c>
      <c r="S34" s="668">
        <f t="shared" si="12"/>
        <v>100</v>
      </c>
      <c r="T34" s="667" t="s">
        <v>14</v>
      </c>
      <c r="U34" s="668">
        <f t="shared" si="13"/>
        <v>100</v>
      </c>
      <c r="V34" s="667" t="s">
        <v>14</v>
      </c>
      <c r="W34" s="668">
        <f t="shared" si="14"/>
        <v>100</v>
      </c>
      <c r="X34" s="1264"/>
      <c r="Y34" s="347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69"/>
      <c r="Q35" s="1262" t="str">
        <f t="shared" si="11"/>
        <v>公共部分装修</v>
      </c>
      <c r="R35" s="667" t="s">
        <v>14</v>
      </c>
      <c r="S35" s="668">
        <f t="shared" si="12"/>
        <v>100</v>
      </c>
      <c r="T35" s="667" t="s">
        <v>14</v>
      </c>
      <c r="U35" s="668">
        <f t="shared" si="13"/>
        <v>100</v>
      </c>
      <c r="V35" s="667" t="s">
        <v>14</v>
      </c>
      <c r="W35" s="668">
        <f t="shared" si="14"/>
        <v>100</v>
      </c>
      <c r="X35" s="1264"/>
      <c r="Y35" s="347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69"/>
      <c r="Q36" s="1262" t="str">
        <f t="shared" si="11"/>
        <v>成新度</v>
      </c>
      <c r="R36" s="667" t="s">
        <v>14</v>
      </c>
      <c r="S36" s="668" t="e">
        <f t="shared" si="12"/>
        <v>#N/A</v>
      </c>
      <c r="T36" s="667" t="s">
        <v>14</v>
      </c>
      <c r="U36" s="668" t="e">
        <f t="shared" si="13"/>
        <v>#N/A</v>
      </c>
      <c r="V36" s="667" t="s">
        <v>14</v>
      </c>
      <c r="W36" s="668" t="e">
        <f t="shared" si="14"/>
        <v>#N/A</v>
      </c>
      <c r="X36" s="1264"/>
      <c r="Y36" s="347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69"/>
      <c r="Q37" s="530" t="str">
        <f t="shared" si="11"/>
        <v>市政基础设施</v>
      </c>
      <c r="R37" s="664" t="s">
        <v>14</v>
      </c>
      <c r="S37" s="665">
        <f t="shared" si="12"/>
        <v>100</v>
      </c>
      <c r="T37" s="664" t="s">
        <v>14</v>
      </c>
      <c r="U37" s="665">
        <f t="shared" si="13"/>
        <v>100</v>
      </c>
      <c r="V37" s="664" t="s">
        <v>14</v>
      </c>
      <c r="W37" s="665">
        <f t="shared" si="14"/>
        <v>100</v>
      </c>
      <c r="X37" s="666"/>
      <c r="Y37" s="347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69" t="s">
        <v>1696</v>
      </c>
      <c r="Q38" s="1262" t="str">
        <f t="shared" si="11"/>
        <v>业态</v>
      </c>
      <c r="R38" s="667" t="s">
        <v>14</v>
      </c>
      <c r="S38" s="668">
        <f t="shared" si="12"/>
        <v>100</v>
      </c>
      <c r="T38" s="667" t="s">
        <v>14</v>
      </c>
      <c r="U38" s="668">
        <f t="shared" si="13"/>
        <v>100</v>
      </c>
      <c r="V38" s="667" t="s">
        <v>14</v>
      </c>
      <c r="W38" s="668">
        <f t="shared" si="14"/>
        <v>100</v>
      </c>
      <c r="X38" s="1264"/>
      <c r="Y38" s="347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69"/>
      <c r="Q39" s="1262" t="str">
        <f t="shared" si="11"/>
        <v>层高</v>
      </c>
      <c r="R39" s="667" t="s">
        <v>14</v>
      </c>
      <c r="S39" s="668">
        <f t="shared" si="12"/>
        <v>100</v>
      </c>
      <c r="T39" s="667" t="s">
        <v>14</v>
      </c>
      <c r="U39" s="668">
        <f t="shared" si="13"/>
        <v>100</v>
      </c>
      <c r="V39" s="667" t="s">
        <v>14</v>
      </c>
      <c r="W39" s="668">
        <f t="shared" si="14"/>
        <v>100</v>
      </c>
      <c r="X39" s="1264"/>
      <c r="Y39" s="347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69"/>
      <c r="Q40" s="1262" t="str">
        <f t="shared" si="11"/>
        <v>单套建筑面积</v>
      </c>
      <c r="R40" s="667" t="s">
        <v>14</v>
      </c>
      <c r="S40" s="668">
        <f t="shared" si="12"/>
        <v>100</v>
      </c>
      <c r="T40" s="667" t="s">
        <v>14</v>
      </c>
      <c r="U40" s="668">
        <f t="shared" si="13"/>
        <v>100</v>
      </c>
      <c r="V40" s="667" t="s">
        <v>14</v>
      </c>
      <c r="W40" s="668">
        <f t="shared" si="14"/>
        <v>100</v>
      </c>
      <c r="X40" s="1264"/>
      <c r="Y40" s="347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69"/>
      <c r="Q41" s="531" t="str">
        <f t="shared" si="11"/>
        <v>进深比</v>
      </c>
      <c r="R41" s="669" t="s">
        <v>14</v>
      </c>
      <c r="S41" s="670">
        <f t="shared" si="12"/>
        <v>100</v>
      </c>
      <c r="T41" s="669" t="s">
        <v>14</v>
      </c>
      <c r="U41" s="670">
        <f t="shared" si="13"/>
        <v>100</v>
      </c>
      <c r="V41" s="669" t="s">
        <v>14</v>
      </c>
      <c r="W41" s="670">
        <f t="shared" si="14"/>
        <v>100</v>
      </c>
      <c r="X41" s="671"/>
      <c r="Y41" s="347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69"/>
      <c r="Q42" s="1262" t="str">
        <f t="shared" si="11"/>
        <v>内部装修</v>
      </c>
      <c r="R42" s="667" t="s">
        <v>14</v>
      </c>
      <c r="S42" s="668">
        <f t="shared" si="12"/>
        <v>100</v>
      </c>
      <c r="T42" s="667" t="s">
        <v>14</v>
      </c>
      <c r="U42" s="668">
        <f t="shared" si="13"/>
        <v>100</v>
      </c>
      <c r="V42" s="667" t="s">
        <v>14</v>
      </c>
      <c r="W42" s="668">
        <f t="shared" si="14"/>
        <v>100</v>
      </c>
      <c r="X42" s="1264"/>
      <c r="Y42" s="347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69"/>
      <c r="Q43" s="1262" t="str">
        <f t="shared" si="11"/>
        <v>内部装修维护情况</v>
      </c>
      <c r="R43" s="667" t="s">
        <v>14</v>
      </c>
      <c r="S43" s="668">
        <f t="shared" si="12"/>
        <v>100</v>
      </c>
      <c r="T43" s="667" t="s">
        <v>14</v>
      </c>
      <c r="U43" s="668">
        <f t="shared" si="13"/>
        <v>100</v>
      </c>
      <c r="V43" s="667" t="s">
        <v>14</v>
      </c>
      <c r="W43" s="668">
        <f t="shared" si="14"/>
        <v>100</v>
      </c>
      <c r="X43" s="1264"/>
      <c r="Y43" s="347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69"/>
      <c r="Q44" s="530">
        <f t="shared" si="11"/>
        <v>111</v>
      </c>
      <c r="R44" s="664" t="s">
        <v>14</v>
      </c>
      <c r="S44" s="665">
        <f t="shared" si="12"/>
        <v>100</v>
      </c>
      <c r="T44" s="664" t="s">
        <v>14</v>
      </c>
      <c r="U44" s="665">
        <f t="shared" si="13"/>
        <v>100</v>
      </c>
      <c r="V44" s="664" t="s">
        <v>14</v>
      </c>
      <c r="W44" s="665">
        <f t="shared" si="14"/>
        <v>100</v>
      </c>
      <c r="X44" s="666"/>
      <c r="Y44" s="34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69"/>
      <c r="Q45" s="1262">
        <f t="shared" si="11"/>
        <v>111</v>
      </c>
      <c r="R45" s="667" t="s">
        <v>14</v>
      </c>
      <c r="S45" s="668">
        <f t="shared" si="12"/>
        <v>100</v>
      </c>
      <c r="T45" s="667" t="s">
        <v>14</v>
      </c>
      <c r="U45" s="668">
        <f t="shared" si="13"/>
        <v>100</v>
      </c>
      <c r="V45" s="667" t="s">
        <v>14</v>
      </c>
      <c r="W45" s="668">
        <f t="shared" si="14"/>
        <v>100</v>
      </c>
      <c r="X45" s="1264"/>
      <c r="Y45" s="347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70"/>
      <c r="Q46" s="1262">
        <f t="shared" si="11"/>
        <v>111</v>
      </c>
      <c r="R46" s="667" t="s">
        <v>14</v>
      </c>
      <c r="S46" s="668">
        <f t="shared" si="12"/>
        <v>100</v>
      </c>
      <c r="T46" s="667" t="s">
        <v>14</v>
      </c>
      <c r="U46" s="668">
        <f t="shared" si="13"/>
        <v>100</v>
      </c>
      <c r="V46" s="667" t="s">
        <v>14</v>
      </c>
      <c r="W46" s="668">
        <f t="shared" si="14"/>
        <v>100</v>
      </c>
      <c r="X46" s="1264"/>
      <c r="Y46" s="3472"/>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0"/>
      <c r="M47" s="2483"/>
      <c r="N47" s="2483"/>
      <c r="O47" s="2483"/>
      <c r="P47" s="3473" t="str">
        <f>A47</f>
        <v>成交单价（元/平方米）</v>
      </c>
      <c r="Q47" s="3473"/>
      <c r="R47" s="3455">
        <f>E47</f>
        <v>0</v>
      </c>
      <c r="S47" s="3455"/>
      <c r="T47" s="3455">
        <f>G47</f>
        <v>0</v>
      </c>
      <c r="U47" s="3455"/>
      <c r="V47" s="3455">
        <f>I47</f>
        <v>0</v>
      </c>
      <c r="W47" s="3455"/>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0"/>
      <c r="M48" s="2483"/>
      <c r="N48" s="2483"/>
      <c r="O48" s="2483"/>
      <c r="P48" s="3473" t="str">
        <f>A48</f>
        <v>比较价值（元/平方米）</v>
      </c>
      <c r="Q48" s="3473"/>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540" t="str">
        <f>A49</f>
        <v>估价对象XX用房的比较价值（楼面单价，元/平方米）</v>
      </c>
      <c r="Q49" s="3541"/>
      <c r="R49" s="3542" t="e">
        <f>IF(F1="售价",ROUND(IF(D48="简单平均",AVERAGE(R48:V48),R48*F48+T48*H48+V48*J48),0),ROUND(IF(D48="简单平均",AVERAGE(R48:V48),R48*F48+T48*H48+V48*J48),1))</f>
        <v>#DIV/0!</v>
      </c>
      <c r="S49" s="3542"/>
      <c r="T49" s="3542"/>
      <c r="U49" s="3542"/>
      <c r="V49" s="3542"/>
      <c r="W49" s="3542"/>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C43 E43 G43 I43" xr:uid="{00000000-0002-0000-2800-000001000000}">
      <formula1>内部装修维护情况</formula1>
    </dataValidation>
    <dataValidation type="list" allowBlank="1" showInputMessage="1" showErrorMessage="1" sqref="E20 I20 G20 C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25 E25 G25 I25" xr:uid="{00000000-0002-0000-2800-000005000000}">
      <formula1>商业临街状况</formula1>
    </dataValidation>
    <dataValidation type="list" allowBlank="1" showInputMessage="1" showErrorMessage="1" sqref="C27 E27 G27 I27" xr:uid="{00000000-0002-0000-2800-000006000000}">
      <formula1>商业人流量</formula1>
    </dataValidation>
    <dataValidation type="list" allowBlank="1" showInputMessage="1" showErrorMessage="1" sqref="C28 E28 G28 I28" xr:uid="{00000000-0002-0000-2800-000007000000}">
      <formula1>商业楼层</formula1>
    </dataValidation>
    <dataValidation type="list" allowBlank="1" showInputMessage="1" showErrorMessage="1" sqref="C32 E32 G32 I32" xr:uid="{00000000-0002-0000-2800-000008000000}">
      <formula1>商业类型</formula1>
    </dataValidation>
    <dataValidation type="list" allowBlank="1" showInputMessage="1" showErrorMessage="1" sqref="C34 E34 G34 I34" xr:uid="{00000000-0002-0000-2800-000009000000}">
      <formula1>商业建筑结构</formula1>
    </dataValidation>
    <dataValidation type="list" allowBlank="1" showInputMessage="1" showErrorMessage="1" sqref="C35 E35 G35 I35" xr:uid="{00000000-0002-0000-2800-00000A000000}">
      <formula1>商业公共部分装修</formula1>
    </dataValidation>
    <dataValidation type="list" allowBlank="1" showInputMessage="1" showErrorMessage="1" sqref="C37 E37 G37 I37" xr:uid="{00000000-0002-0000-2800-00000B000000}">
      <formula1>商业基础设施水平</formula1>
    </dataValidation>
    <dataValidation type="list" allowBlank="1" showInputMessage="1" showErrorMessage="1" sqref="C41 E41 G41 I41" xr:uid="{00000000-0002-0000-2800-00000C000000}">
      <formula1>商业进深比</formula1>
    </dataValidation>
    <dataValidation type="list" allowBlank="1" showInputMessage="1" showErrorMessage="1" sqref="C42 E42 G42 I42" xr:uid="{00000000-0002-0000-2800-00000D000000}">
      <formula1>商业内部装修</formula1>
    </dataValidation>
    <dataValidation type="list" allowBlank="1" showInputMessage="1" showErrorMessage="1" sqref="E9 G9 I9" xr:uid="{00000000-0002-0000-2800-00000E000000}">
      <formula1>商业用途</formula1>
    </dataValidation>
    <dataValidation type="list" allowBlank="1" showInputMessage="1" showErrorMessage="1" sqref="C38 E38 G38 I38" xr:uid="{00000000-0002-0000-2800-00000F000000}">
      <formula1>商业业态</formula1>
    </dataValidation>
    <dataValidation type="list" allowBlank="1" showInputMessage="1" showErrorMessage="1" sqref="C39 E39 G39 I39" xr:uid="{00000000-0002-0000-2800-000010000000}">
      <formula1>商业层高</formula1>
    </dataValidation>
    <dataValidation type="list" allowBlank="1" showInputMessage="1" showErrorMessage="1" sqref="C8 E8 G8 I8" xr:uid="{00000000-0002-0000-2800-000011000000}">
      <formula1>商业交易情况</formula1>
    </dataValidation>
    <dataValidation type="list" allowBlank="1" showInputMessage="1" showErrorMessage="1" sqref="C16 E16 G16 I16" xr:uid="{00000000-0002-0000-2800-000012000000}">
      <formula1>商业繁华度</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8"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12000.230000000001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31" t="s">
        <v>1770</v>
      </c>
      <c r="D4" s="3432"/>
      <c r="E4" s="3433" t="s">
        <v>1771</v>
      </c>
      <c r="F4" s="3434"/>
      <c r="G4" s="3431" t="s">
        <v>1772</v>
      </c>
      <c r="H4" s="3432"/>
      <c r="I4" s="3431" t="s">
        <v>1773</v>
      </c>
      <c r="J4" s="3432"/>
      <c r="K4" s="537" t="s">
        <v>1774</v>
      </c>
      <c r="L4" s="860"/>
      <c r="M4" s="861"/>
      <c r="N4" s="861"/>
      <c r="O4" s="861"/>
      <c r="P4" s="3544" t="s">
        <v>1775</v>
      </c>
      <c r="Q4" s="3545"/>
      <c r="R4" s="3548" t="s">
        <v>1771</v>
      </c>
      <c r="S4" s="3549"/>
      <c r="T4" s="3548" t="s">
        <v>1772</v>
      </c>
      <c r="U4" s="3549"/>
      <c r="V4" s="3455" t="s">
        <v>1773</v>
      </c>
      <c r="W4" s="3455"/>
      <c r="X4" s="1264"/>
      <c r="Y4" s="3548" t="s">
        <v>1775</v>
      </c>
      <c r="Z4" s="3549"/>
      <c r="AA4" s="3543" t="s">
        <v>1771</v>
      </c>
      <c r="AB4" s="3426" t="s">
        <v>1772</v>
      </c>
      <c r="AC4" s="3543" t="s">
        <v>1773</v>
      </c>
    </row>
    <row r="5" spans="1:29">
      <c r="A5" s="348"/>
      <c r="B5" s="349"/>
      <c r="C5" s="3449" t="s">
        <v>1673</v>
      </c>
      <c r="D5" s="3446"/>
      <c r="E5" s="3447" t="s">
        <v>1674</v>
      </c>
      <c r="F5" s="3448"/>
      <c r="G5" s="3449" t="s">
        <v>1675</v>
      </c>
      <c r="H5" s="3446"/>
      <c r="I5" s="3449" t="s">
        <v>1676</v>
      </c>
      <c r="J5" s="3446"/>
      <c r="K5" s="537"/>
      <c r="L5" s="860"/>
      <c r="M5" s="861"/>
      <c r="N5" s="861"/>
      <c r="O5" s="861"/>
      <c r="P5" s="3546"/>
      <c r="Q5" s="3438"/>
      <c r="R5" s="3443"/>
      <c r="S5" s="3444"/>
      <c r="T5" s="3443"/>
      <c r="U5" s="3444"/>
      <c r="V5" s="3455"/>
      <c r="W5" s="3455"/>
      <c r="X5" s="1264"/>
      <c r="Y5" s="3443"/>
      <c r="Z5" s="3444"/>
      <c r="AA5" s="3426"/>
      <c r="AB5" s="3426"/>
      <c r="AC5" s="3426"/>
    </row>
    <row r="6" spans="1:29" ht="15" thickBot="1">
      <c r="A6" s="350"/>
      <c r="B6" s="351"/>
      <c r="C6" s="3513" t="s">
        <v>1677</v>
      </c>
      <c r="D6" s="3457"/>
      <c r="E6" s="3550" t="s">
        <v>1677</v>
      </c>
      <c r="F6" s="3459"/>
      <c r="G6" s="3513" t="s">
        <v>1677</v>
      </c>
      <c r="H6" s="3457"/>
      <c r="I6" s="3513" t="s">
        <v>1677</v>
      </c>
      <c r="J6" s="3457"/>
      <c r="K6" s="537" t="s">
        <v>1678</v>
      </c>
      <c r="L6" s="860"/>
      <c r="M6" s="861"/>
      <c r="N6" s="861"/>
      <c r="O6" s="861"/>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SUMIF(52:52,YEAR(E7)&amp;"-"&amp;MONTH(E7),53:53)</f>
        <v>0</v>
      </c>
      <c r="G7" s="356"/>
      <c r="H7" s="355">
        <f>SUMIF(52:52,YEAR(G7)&amp;"-"&amp;MONTH(G7),53:53)</f>
        <v>0</v>
      </c>
      <c r="I7" s="356"/>
      <c r="J7" s="355">
        <f>SUMIF(52:52,YEAR(I7)&amp;"-"&amp;MONTH(I7),53:53)</f>
        <v>0</v>
      </c>
      <c r="K7" s="38"/>
      <c r="L7" s="862"/>
      <c r="M7" s="863"/>
      <c r="N7" s="863"/>
      <c r="O7" s="863"/>
      <c r="P7" s="3450" t="s">
        <v>1680</v>
      </c>
      <c r="Q7" s="346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0" t="s">
        <v>1683</v>
      </c>
      <c r="Q8" s="3451"/>
      <c r="R8" s="664" t="s">
        <v>14</v>
      </c>
      <c r="S8" s="665">
        <f t="shared" si="0"/>
        <v>100</v>
      </c>
      <c r="T8" s="664" t="s">
        <v>14</v>
      </c>
      <c r="U8" s="665">
        <f t="shared" si="1"/>
        <v>100</v>
      </c>
      <c r="V8" s="664" t="s">
        <v>14</v>
      </c>
      <c r="W8" s="665">
        <f t="shared" si="2"/>
        <v>100</v>
      </c>
      <c r="X8" s="666"/>
      <c r="Y8" s="3450" t="s">
        <v>1683</v>
      </c>
      <c r="Z8" s="345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7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3"/>
      <c r="Q11" s="530" t="str">
        <f t="shared" si="6"/>
        <v>容积率</v>
      </c>
      <c r="R11" s="664" t="s">
        <v>14</v>
      </c>
      <c r="S11" s="665">
        <f t="shared" si="0"/>
        <v>100</v>
      </c>
      <c r="T11" s="664" t="s">
        <v>14</v>
      </c>
      <c r="U11" s="665">
        <f t="shared" si="1"/>
        <v>100</v>
      </c>
      <c r="V11" s="664" t="s">
        <v>14</v>
      </c>
      <c r="W11" s="665">
        <f t="shared" si="2"/>
        <v>100</v>
      </c>
      <c r="X11" s="666"/>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7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7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7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6" t="s">
        <v>1691</v>
      </c>
      <c r="Q15" s="1262" t="str">
        <f t="shared" si="6"/>
        <v>产业集聚程度</v>
      </c>
      <c r="R15" s="667" t="s">
        <v>14</v>
      </c>
      <c r="S15" s="668">
        <f t="shared" si="0"/>
        <v>100</v>
      </c>
      <c r="T15" s="667" t="s">
        <v>14</v>
      </c>
      <c r="U15" s="668">
        <f t="shared" si="1"/>
        <v>100</v>
      </c>
      <c r="V15" s="667" t="s">
        <v>14</v>
      </c>
      <c r="W15" s="668">
        <f t="shared" si="2"/>
        <v>100</v>
      </c>
      <c r="X15" s="1264"/>
      <c r="Y15" s="346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67"/>
      <c r="Q16" s="1262"/>
      <c r="R16" s="667"/>
      <c r="S16" s="668"/>
      <c r="T16" s="667"/>
      <c r="U16" s="668"/>
      <c r="V16" s="667"/>
      <c r="W16" s="668"/>
      <c r="X16" s="1264"/>
      <c r="Y16" s="3467"/>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7"/>
      <c r="Q17" s="1262" t="str">
        <f>B17</f>
        <v>交通便捷度</v>
      </c>
      <c r="R17" s="667" t="s">
        <v>14</v>
      </c>
      <c r="S17" s="668">
        <f>F17</f>
        <v>100</v>
      </c>
      <c r="T17" s="667" t="s">
        <v>14</v>
      </c>
      <c r="U17" s="668">
        <f>H17</f>
        <v>100</v>
      </c>
      <c r="V17" s="667" t="s">
        <v>14</v>
      </c>
      <c r="W17" s="668">
        <f>J17</f>
        <v>100</v>
      </c>
      <c r="X17" s="1264"/>
      <c r="Y17" s="346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67"/>
      <c r="Q18" s="1262"/>
      <c r="R18" s="667"/>
      <c r="S18" s="668"/>
      <c r="T18" s="667"/>
      <c r="U18" s="668"/>
      <c r="V18" s="667"/>
      <c r="W18" s="668"/>
      <c r="X18" s="1264"/>
      <c r="Y18" s="3467"/>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7"/>
      <c r="Q19" s="1262" t="str">
        <f>B19</f>
        <v>公共配套设施</v>
      </c>
      <c r="R19" s="667" t="s">
        <v>14</v>
      </c>
      <c r="S19" s="668">
        <f>F19</f>
        <v>100</v>
      </c>
      <c r="T19" s="667" t="s">
        <v>14</v>
      </c>
      <c r="U19" s="668">
        <f>H19</f>
        <v>100</v>
      </c>
      <c r="V19" s="667" t="s">
        <v>14</v>
      </c>
      <c r="W19" s="668">
        <f>J19</f>
        <v>100</v>
      </c>
      <c r="X19" s="1264"/>
      <c r="Y19" s="346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67"/>
      <c r="Q20" s="1262"/>
      <c r="R20" s="667"/>
      <c r="S20" s="668"/>
      <c r="T20" s="667"/>
      <c r="U20" s="668"/>
      <c r="V20" s="667"/>
      <c r="W20" s="668"/>
      <c r="X20" s="1264"/>
      <c r="Y20" s="3467"/>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7"/>
      <c r="Q21" s="1262" t="str">
        <f>B21</f>
        <v>基础设施水平</v>
      </c>
      <c r="R21" s="667" t="s">
        <v>14</v>
      </c>
      <c r="S21" s="668">
        <f>F21</f>
        <v>100</v>
      </c>
      <c r="T21" s="667" t="s">
        <v>14</v>
      </c>
      <c r="U21" s="668">
        <f>H21</f>
        <v>100</v>
      </c>
      <c r="V21" s="667" t="s">
        <v>14</v>
      </c>
      <c r="W21" s="668">
        <f>J21</f>
        <v>100</v>
      </c>
      <c r="X21" s="1264"/>
      <c r="Y21" s="346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67"/>
      <c r="Q22" s="1262"/>
      <c r="R22" s="667"/>
      <c r="S22" s="668"/>
      <c r="T22" s="667"/>
      <c r="U22" s="668"/>
      <c r="V22" s="667"/>
      <c r="W22" s="668"/>
      <c r="X22" s="1264"/>
      <c r="Y22" s="3467"/>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7"/>
      <c r="Q23" s="1262" t="str">
        <f>B23</f>
        <v>环境质量</v>
      </c>
      <c r="R23" s="667" t="s">
        <v>14</v>
      </c>
      <c r="S23" s="668">
        <f>F23</f>
        <v>100</v>
      </c>
      <c r="T23" s="667" t="s">
        <v>14</v>
      </c>
      <c r="U23" s="668">
        <f>H23</f>
        <v>100</v>
      </c>
      <c r="V23" s="667" t="s">
        <v>14</v>
      </c>
      <c r="W23" s="668">
        <f>J23</f>
        <v>100</v>
      </c>
      <c r="X23" s="1264"/>
      <c r="Y23" s="346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67"/>
      <c r="Q24" s="1262"/>
      <c r="R24" s="667"/>
      <c r="S24" s="668"/>
      <c r="T24" s="667"/>
      <c r="U24" s="668"/>
      <c r="V24" s="667"/>
      <c r="W24" s="668"/>
      <c r="X24" s="1264"/>
      <c r="Y24" s="346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7"/>
      <c r="Q25" s="1262">
        <f>B25</f>
        <v>111</v>
      </c>
      <c r="R25" s="667" t="s">
        <v>14</v>
      </c>
      <c r="S25" s="668">
        <f>F25</f>
        <v>100</v>
      </c>
      <c r="T25" s="667" t="s">
        <v>14</v>
      </c>
      <c r="U25" s="668">
        <f>H25</f>
        <v>100</v>
      </c>
      <c r="V25" s="667" t="s">
        <v>14</v>
      </c>
      <c r="W25" s="668">
        <f>J25</f>
        <v>100</v>
      </c>
      <c r="X25" s="1264"/>
      <c r="Y25" s="346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7"/>
      <c r="Q26" s="1262">
        <f t="shared" ref="Q26:Q40" si="11">B26</f>
        <v>111</v>
      </c>
      <c r="R26" s="667" t="s">
        <v>14</v>
      </c>
      <c r="S26" s="668">
        <f>F26</f>
        <v>100</v>
      </c>
      <c r="T26" s="667" t="s">
        <v>14</v>
      </c>
      <c r="U26" s="668">
        <f>H26</f>
        <v>100</v>
      </c>
      <c r="V26" s="667" t="s">
        <v>14</v>
      </c>
      <c r="W26" s="668">
        <f>J26</f>
        <v>100</v>
      </c>
      <c r="X26" s="1264"/>
      <c r="Y26" s="346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7"/>
      <c r="Q27" s="530">
        <f t="shared" si="11"/>
        <v>111</v>
      </c>
      <c r="R27" s="664" t="s">
        <v>14</v>
      </c>
      <c r="S27" s="665">
        <f>F27</f>
        <v>100</v>
      </c>
      <c r="T27" s="664" t="s">
        <v>14</v>
      </c>
      <c r="U27" s="665">
        <f>H27</f>
        <v>100</v>
      </c>
      <c r="V27" s="664" t="s">
        <v>14</v>
      </c>
      <c r="W27" s="665">
        <f>J27</f>
        <v>100</v>
      </c>
      <c r="X27" s="666"/>
      <c r="Y27" s="3467"/>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7"/>
      <c r="Q28" s="1262">
        <f t="shared" si="11"/>
        <v>111</v>
      </c>
      <c r="R28" s="667" t="s">
        <v>14</v>
      </c>
      <c r="S28" s="668">
        <f t="shared" ref="S28:S40" si="12">F28</f>
        <v>100</v>
      </c>
      <c r="T28" s="667" t="s">
        <v>14</v>
      </c>
      <c r="U28" s="668">
        <f t="shared" ref="U28:U40" si="13">H28</f>
        <v>100</v>
      </c>
      <c r="V28" s="667" t="s">
        <v>14</v>
      </c>
      <c r="W28" s="668">
        <f t="shared" ref="W28:W40" si="14">J28</f>
        <v>100</v>
      </c>
      <c r="X28" s="1264"/>
      <c r="Y28" s="346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51" t="s">
        <v>1696</v>
      </c>
      <c r="Q29" s="1262" t="str">
        <f t="shared" si="11"/>
        <v>建筑类型</v>
      </c>
      <c r="R29" s="667" t="s">
        <v>14</v>
      </c>
      <c r="S29" s="668">
        <f t="shared" si="12"/>
        <v>100</v>
      </c>
      <c r="T29" s="667" t="s">
        <v>14</v>
      </c>
      <c r="U29" s="668">
        <f t="shared" si="13"/>
        <v>100</v>
      </c>
      <c r="V29" s="667" t="s">
        <v>14</v>
      </c>
      <c r="W29" s="668">
        <f t="shared" si="14"/>
        <v>100</v>
      </c>
      <c r="X29" s="1264"/>
      <c r="Y29" s="347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1"/>
      <c r="Q30" s="531" t="str">
        <f t="shared" si="11"/>
        <v>项目建筑规模</v>
      </c>
      <c r="R30" s="669" t="s">
        <v>14</v>
      </c>
      <c r="S30" s="670" t="e">
        <f t="shared" si="12"/>
        <v>#N/A</v>
      </c>
      <c r="T30" s="669" t="s">
        <v>14</v>
      </c>
      <c r="U30" s="670" t="e">
        <f t="shared" si="13"/>
        <v>#N/A</v>
      </c>
      <c r="V30" s="669" t="s">
        <v>14</v>
      </c>
      <c r="W30" s="670" t="e">
        <f t="shared" si="14"/>
        <v>#N/A</v>
      </c>
      <c r="X30" s="671"/>
      <c r="Y30" s="347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1"/>
      <c r="Q31" s="1262" t="str">
        <f t="shared" si="11"/>
        <v>建筑结构</v>
      </c>
      <c r="R31" s="667" t="s">
        <v>14</v>
      </c>
      <c r="S31" s="668">
        <f t="shared" si="12"/>
        <v>100</v>
      </c>
      <c r="T31" s="667" t="s">
        <v>14</v>
      </c>
      <c r="U31" s="668">
        <f t="shared" si="13"/>
        <v>100</v>
      </c>
      <c r="V31" s="667" t="s">
        <v>14</v>
      </c>
      <c r="W31" s="668">
        <f t="shared" si="14"/>
        <v>100</v>
      </c>
      <c r="X31" s="1264"/>
      <c r="Y31" s="347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1"/>
      <c r="Q32" s="1262" t="str">
        <f t="shared" si="11"/>
        <v>公共部分装修</v>
      </c>
      <c r="R32" s="667" t="s">
        <v>14</v>
      </c>
      <c r="S32" s="668">
        <f t="shared" si="12"/>
        <v>100</v>
      </c>
      <c r="T32" s="667" t="s">
        <v>14</v>
      </c>
      <c r="U32" s="668">
        <f t="shared" si="13"/>
        <v>100</v>
      </c>
      <c r="V32" s="667" t="s">
        <v>14</v>
      </c>
      <c r="W32" s="668">
        <f t="shared" si="14"/>
        <v>100</v>
      </c>
      <c r="X32" s="1264"/>
      <c r="Y32" s="347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1"/>
      <c r="Q33" s="1262" t="str">
        <f t="shared" si="11"/>
        <v>成新度</v>
      </c>
      <c r="R33" s="667" t="s">
        <v>14</v>
      </c>
      <c r="S33" s="668" t="e">
        <f t="shared" si="12"/>
        <v>#N/A</v>
      </c>
      <c r="T33" s="667" t="s">
        <v>14</v>
      </c>
      <c r="U33" s="668" t="e">
        <f t="shared" si="13"/>
        <v>#N/A</v>
      </c>
      <c r="V33" s="667" t="s">
        <v>14</v>
      </c>
      <c r="W33" s="668" t="e">
        <f t="shared" si="14"/>
        <v>#N/A</v>
      </c>
      <c r="X33" s="1264"/>
      <c r="Y33" s="347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1"/>
      <c r="Q34" s="530" t="str">
        <f t="shared" si="11"/>
        <v>物业管理</v>
      </c>
      <c r="R34" s="664" t="s">
        <v>14</v>
      </c>
      <c r="S34" s="665">
        <f t="shared" si="12"/>
        <v>100</v>
      </c>
      <c r="T34" s="664" t="s">
        <v>14</v>
      </c>
      <c r="U34" s="665">
        <f t="shared" si="13"/>
        <v>100</v>
      </c>
      <c r="V34" s="664" t="s">
        <v>14</v>
      </c>
      <c r="W34" s="665">
        <f t="shared" si="14"/>
        <v>100</v>
      </c>
      <c r="X34" s="666"/>
      <c r="Y34" s="34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1" t="s">
        <v>1696</v>
      </c>
      <c r="Q35" s="1262" t="str">
        <f t="shared" si="11"/>
        <v>市政基础设施</v>
      </c>
      <c r="R35" s="667" t="s">
        <v>14</v>
      </c>
      <c r="S35" s="668">
        <f t="shared" si="12"/>
        <v>100</v>
      </c>
      <c r="T35" s="667" t="s">
        <v>14</v>
      </c>
      <c r="U35" s="668">
        <f t="shared" si="13"/>
        <v>100</v>
      </c>
      <c r="V35" s="667" t="s">
        <v>14</v>
      </c>
      <c r="W35" s="668">
        <f t="shared" si="14"/>
        <v>100</v>
      </c>
      <c r="X35" s="1264"/>
      <c r="Y35" s="347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1"/>
      <c r="Q36" s="1262" t="str">
        <f t="shared" si="11"/>
        <v>内部装修</v>
      </c>
      <c r="R36" s="667" t="s">
        <v>14</v>
      </c>
      <c r="S36" s="668">
        <f t="shared" si="12"/>
        <v>100</v>
      </c>
      <c r="T36" s="667" t="s">
        <v>14</v>
      </c>
      <c r="U36" s="668">
        <f t="shared" si="13"/>
        <v>100</v>
      </c>
      <c r="V36" s="667" t="s">
        <v>14</v>
      </c>
      <c r="W36" s="668">
        <f t="shared" si="14"/>
        <v>100</v>
      </c>
      <c r="X36" s="1264"/>
      <c r="Y36" s="347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1"/>
      <c r="Q37" s="1262" t="str">
        <f t="shared" si="11"/>
        <v>内部装修状况</v>
      </c>
      <c r="R37" s="667" t="s">
        <v>14</v>
      </c>
      <c r="S37" s="668">
        <f t="shared" si="12"/>
        <v>100</v>
      </c>
      <c r="T37" s="667" t="s">
        <v>14</v>
      </c>
      <c r="U37" s="668">
        <f t="shared" si="13"/>
        <v>100</v>
      </c>
      <c r="V37" s="667" t="s">
        <v>14</v>
      </c>
      <c r="W37" s="668">
        <f t="shared" si="14"/>
        <v>100</v>
      </c>
      <c r="X37" s="1264"/>
      <c r="Y37" s="347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1"/>
      <c r="Q38" s="531">
        <f t="shared" si="11"/>
        <v>111</v>
      </c>
      <c r="R38" s="669" t="s">
        <v>14</v>
      </c>
      <c r="S38" s="670">
        <f t="shared" si="12"/>
        <v>100</v>
      </c>
      <c r="T38" s="669" t="s">
        <v>14</v>
      </c>
      <c r="U38" s="670">
        <f t="shared" si="13"/>
        <v>100</v>
      </c>
      <c r="V38" s="669" t="s">
        <v>14</v>
      </c>
      <c r="W38" s="670">
        <f t="shared" si="14"/>
        <v>100</v>
      </c>
      <c r="X38" s="671"/>
      <c r="Y38" s="347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1"/>
      <c r="Q39" s="1262">
        <f t="shared" si="11"/>
        <v>111</v>
      </c>
      <c r="R39" s="667" t="s">
        <v>14</v>
      </c>
      <c r="S39" s="668">
        <f t="shared" si="12"/>
        <v>100</v>
      </c>
      <c r="T39" s="667" t="s">
        <v>14</v>
      </c>
      <c r="U39" s="668">
        <f t="shared" si="13"/>
        <v>100</v>
      </c>
      <c r="V39" s="667" t="s">
        <v>14</v>
      </c>
      <c r="W39" s="668">
        <f t="shared" si="14"/>
        <v>100</v>
      </c>
      <c r="X39" s="1264"/>
      <c r="Y39" s="347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2"/>
      <c r="Q40" s="1262">
        <f t="shared" si="11"/>
        <v>111</v>
      </c>
      <c r="R40" s="667" t="s">
        <v>14</v>
      </c>
      <c r="S40" s="668">
        <f t="shared" si="12"/>
        <v>100</v>
      </c>
      <c r="T40" s="667" t="s">
        <v>14</v>
      </c>
      <c r="U40" s="668">
        <f t="shared" si="13"/>
        <v>100</v>
      </c>
      <c r="V40" s="667" t="s">
        <v>14</v>
      </c>
      <c r="W40" s="668">
        <f t="shared" si="14"/>
        <v>100</v>
      </c>
      <c r="X40" s="1264"/>
      <c r="Y40" s="3472"/>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73" t="str">
        <f>A41</f>
        <v>成交单价（元/平方米）</v>
      </c>
      <c r="Q41" s="3473"/>
      <c r="R41" s="3455">
        <f>E41</f>
        <v>0</v>
      </c>
      <c r="S41" s="3455"/>
      <c r="T41" s="3455">
        <f>G41</f>
        <v>0</v>
      </c>
      <c r="U41" s="3455"/>
      <c r="V41" s="3455">
        <f>I41</f>
        <v>0</v>
      </c>
      <c r="W41" s="3455"/>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73" t="str">
        <f>A42</f>
        <v>比较价值（元/平方米）</v>
      </c>
      <c r="Q42" s="3473"/>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540" t="str">
        <f>A43</f>
        <v>估价对象XX用房的比较价值（楼面单价，元/平方米）</v>
      </c>
      <c r="Q43" s="3541"/>
      <c r="R43" s="3542" t="e">
        <f>IF(F1="售价",ROUND(IF(D42="简单平均",AVERAGE(R42:V42),R42*F42+T42*H42+V42*J42),0),ROUND(IF(D42="简单平均",AVERAGE(R42:V42),R42*F42+T42*H42+V42*J42),1))</f>
        <v>#DIV/0!</v>
      </c>
      <c r="S43" s="3542"/>
      <c r="T43" s="3542"/>
      <c r="U43" s="3542"/>
      <c r="V43" s="3542"/>
      <c r="W43" s="3542"/>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3331</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6"/>
      <c r="AC3" s="663"/>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544" t="s">
        <v>1775</v>
      </c>
      <c r="Q4" s="3545"/>
      <c r="R4" s="3548" t="s">
        <v>1771</v>
      </c>
      <c r="S4" s="3549"/>
      <c r="T4" s="3548" t="s">
        <v>1772</v>
      </c>
      <c r="U4" s="3549"/>
      <c r="V4" s="3455" t="s">
        <v>1773</v>
      </c>
      <c r="W4" s="3455"/>
      <c r="X4" s="1264"/>
      <c r="Y4" s="3548" t="s">
        <v>1775</v>
      </c>
      <c r="Z4" s="3549"/>
      <c r="AA4" s="3543" t="s">
        <v>1771</v>
      </c>
      <c r="AB4" s="3426" t="s">
        <v>1772</v>
      </c>
      <c r="AC4" s="3543" t="s">
        <v>1773</v>
      </c>
    </row>
    <row r="5" spans="1:29">
      <c r="A5" s="348"/>
      <c r="B5" s="349"/>
      <c r="C5" s="3449" t="s">
        <v>1673</v>
      </c>
      <c r="D5" s="3446"/>
      <c r="E5" s="3447" t="s">
        <v>1674</v>
      </c>
      <c r="F5" s="3448"/>
      <c r="G5" s="3449" t="s">
        <v>1675</v>
      </c>
      <c r="H5" s="3446"/>
      <c r="I5" s="3449" t="s">
        <v>1676</v>
      </c>
      <c r="J5" s="3446"/>
      <c r="K5" s="537"/>
      <c r="L5" s="2482"/>
      <c r="M5" s="2483"/>
      <c r="N5" s="2483"/>
      <c r="O5" s="2483"/>
      <c r="P5" s="3546"/>
      <c r="Q5" s="3438"/>
      <c r="R5" s="3443"/>
      <c r="S5" s="3444"/>
      <c r="T5" s="3443"/>
      <c r="U5" s="3444"/>
      <c r="V5" s="3455"/>
      <c r="W5" s="3455"/>
      <c r="X5" s="1264"/>
      <c r="Y5" s="3443"/>
      <c r="Z5" s="3444"/>
      <c r="AA5" s="3426"/>
      <c r="AB5" s="3426"/>
      <c r="AC5" s="3426"/>
    </row>
    <row r="6" spans="1:29" ht="15" thickBot="1">
      <c r="A6" s="350"/>
      <c r="B6" s="351"/>
      <c r="C6" s="3513" t="s">
        <v>1677</v>
      </c>
      <c r="D6" s="3457"/>
      <c r="E6" s="3550" t="s">
        <v>1677</v>
      </c>
      <c r="F6" s="3459"/>
      <c r="G6" s="3513" t="s">
        <v>1677</v>
      </c>
      <c r="H6" s="3457"/>
      <c r="I6" s="3513" t="s">
        <v>1677</v>
      </c>
      <c r="J6" s="3457"/>
      <c r="K6" s="537" t="s">
        <v>1678</v>
      </c>
      <c r="L6" s="2482"/>
      <c r="M6" s="2483"/>
      <c r="N6" s="2483"/>
      <c r="O6" s="2483"/>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SUMIF(48:48,YEAR(E7)&amp;"-"&amp;MONTH(E7),49:49)</f>
        <v>0</v>
      </c>
      <c r="G7" s="356"/>
      <c r="H7" s="355">
        <f>SUMIF(48:48,YEAR(G7)&amp;"-"&amp;MONTH(G7),49:49)</f>
        <v>0</v>
      </c>
      <c r="I7" s="356"/>
      <c r="J7" s="355">
        <f>SUMIF(48:48,YEAR(I7)&amp;"-"&amp;MONTH(I7),49:49)</f>
        <v>0</v>
      </c>
      <c r="K7" s="38"/>
      <c r="L7" s="2484"/>
      <c r="M7" s="2436"/>
      <c r="N7" s="2436"/>
      <c r="O7" s="2436"/>
      <c r="P7" s="3450" t="s">
        <v>1680</v>
      </c>
      <c r="Q7" s="346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50" t="s">
        <v>1683</v>
      </c>
      <c r="Q8" s="3451"/>
      <c r="R8" s="664" t="s">
        <v>14</v>
      </c>
      <c r="S8" s="665">
        <f t="shared" si="0"/>
        <v>100</v>
      </c>
      <c r="T8" s="664" t="s">
        <v>14</v>
      </c>
      <c r="U8" s="665">
        <f t="shared" si="1"/>
        <v>100</v>
      </c>
      <c r="V8" s="664" t="s">
        <v>14</v>
      </c>
      <c r="W8" s="665">
        <f t="shared" si="2"/>
        <v>100</v>
      </c>
      <c r="X8" s="666"/>
      <c r="Y8" s="3450" t="s">
        <v>1683</v>
      </c>
      <c r="Z8" s="345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73"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7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73"/>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7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7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79.4">
      <c r="A14" s="345" t="s">
        <v>1690</v>
      </c>
      <c r="B14" s="554"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66" t="s">
        <v>1691</v>
      </c>
      <c r="Q14" s="1262" t="str">
        <f t="shared" si="6"/>
        <v>交通便捷度</v>
      </c>
      <c r="R14" s="667" t="s">
        <v>14</v>
      </c>
      <c r="S14" s="668">
        <f t="shared" si="0"/>
        <v>100</v>
      </c>
      <c r="T14" s="667" t="s">
        <v>14</v>
      </c>
      <c r="U14" s="668">
        <f t="shared" si="1"/>
        <v>100</v>
      </c>
      <c r="V14" s="667" t="s">
        <v>14</v>
      </c>
      <c r="W14" s="668">
        <f t="shared" si="2"/>
        <v>100</v>
      </c>
      <c r="X14" s="1264"/>
      <c r="Y14" s="346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67"/>
      <c r="Q15" s="1262"/>
      <c r="R15" s="667"/>
      <c r="S15" s="668"/>
      <c r="T15" s="667"/>
      <c r="U15" s="668"/>
      <c r="V15" s="667"/>
      <c r="W15" s="668"/>
      <c r="X15" s="1264"/>
      <c r="Y15" s="3467"/>
      <c r="Z15" s="1263"/>
      <c r="AA15" s="1263">
        <v>1</v>
      </c>
      <c r="AB15" s="1263">
        <v>1</v>
      </c>
      <c r="AC15" s="1263">
        <v>1</v>
      </c>
    </row>
    <row r="16" spans="1:29" ht="69">
      <c r="A16" s="348"/>
      <c r="B16" s="556" t="s">
        <v>1812</v>
      </c>
      <c r="C16" s="1753" t="str">
        <f>IF(B1="工业",估价对象房地状况!G5,估价对象房地状况!C7)</f>
        <v>估价对象所在区域公共配套设施齐备情况：商场（东环广场、</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67"/>
      <c r="Q16" s="1262" t="str">
        <f>B16</f>
        <v>公共配套设施</v>
      </c>
      <c r="R16" s="667" t="s">
        <v>14</v>
      </c>
      <c r="S16" s="668">
        <f>F16</f>
        <v>100</v>
      </c>
      <c r="T16" s="667" t="s">
        <v>14</v>
      </c>
      <c r="U16" s="668">
        <f>H16</f>
        <v>100</v>
      </c>
      <c r="V16" s="667" t="s">
        <v>14</v>
      </c>
      <c r="W16" s="668">
        <f>J16</f>
        <v>100</v>
      </c>
      <c r="X16" s="1264"/>
      <c r="Y16" s="346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467"/>
      <c r="Q17" s="1262"/>
      <c r="R17" s="667"/>
      <c r="S17" s="668"/>
      <c r="T17" s="667"/>
      <c r="U17" s="668"/>
      <c r="V17" s="667"/>
      <c r="W17" s="668"/>
      <c r="X17" s="1264"/>
      <c r="Y17" s="3467"/>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67"/>
      <c r="Q18" s="1262" t="str">
        <f>B18</f>
        <v>基础设施水平</v>
      </c>
      <c r="R18" s="667" t="s">
        <v>14</v>
      </c>
      <c r="S18" s="668">
        <f>F18</f>
        <v>100</v>
      </c>
      <c r="T18" s="667" t="s">
        <v>14</v>
      </c>
      <c r="U18" s="668">
        <f>H18</f>
        <v>100</v>
      </c>
      <c r="V18" s="667" t="s">
        <v>14</v>
      </c>
      <c r="W18" s="668">
        <f>J18</f>
        <v>100</v>
      </c>
      <c r="X18" s="1264"/>
      <c r="Y18" s="346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467"/>
      <c r="Q19" s="1262"/>
      <c r="R19" s="667"/>
      <c r="S19" s="668"/>
      <c r="T19" s="667"/>
      <c r="U19" s="668"/>
      <c r="V19" s="667"/>
      <c r="W19" s="668"/>
      <c r="X19" s="1264"/>
      <c r="Y19" s="3467"/>
      <c r="Z19" s="1263"/>
      <c r="AA19" s="1263">
        <v>1</v>
      </c>
      <c r="AB19" s="1263">
        <v>1</v>
      </c>
      <c r="AC19" s="1263">
        <v>1</v>
      </c>
    </row>
    <row r="20" spans="1:29" ht="262.2">
      <c r="A20" s="348"/>
      <c r="B20" s="556"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67"/>
      <c r="Q20" s="1262" t="str">
        <f>B20</f>
        <v>自然及人文环境</v>
      </c>
      <c r="R20" s="667" t="s">
        <v>14</v>
      </c>
      <c r="S20" s="668">
        <f>F20</f>
        <v>100</v>
      </c>
      <c r="T20" s="667" t="s">
        <v>14</v>
      </c>
      <c r="U20" s="668">
        <f>H20</f>
        <v>100</v>
      </c>
      <c r="V20" s="667" t="s">
        <v>14</v>
      </c>
      <c r="W20" s="668">
        <f>J20</f>
        <v>100</v>
      </c>
      <c r="X20" s="1264"/>
      <c r="Y20" s="346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67"/>
      <c r="Q21" s="1262"/>
      <c r="R21" s="667"/>
      <c r="S21" s="668"/>
      <c r="T21" s="667"/>
      <c r="U21" s="668"/>
      <c r="V21" s="667"/>
      <c r="W21" s="668"/>
      <c r="X21" s="1264"/>
      <c r="Y21" s="346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67"/>
      <c r="Q22" s="1262" t="str">
        <f>B22</f>
        <v>楼层</v>
      </c>
      <c r="R22" s="667" t="s">
        <v>14</v>
      </c>
      <c r="S22" s="668">
        <f>F22</f>
        <v>100</v>
      </c>
      <c r="T22" s="667" t="s">
        <v>14</v>
      </c>
      <c r="U22" s="668">
        <f>H22</f>
        <v>100</v>
      </c>
      <c r="V22" s="667" t="s">
        <v>14</v>
      </c>
      <c r="W22" s="668">
        <f>J22</f>
        <v>100</v>
      </c>
      <c r="X22" s="1264"/>
      <c r="Y22" s="346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67"/>
      <c r="Q23" s="1262">
        <f>B23</f>
        <v>111</v>
      </c>
      <c r="R23" s="667" t="s">
        <v>14</v>
      </c>
      <c r="S23" s="668">
        <f>F23</f>
        <v>100</v>
      </c>
      <c r="T23" s="667" t="s">
        <v>14</v>
      </c>
      <c r="U23" s="668">
        <f>H23</f>
        <v>100</v>
      </c>
      <c r="V23" s="667" t="s">
        <v>14</v>
      </c>
      <c r="W23" s="668">
        <f>J23</f>
        <v>100</v>
      </c>
      <c r="X23" s="1264"/>
      <c r="Y23" s="346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67"/>
      <c r="Q24" s="1262">
        <f t="shared" ref="Q24:Q36" si="11">B24</f>
        <v>111</v>
      </c>
      <c r="R24" s="667" t="s">
        <v>14</v>
      </c>
      <c r="S24" s="668">
        <f>F24</f>
        <v>100</v>
      </c>
      <c r="T24" s="667" t="s">
        <v>14</v>
      </c>
      <c r="U24" s="668">
        <f>H24</f>
        <v>100</v>
      </c>
      <c r="V24" s="667" t="s">
        <v>14</v>
      </c>
      <c r="W24" s="668">
        <f>J24</f>
        <v>100</v>
      </c>
      <c r="X24" s="1264"/>
      <c r="Y24" s="346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67"/>
      <c r="Q25" s="530">
        <f t="shared" si="11"/>
        <v>111</v>
      </c>
      <c r="R25" s="664" t="s">
        <v>14</v>
      </c>
      <c r="S25" s="665">
        <f>F25</f>
        <v>100</v>
      </c>
      <c r="T25" s="664" t="s">
        <v>14</v>
      </c>
      <c r="U25" s="665">
        <f>H25</f>
        <v>100</v>
      </c>
      <c r="V25" s="664" t="s">
        <v>14</v>
      </c>
      <c r="W25" s="665">
        <f>J25</f>
        <v>100</v>
      </c>
      <c r="X25" s="666"/>
      <c r="Y25" s="3467"/>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5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7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71"/>
      <c r="Q27" s="531" t="str">
        <f t="shared" si="11"/>
        <v>项目停车位配比</v>
      </c>
      <c r="R27" s="669" t="s">
        <v>14</v>
      </c>
      <c r="S27" s="670">
        <f t="shared" si="12"/>
        <v>100</v>
      </c>
      <c r="T27" s="669" t="s">
        <v>14</v>
      </c>
      <c r="U27" s="670">
        <f t="shared" si="13"/>
        <v>100</v>
      </c>
      <c r="V27" s="669" t="s">
        <v>14</v>
      </c>
      <c r="W27" s="670">
        <f t="shared" si="14"/>
        <v>100</v>
      </c>
      <c r="X27" s="671"/>
      <c r="Y27" s="347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71"/>
      <c r="Q28" s="1262" t="str">
        <f t="shared" si="11"/>
        <v>公共部分装修</v>
      </c>
      <c r="R28" s="667" t="s">
        <v>14</v>
      </c>
      <c r="S28" s="668">
        <f t="shared" si="12"/>
        <v>100</v>
      </c>
      <c r="T28" s="667" t="s">
        <v>14</v>
      </c>
      <c r="U28" s="668">
        <f t="shared" si="13"/>
        <v>100</v>
      </c>
      <c r="V28" s="667" t="s">
        <v>14</v>
      </c>
      <c r="W28" s="668">
        <f t="shared" si="14"/>
        <v>100</v>
      </c>
      <c r="X28" s="1264"/>
      <c r="Y28" s="347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71"/>
      <c r="Q29" s="1262" t="str">
        <f t="shared" si="11"/>
        <v>成新率</v>
      </c>
      <c r="R29" s="667" t="s">
        <v>14</v>
      </c>
      <c r="S29" s="668" t="e">
        <f t="shared" si="12"/>
        <v>#N/A</v>
      </c>
      <c r="T29" s="667" t="s">
        <v>14</v>
      </c>
      <c r="U29" s="668" t="e">
        <f t="shared" si="13"/>
        <v>#N/A</v>
      </c>
      <c r="V29" s="667" t="s">
        <v>14</v>
      </c>
      <c r="W29" s="668" t="e">
        <f t="shared" si="14"/>
        <v>#N/A</v>
      </c>
      <c r="X29" s="1264"/>
      <c r="Y29" s="347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71"/>
      <c r="Q30" s="1262" t="str">
        <f t="shared" si="11"/>
        <v>物业等级</v>
      </c>
      <c r="R30" s="667" t="s">
        <v>14</v>
      </c>
      <c r="S30" s="668">
        <f t="shared" si="12"/>
        <v>100</v>
      </c>
      <c r="T30" s="667" t="s">
        <v>14</v>
      </c>
      <c r="U30" s="668">
        <f t="shared" si="13"/>
        <v>100</v>
      </c>
      <c r="V30" s="667" t="s">
        <v>14</v>
      </c>
      <c r="W30" s="668">
        <f t="shared" si="14"/>
        <v>100</v>
      </c>
      <c r="X30" s="1264"/>
      <c r="Y30" s="347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71"/>
      <c r="Q31" s="530" t="str">
        <f t="shared" si="11"/>
        <v>停车位面积</v>
      </c>
      <c r="R31" s="664" t="s">
        <v>14</v>
      </c>
      <c r="S31" s="665" t="e">
        <f t="shared" si="12"/>
        <v>#N/A</v>
      </c>
      <c r="T31" s="664" t="s">
        <v>14</v>
      </c>
      <c r="U31" s="665" t="e">
        <f t="shared" si="13"/>
        <v>#N/A</v>
      </c>
      <c r="V31" s="664" t="s">
        <v>14</v>
      </c>
      <c r="W31" s="665" t="e">
        <f t="shared" si="14"/>
        <v>#N/A</v>
      </c>
      <c r="X31" s="666"/>
      <c r="Y31" s="34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71" t="s">
        <v>1696</v>
      </c>
      <c r="Q32" s="1262" t="str">
        <f t="shared" si="11"/>
        <v>车位类型</v>
      </c>
      <c r="R32" s="667" t="s">
        <v>14</v>
      </c>
      <c r="S32" s="668">
        <f t="shared" si="12"/>
        <v>100</v>
      </c>
      <c r="T32" s="667" t="s">
        <v>14</v>
      </c>
      <c r="U32" s="668">
        <f t="shared" si="13"/>
        <v>100</v>
      </c>
      <c r="V32" s="667" t="s">
        <v>14</v>
      </c>
      <c r="W32" s="668">
        <f t="shared" si="14"/>
        <v>100</v>
      </c>
      <c r="X32" s="1264"/>
      <c r="Y32" s="347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71"/>
      <c r="Q33" s="1262" t="str">
        <f t="shared" si="11"/>
        <v>是否直接入户</v>
      </c>
      <c r="R33" s="667" t="s">
        <v>14</v>
      </c>
      <c r="S33" s="668">
        <f t="shared" si="12"/>
        <v>100</v>
      </c>
      <c r="T33" s="667" t="s">
        <v>14</v>
      </c>
      <c r="U33" s="668">
        <f t="shared" si="13"/>
        <v>100</v>
      </c>
      <c r="V33" s="667" t="s">
        <v>14</v>
      </c>
      <c r="W33" s="668">
        <f t="shared" si="14"/>
        <v>100</v>
      </c>
      <c r="X33" s="1264"/>
      <c r="Y33" s="347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71"/>
      <c r="Q34" s="1262">
        <f t="shared" si="11"/>
        <v>111</v>
      </c>
      <c r="R34" s="667" t="s">
        <v>14</v>
      </c>
      <c r="S34" s="668">
        <f t="shared" si="12"/>
        <v>100</v>
      </c>
      <c r="T34" s="667" t="s">
        <v>14</v>
      </c>
      <c r="U34" s="668">
        <f t="shared" si="13"/>
        <v>100</v>
      </c>
      <c r="V34" s="667" t="s">
        <v>14</v>
      </c>
      <c r="W34" s="668">
        <f t="shared" si="14"/>
        <v>100</v>
      </c>
      <c r="X34" s="1264"/>
      <c r="Y34" s="347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71"/>
      <c r="Q35" s="531">
        <f t="shared" si="11"/>
        <v>111</v>
      </c>
      <c r="R35" s="669" t="s">
        <v>14</v>
      </c>
      <c r="S35" s="670">
        <f t="shared" si="12"/>
        <v>100</v>
      </c>
      <c r="T35" s="669" t="s">
        <v>14</v>
      </c>
      <c r="U35" s="670">
        <f t="shared" si="13"/>
        <v>100</v>
      </c>
      <c r="V35" s="669" t="s">
        <v>14</v>
      </c>
      <c r="W35" s="670">
        <f t="shared" si="14"/>
        <v>100</v>
      </c>
      <c r="X35" s="671"/>
      <c r="Y35" s="347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71"/>
      <c r="Q36" s="1262">
        <f t="shared" si="11"/>
        <v>111</v>
      </c>
      <c r="R36" s="667" t="s">
        <v>14</v>
      </c>
      <c r="S36" s="668">
        <f t="shared" si="12"/>
        <v>100</v>
      </c>
      <c r="T36" s="667" t="s">
        <v>14</v>
      </c>
      <c r="U36" s="668">
        <f t="shared" si="13"/>
        <v>100</v>
      </c>
      <c r="V36" s="667" t="s">
        <v>14</v>
      </c>
      <c r="W36" s="668">
        <f t="shared" si="14"/>
        <v>100</v>
      </c>
      <c r="X36" s="1264"/>
      <c r="Y36" s="3471"/>
      <c r="Z36" s="1263">
        <f t="shared" si="15"/>
        <v>111</v>
      </c>
      <c r="AA36" s="1263">
        <f t="shared" si="3"/>
        <v>1</v>
      </c>
      <c r="AB36" s="1263">
        <f t="shared" si="4"/>
        <v>1</v>
      </c>
      <c r="AC36" s="1263">
        <f t="shared" si="5"/>
        <v>1</v>
      </c>
    </row>
    <row r="37" spans="1:29" ht="14.4">
      <c r="A37" s="416" t="s">
        <v>1844</v>
      </c>
      <c r="B37" s="1820" t="s">
        <v>3352</v>
      </c>
      <c r="C37" s="1080" t="s">
        <v>0</v>
      </c>
      <c r="D37" s="418"/>
      <c r="E37" s="419"/>
      <c r="F37" s="420"/>
      <c r="G37" s="421"/>
      <c r="H37" s="422"/>
      <c r="I37" s="419"/>
      <c r="J37" s="422"/>
      <c r="K37" s="545"/>
      <c r="L37" s="2490"/>
      <c r="M37" s="2483"/>
      <c r="N37" s="2483"/>
      <c r="O37" s="2483"/>
      <c r="P37" s="3473" t="str">
        <f>A37</f>
        <v>成交单价</v>
      </c>
      <c r="Q37" s="3473"/>
      <c r="R37" s="3455">
        <f>E37</f>
        <v>0</v>
      </c>
      <c r="S37" s="3455"/>
      <c r="T37" s="3455">
        <f>G37</f>
        <v>0</v>
      </c>
      <c r="U37" s="3455"/>
      <c r="V37" s="3455">
        <f>I37</f>
        <v>0</v>
      </c>
      <c r="W37" s="3455"/>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0"/>
      <c r="M38" s="2483"/>
      <c r="N38" s="2483"/>
      <c r="O38" s="2483"/>
      <c r="P38" s="3473" t="str">
        <f>A38</f>
        <v>比较价值（元/平方米）</v>
      </c>
      <c r="Q38" s="3473"/>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540" t="str">
        <f>A39</f>
        <v>估价对象XX用房的比较价值（楼面单价，元/平方米）</v>
      </c>
      <c r="Q39" s="3541"/>
      <c r="R39" s="3552" t="e">
        <f>IF(F1="售价",ROUND(IF(D38="简单平均",AVERAGE(R38:W38),R38*F38+T38*H38+V38*J38),0),ROUND(IF(D38="简单平均",AVERAGE(R38:V38),R38*F38+T38*H38+V38*J38),1))</f>
        <v>#DIV/0!</v>
      </c>
      <c r="S39" s="3552"/>
      <c r="T39" s="3552"/>
      <c r="U39" s="3552"/>
      <c r="V39" s="3552"/>
      <c r="W39" s="3552"/>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1"/>
      <c r="C47" s="886"/>
      <c r="D47" s="886"/>
      <c r="E47" s="886"/>
      <c r="F47" s="1087"/>
      <c r="G47" s="1087"/>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3332</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544" t="s">
        <v>1775</v>
      </c>
      <c r="Q4" s="3545"/>
      <c r="R4" s="3548" t="s">
        <v>1771</v>
      </c>
      <c r="S4" s="3549"/>
      <c r="T4" s="3548" t="s">
        <v>1772</v>
      </c>
      <c r="U4" s="3549"/>
      <c r="V4" s="3455" t="s">
        <v>1773</v>
      </c>
      <c r="W4" s="3455"/>
      <c r="X4" s="1264"/>
      <c r="Y4" s="3548" t="s">
        <v>1775</v>
      </c>
      <c r="Z4" s="3549"/>
      <c r="AA4" s="3543" t="s">
        <v>1771</v>
      </c>
      <c r="AB4" s="3426" t="s">
        <v>1772</v>
      </c>
      <c r="AC4" s="3543" t="s">
        <v>1773</v>
      </c>
    </row>
    <row r="5" spans="1:29">
      <c r="A5" s="348"/>
      <c r="B5" s="349"/>
      <c r="C5" s="3449" t="s">
        <v>1673</v>
      </c>
      <c r="D5" s="3446"/>
      <c r="E5" s="3447" t="s">
        <v>1674</v>
      </c>
      <c r="F5" s="3448"/>
      <c r="G5" s="3449" t="s">
        <v>1675</v>
      </c>
      <c r="H5" s="3446"/>
      <c r="I5" s="3449" t="s">
        <v>1676</v>
      </c>
      <c r="J5" s="3446"/>
      <c r="K5" s="537"/>
      <c r="L5" s="2482"/>
      <c r="M5" s="2483"/>
      <c r="N5" s="2483"/>
      <c r="O5" s="2483"/>
      <c r="P5" s="3546"/>
      <c r="Q5" s="3438"/>
      <c r="R5" s="3443"/>
      <c r="S5" s="3444"/>
      <c r="T5" s="3443"/>
      <c r="U5" s="3444"/>
      <c r="V5" s="3455"/>
      <c r="W5" s="3455"/>
      <c r="X5" s="1264"/>
      <c r="Y5" s="3443"/>
      <c r="Z5" s="3444"/>
      <c r="AA5" s="3426"/>
      <c r="AB5" s="3426"/>
      <c r="AC5" s="3426"/>
    </row>
    <row r="6" spans="1:29" ht="15" thickBot="1">
      <c r="A6" s="350"/>
      <c r="B6" s="351"/>
      <c r="C6" s="3513" t="s">
        <v>1677</v>
      </c>
      <c r="D6" s="3457"/>
      <c r="E6" s="3550" t="s">
        <v>1677</v>
      </c>
      <c r="F6" s="3459"/>
      <c r="G6" s="3513" t="s">
        <v>1677</v>
      </c>
      <c r="H6" s="3457"/>
      <c r="I6" s="3513" t="s">
        <v>1677</v>
      </c>
      <c r="J6" s="3457"/>
      <c r="K6" s="537" t="s">
        <v>1678</v>
      </c>
      <c r="L6" s="2482"/>
      <c r="M6" s="2483"/>
      <c r="N6" s="2483"/>
      <c r="O6" s="2483"/>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450" t="s">
        <v>1680</v>
      </c>
      <c r="Q7" s="346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50" t="s">
        <v>1683</v>
      </c>
      <c r="Q8" s="3451"/>
      <c r="R8" s="664" t="s">
        <v>14</v>
      </c>
      <c r="S8" s="665">
        <f t="shared" si="0"/>
        <v>100</v>
      </c>
      <c r="T8" s="664" t="s">
        <v>14</v>
      </c>
      <c r="U8" s="665">
        <f t="shared" si="1"/>
        <v>100</v>
      </c>
      <c r="V8" s="664" t="s">
        <v>14</v>
      </c>
      <c r="W8" s="665">
        <f t="shared" si="2"/>
        <v>100</v>
      </c>
      <c r="X8" s="666"/>
      <c r="Y8" s="3450" t="s">
        <v>1683</v>
      </c>
      <c r="Z8" s="345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73" t="s">
        <v>1686</v>
      </c>
      <c r="Q9" s="530" t="str">
        <f t="shared" ref="Q9:Q14" si="6">B9</f>
        <v>用途</v>
      </c>
      <c r="R9" s="664" t="s">
        <v>14</v>
      </c>
      <c r="S9" s="665">
        <f t="shared" si="0"/>
        <v>100</v>
      </c>
      <c r="T9" s="664" t="s">
        <v>14</v>
      </c>
      <c r="U9" s="665">
        <f t="shared" si="1"/>
        <v>100</v>
      </c>
      <c r="V9" s="664" t="s">
        <v>14</v>
      </c>
      <c r="W9" s="665">
        <f t="shared" si="2"/>
        <v>100</v>
      </c>
      <c r="X9" s="666"/>
      <c r="Y9" s="3332"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73"/>
      <c r="Q10" s="530" t="str">
        <f t="shared" si="6"/>
        <v>土地使用年限（年）</v>
      </c>
      <c r="R10" s="664" t="s">
        <v>14</v>
      </c>
      <c r="S10" s="665">
        <f t="shared" si="0"/>
        <v>100</v>
      </c>
      <c r="T10" s="664" t="s">
        <v>14</v>
      </c>
      <c r="U10" s="665">
        <f t="shared" si="1"/>
        <v>100</v>
      </c>
      <c r="V10" s="664" t="s">
        <v>14</v>
      </c>
      <c r="W10" s="665">
        <f t="shared" si="2"/>
        <v>100</v>
      </c>
      <c r="X10" s="666"/>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73"/>
      <c r="Q11" s="530">
        <f t="shared" si="6"/>
        <v>111</v>
      </c>
      <c r="R11" s="664" t="s">
        <v>14</v>
      </c>
      <c r="S11" s="665">
        <f t="shared" si="0"/>
        <v>100</v>
      </c>
      <c r="T11" s="664" t="s">
        <v>14</v>
      </c>
      <c r="U11" s="665">
        <f t="shared" si="1"/>
        <v>100</v>
      </c>
      <c r="V11" s="664" t="s">
        <v>14</v>
      </c>
      <c r="W11" s="665">
        <f t="shared" si="2"/>
        <v>100</v>
      </c>
      <c r="X11" s="666"/>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7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7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79.4">
      <c r="A14" s="379" t="s">
        <v>1690</v>
      </c>
      <c r="B14" s="58" t="s">
        <v>1833</v>
      </c>
      <c r="C14" s="1818" t="str">
        <f>IF(B1="工业",估价对象房地状况!G4,估价对象房地状况!C6)</f>
        <v>估价对象临城市快速路——东二环，公交：44、75、142、200，距地铁2号线、3号线东四十条站约352米，项目内部有停车位，停车便捷程度较好，综合评价交通便捷度较好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66" t="s">
        <v>1691</v>
      </c>
      <c r="Q14" s="1262" t="str">
        <f t="shared" si="6"/>
        <v>交通便捷度</v>
      </c>
      <c r="R14" s="667" t="s">
        <v>14</v>
      </c>
      <c r="S14" s="668">
        <f t="shared" si="0"/>
        <v>100</v>
      </c>
      <c r="T14" s="667" t="s">
        <v>14</v>
      </c>
      <c r="U14" s="668">
        <f t="shared" si="1"/>
        <v>100</v>
      </c>
      <c r="V14" s="667" t="s">
        <v>14</v>
      </c>
      <c r="W14" s="668">
        <f t="shared" si="2"/>
        <v>100</v>
      </c>
      <c r="X14" s="1264"/>
      <c r="Y14" s="346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67"/>
      <c r="Q15" s="1262"/>
      <c r="R15" s="667"/>
      <c r="S15" s="668"/>
      <c r="T15" s="667"/>
      <c r="U15" s="668"/>
      <c r="V15" s="667"/>
      <c r="W15" s="668"/>
      <c r="X15" s="1264"/>
      <c r="Y15" s="3467"/>
      <c r="Z15" s="1263"/>
      <c r="AA15" s="1263">
        <v>1</v>
      </c>
      <c r="AB15" s="1263">
        <v>1</v>
      </c>
      <c r="AC15" s="1263">
        <v>1</v>
      </c>
    </row>
    <row r="16" spans="1:29" ht="69">
      <c r="A16" s="367"/>
      <c r="B16" s="390" t="s">
        <v>1812</v>
      </c>
      <c r="C16" s="1753" t="str">
        <f>IF(B1="工业",估价对象房地状况!G5,估价对象房地状况!C7)</f>
        <v>估价对象所在区域公共配套设施齐备情况：商场（东环广场、</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67"/>
      <c r="Q16" s="1262" t="str">
        <f>B16</f>
        <v>公共配套设施</v>
      </c>
      <c r="R16" s="667" t="s">
        <v>14</v>
      </c>
      <c r="S16" s="668">
        <f>F16</f>
        <v>100</v>
      </c>
      <c r="T16" s="667" t="s">
        <v>14</v>
      </c>
      <c r="U16" s="668">
        <f>H16</f>
        <v>100</v>
      </c>
      <c r="V16" s="667" t="s">
        <v>14</v>
      </c>
      <c r="W16" s="668">
        <f>J16</f>
        <v>100</v>
      </c>
      <c r="X16" s="1264"/>
      <c r="Y16" s="346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467"/>
      <c r="Q17" s="1262"/>
      <c r="R17" s="667"/>
      <c r="S17" s="668"/>
      <c r="T17" s="667"/>
      <c r="U17" s="668"/>
      <c r="V17" s="667"/>
      <c r="W17" s="668"/>
      <c r="X17" s="1264"/>
      <c r="Y17" s="3467"/>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67"/>
      <c r="Q18" s="1262" t="str">
        <f>B18</f>
        <v>基础设施水平</v>
      </c>
      <c r="R18" s="667" t="s">
        <v>14</v>
      </c>
      <c r="S18" s="668">
        <f>F18</f>
        <v>100</v>
      </c>
      <c r="T18" s="667" t="s">
        <v>14</v>
      </c>
      <c r="U18" s="668">
        <f>H18</f>
        <v>100</v>
      </c>
      <c r="V18" s="667" t="s">
        <v>14</v>
      </c>
      <c r="W18" s="668">
        <f>J18</f>
        <v>100</v>
      </c>
      <c r="X18" s="1264"/>
      <c r="Y18" s="346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467"/>
      <c r="Q19" s="1262"/>
      <c r="R19" s="667"/>
      <c r="S19" s="668"/>
      <c r="T19" s="667"/>
      <c r="U19" s="668"/>
      <c r="V19" s="667"/>
      <c r="W19" s="668"/>
      <c r="X19" s="1264"/>
      <c r="Y19" s="3467"/>
      <c r="Z19" s="1263"/>
      <c r="AA19" s="1263">
        <v>1</v>
      </c>
      <c r="AB19" s="1263">
        <v>1</v>
      </c>
      <c r="AC19" s="1263">
        <v>1</v>
      </c>
    </row>
    <row r="20" spans="1:29" ht="262.2">
      <c r="A20" s="367"/>
      <c r="B20" s="390" t="s">
        <v>1834</v>
      </c>
      <c r="C20" s="1753" t="str">
        <f>IF(B1="工业",估价对象房地状况!G7,估价对象房地状况!C9)</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67"/>
      <c r="Q20" s="1262" t="str">
        <f>B20</f>
        <v>自然及人文环境</v>
      </c>
      <c r="R20" s="667" t="s">
        <v>14</v>
      </c>
      <c r="S20" s="668">
        <f>F20</f>
        <v>100</v>
      </c>
      <c r="T20" s="667" t="s">
        <v>14</v>
      </c>
      <c r="U20" s="668">
        <f>H20</f>
        <v>100</v>
      </c>
      <c r="V20" s="667" t="s">
        <v>14</v>
      </c>
      <c r="W20" s="668">
        <f>J20</f>
        <v>100</v>
      </c>
      <c r="X20" s="1264"/>
      <c r="Y20" s="346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67"/>
      <c r="Q21" s="1262"/>
      <c r="R21" s="667"/>
      <c r="S21" s="668"/>
      <c r="T21" s="667"/>
      <c r="U21" s="668"/>
      <c r="V21" s="667"/>
      <c r="W21" s="668"/>
      <c r="X21" s="1264"/>
      <c r="Y21" s="346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67"/>
      <c r="Q22" s="1262" t="str">
        <f>B22</f>
        <v>楼层</v>
      </c>
      <c r="R22" s="667" t="s">
        <v>14</v>
      </c>
      <c r="S22" s="668">
        <f>F22</f>
        <v>100</v>
      </c>
      <c r="T22" s="667" t="s">
        <v>14</v>
      </c>
      <c r="U22" s="668">
        <f>H22</f>
        <v>100</v>
      </c>
      <c r="V22" s="667" t="s">
        <v>14</v>
      </c>
      <c r="W22" s="668">
        <f>J22</f>
        <v>100</v>
      </c>
      <c r="X22" s="1264"/>
      <c r="Y22" s="346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67"/>
      <c r="Q23" s="1262">
        <f>B23</f>
        <v>111</v>
      </c>
      <c r="R23" s="667" t="s">
        <v>14</v>
      </c>
      <c r="S23" s="668">
        <f>F23</f>
        <v>100</v>
      </c>
      <c r="T23" s="667" t="s">
        <v>14</v>
      </c>
      <c r="U23" s="668">
        <f>H23</f>
        <v>100</v>
      </c>
      <c r="V23" s="667" t="s">
        <v>14</v>
      </c>
      <c r="W23" s="668">
        <f>J23</f>
        <v>100</v>
      </c>
      <c r="X23" s="1264"/>
      <c r="Y23" s="346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67"/>
      <c r="Q24" s="1262">
        <f t="shared" ref="Q24:Q34" si="11">B24</f>
        <v>111</v>
      </c>
      <c r="R24" s="667" t="s">
        <v>14</v>
      </c>
      <c r="S24" s="668">
        <f>F24</f>
        <v>100</v>
      </c>
      <c r="T24" s="667" t="s">
        <v>14</v>
      </c>
      <c r="U24" s="668">
        <f>H24</f>
        <v>100</v>
      </c>
      <c r="V24" s="667" t="s">
        <v>14</v>
      </c>
      <c r="W24" s="668">
        <f>J24</f>
        <v>100</v>
      </c>
      <c r="X24" s="1264"/>
      <c r="Y24" s="346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467"/>
      <c r="Q25" s="530">
        <f t="shared" si="11"/>
        <v>111</v>
      </c>
      <c r="R25" s="664" t="s">
        <v>14</v>
      </c>
      <c r="S25" s="665">
        <f>F25</f>
        <v>100</v>
      </c>
      <c r="T25" s="664" t="s">
        <v>14</v>
      </c>
      <c r="U25" s="665">
        <f>H25</f>
        <v>100</v>
      </c>
      <c r="V25" s="664" t="s">
        <v>14</v>
      </c>
      <c r="W25" s="665">
        <f>J25</f>
        <v>100</v>
      </c>
      <c r="X25" s="666"/>
      <c r="Y25" s="346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55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7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71"/>
      <c r="Q27" s="531" t="str">
        <f t="shared" si="11"/>
        <v>成新率</v>
      </c>
      <c r="R27" s="669" t="s">
        <v>14</v>
      </c>
      <c r="S27" s="670" t="e">
        <f t="shared" si="12"/>
        <v>#N/A</v>
      </c>
      <c r="T27" s="669" t="s">
        <v>14</v>
      </c>
      <c r="U27" s="670" t="e">
        <f t="shared" si="13"/>
        <v>#N/A</v>
      </c>
      <c r="V27" s="669" t="s">
        <v>14</v>
      </c>
      <c r="W27" s="670" t="e">
        <f t="shared" si="14"/>
        <v>#N/A</v>
      </c>
      <c r="X27" s="671"/>
      <c r="Y27" s="347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71"/>
      <c r="Q28" s="1262" t="str">
        <f t="shared" si="11"/>
        <v>物业等级</v>
      </c>
      <c r="R28" s="667" t="s">
        <v>14</v>
      </c>
      <c r="S28" s="668">
        <f t="shared" si="12"/>
        <v>100</v>
      </c>
      <c r="T28" s="667" t="s">
        <v>14</v>
      </c>
      <c r="U28" s="668">
        <f t="shared" si="13"/>
        <v>100</v>
      </c>
      <c r="V28" s="667" t="s">
        <v>14</v>
      </c>
      <c r="W28" s="668">
        <f t="shared" si="14"/>
        <v>100</v>
      </c>
      <c r="X28" s="1264"/>
      <c r="Y28" s="347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71"/>
      <c r="Q29" s="1262" t="str">
        <f t="shared" si="11"/>
        <v>有无电梯</v>
      </c>
      <c r="R29" s="667" t="s">
        <v>14</v>
      </c>
      <c r="S29" s="668">
        <f t="shared" si="12"/>
        <v>100</v>
      </c>
      <c r="T29" s="667" t="s">
        <v>14</v>
      </c>
      <c r="U29" s="668">
        <f t="shared" si="13"/>
        <v>100</v>
      </c>
      <c r="V29" s="667" t="s">
        <v>14</v>
      </c>
      <c r="W29" s="668">
        <f t="shared" si="14"/>
        <v>100</v>
      </c>
      <c r="X29" s="1264"/>
      <c r="Y29" s="347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71"/>
      <c r="Q30" s="1262" t="str">
        <f t="shared" si="11"/>
        <v>建筑面积</v>
      </c>
      <c r="R30" s="667" t="s">
        <v>14</v>
      </c>
      <c r="S30" s="668" t="e">
        <f t="shared" si="12"/>
        <v>#N/A</v>
      </c>
      <c r="T30" s="667" t="s">
        <v>14</v>
      </c>
      <c r="U30" s="668" t="e">
        <f t="shared" si="13"/>
        <v>#N/A</v>
      </c>
      <c r="V30" s="667" t="s">
        <v>14</v>
      </c>
      <c r="W30" s="668" t="e">
        <f t="shared" si="14"/>
        <v>#N/A</v>
      </c>
      <c r="X30" s="1264"/>
      <c r="Y30" s="347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71"/>
      <c r="Q31" s="530" t="str">
        <f t="shared" si="11"/>
        <v>是否封闭</v>
      </c>
      <c r="R31" s="664" t="s">
        <v>14</v>
      </c>
      <c r="S31" s="665">
        <f t="shared" si="12"/>
        <v>100</v>
      </c>
      <c r="T31" s="664" t="s">
        <v>14</v>
      </c>
      <c r="U31" s="665">
        <f t="shared" si="13"/>
        <v>100</v>
      </c>
      <c r="V31" s="664" t="s">
        <v>14</v>
      </c>
      <c r="W31" s="665">
        <f t="shared" si="14"/>
        <v>100</v>
      </c>
      <c r="X31" s="666"/>
      <c r="Y31" s="34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71" t="s">
        <v>1696</v>
      </c>
      <c r="Q32" s="1262">
        <f t="shared" si="11"/>
        <v>111</v>
      </c>
      <c r="R32" s="667" t="s">
        <v>14</v>
      </c>
      <c r="S32" s="668">
        <f t="shared" si="12"/>
        <v>100</v>
      </c>
      <c r="T32" s="667" t="s">
        <v>14</v>
      </c>
      <c r="U32" s="668">
        <f t="shared" si="13"/>
        <v>100</v>
      </c>
      <c r="V32" s="667" t="s">
        <v>14</v>
      </c>
      <c r="W32" s="668">
        <f t="shared" si="14"/>
        <v>100</v>
      </c>
      <c r="X32" s="1264"/>
      <c r="Y32" s="347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71"/>
      <c r="Q33" s="1262">
        <f t="shared" si="11"/>
        <v>111</v>
      </c>
      <c r="R33" s="667" t="s">
        <v>14</v>
      </c>
      <c r="S33" s="668">
        <f t="shared" si="12"/>
        <v>100</v>
      </c>
      <c r="T33" s="667" t="s">
        <v>14</v>
      </c>
      <c r="U33" s="668">
        <f t="shared" si="13"/>
        <v>100</v>
      </c>
      <c r="V33" s="667" t="s">
        <v>14</v>
      </c>
      <c r="W33" s="668">
        <f t="shared" si="14"/>
        <v>100</v>
      </c>
      <c r="X33" s="1264"/>
      <c r="Y33" s="347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71"/>
      <c r="Q34" s="1262">
        <f t="shared" si="11"/>
        <v>111</v>
      </c>
      <c r="R34" s="667" t="s">
        <v>14</v>
      </c>
      <c r="S34" s="668">
        <f t="shared" si="12"/>
        <v>100</v>
      </c>
      <c r="T34" s="667" t="s">
        <v>14</v>
      </c>
      <c r="U34" s="668">
        <f t="shared" si="13"/>
        <v>100</v>
      </c>
      <c r="V34" s="667" t="s">
        <v>14</v>
      </c>
      <c r="W34" s="668">
        <f t="shared" si="14"/>
        <v>100</v>
      </c>
      <c r="X34" s="1264"/>
      <c r="Y34" s="3471"/>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0"/>
      <c r="M35" s="2483"/>
      <c r="N35" s="2483"/>
      <c r="O35" s="2483"/>
      <c r="P35" s="3473" t="str">
        <f>A35</f>
        <v>成交单价（元/平方米）</v>
      </c>
      <c r="Q35" s="3473"/>
      <c r="R35" s="3455">
        <f>E35</f>
        <v>0</v>
      </c>
      <c r="S35" s="3455"/>
      <c r="T35" s="3455">
        <f>G35</f>
        <v>0</v>
      </c>
      <c r="U35" s="3455"/>
      <c r="V35" s="3455">
        <f>I35</f>
        <v>0</v>
      </c>
      <c r="W35" s="3455"/>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0"/>
      <c r="M36" s="2483"/>
      <c r="N36" s="2483"/>
      <c r="O36" s="2483"/>
      <c r="P36" s="3473" t="str">
        <f>A36</f>
        <v>比较价值（元/平方米）</v>
      </c>
      <c r="Q36" s="3473"/>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540" t="str">
        <f>A37</f>
        <v>估价对象XX用房的比较价值（楼面单价，元/平方米）</v>
      </c>
      <c r="Q37" s="3541"/>
      <c r="R37" s="3552" t="e">
        <f>IF(F1="售价",ROUND(IF(D36="简单平均",AVERAGE(R36:W36),R36*F36+T36*H36+V36*J36),0),ROUND(IF(D36="简单平均",AVERAGE(R36:V36),R36*F36+T36*H36+V36*J36),1))</f>
        <v>#DIV/0!</v>
      </c>
      <c r="S37" s="3552"/>
      <c r="T37" s="3552"/>
      <c r="U37" s="3552"/>
      <c r="V37" s="3552"/>
      <c r="W37" s="355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C2" xr:uid="{00000000-0002-0000-2B00-00000E000000}">
      <formula1>"需扣减承租人权益,——"</formula1>
    </dataValidation>
    <dataValidation type="list" allowBlank="1" showInputMessage="1" showErrorMessage="1" sqref="F2" xr:uid="{00000000-0002-0000-2B00-00000F000000}">
      <formula1>估价方法</formula1>
    </dataValidation>
    <dataValidation type="list" allowBlank="1" showInputMessage="1" showErrorMessage="1" sqref="D36" xr:uid="{00000000-0002-0000-2B00-000010000000}">
      <formula1>"简单平均,加权平均"</formula1>
    </dataValidation>
    <dataValidation type="list" allowBlank="1" showInputMessage="1" showErrorMessage="1" sqref="E1" xr:uid="{00000000-0002-0000-2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544" t="s">
        <v>1775</v>
      </c>
      <c r="Q4" s="3545"/>
      <c r="R4" s="3548" t="s">
        <v>1771</v>
      </c>
      <c r="S4" s="3549"/>
      <c r="T4" s="3548" t="s">
        <v>1772</v>
      </c>
      <c r="U4" s="3549"/>
      <c r="V4" s="3455" t="s">
        <v>1773</v>
      </c>
      <c r="W4" s="3455"/>
      <c r="X4" s="1264"/>
      <c r="Y4" s="3548" t="s">
        <v>1775</v>
      </c>
      <c r="Z4" s="3549"/>
      <c r="AA4" s="3543" t="s">
        <v>1771</v>
      </c>
      <c r="AB4" s="3426" t="s">
        <v>1772</v>
      </c>
      <c r="AC4" s="3543" t="s">
        <v>1773</v>
      </c>
    </row>
    <row r="5" spans="1:29">
      <c r="A5" s="348"/>
      <c r="B5" s="349"/>
      <c r="C5" s="3449" t="s">
        <v>1673</v>
      </c>
      <c r="D5" s="3446"/>
      <c r="E5" s="3447" t="s">
        <v>1674</v>
      </c>
      <c r="F5" s="3448"/>
      <c r="G5" s="3449" t="s">
        <v>1675</v>
      </c>
      <c r="H5" s="3446"/>
      <c r="I5" s="3449" t="s">
        <v>1676</v>
      </c>
      <c r="J5" s="3446"/>
      <c r="K5" s="537"/>
      <c r="L5" s="2482"/>
      <c r="M5" s="2483"/>
      <c r="N5" s="2483"/>
      <c r="O5" s="2483"/>
      <c r="P5" s="3546"/>
      <c r="Q5" s="3438"/>
      <c r="R5" s="3443"/>
      <c r="S5" s="3444"/>
      <c r="T5" s="3443"/>
      <c r="U5" s="3444"/>
      <c r="V5" s="3455"/>
      <c r="W5" s="3455"/>
      <c r="X5" s="1264"/>
      <c r="Y5" s="3443"/>
      <c r="Z5" s="3444"/>
      <c r="AA5" s="3426"/>
      <c r="AB5" s="3426"/>
      <c r="AC5" s="3426"/>
    </row>
    <row r="6" spans="1:29" ht="15" thickBot="1">
      <c r="A6" s="350"/>
      <c r="B6" s="351"/>
      <c r="C6" s="3513" t="s">
        <v>1677</v>
      </c>
      <c r="D6" s="3457"/>
      <c r="E6" s="3550" t="s">
        <v>1677</v>
      </c>
      <c r="F6" s="3459"/>
      <c r="G6" s="3513" t="s">
        <v>1677</v>
      </c>
      <c r="H6" s="3457"/>
      <c r="I6" s="3513" t="s">
        <v>1677</v>
      </c>
      <c r="J6" s="3457"/>
      <c r="K6" s="537" t="s">
        <v>1678</v>
      </c>
      <c r="L6" s="2482"/>
      <c r="M6" s="2483"/>
      <c r="N6" s="2483"/>
      <c r="O6" s="2483"/>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450" t="s">
        <v>1680</v>
      </c>
      <c r="Q7" s="346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50" t="s">
        <v>1683</v>
      </c>
      <c r="Q8" s="3451"/>
      <c r="R8" s="664" t="s">
        <v>14</v>
      </c>
      <c r="S8" s="665">
        <f t="shared" si="0"/>
        <v>0</v>
      </c>
      <c r="T8" s="664" t="s">
        <v>14</v>
      </c>
      <c r="U8" s="665">
        <f t="shared" si="1"/>
        <v>0</v>
      </c>
      <c r="V8" s="664" t="s">
        <v>14</v>
      </c>
      <c r="W8" s="665">
        <f t="shared" si="2"/>
        <v>0</v>
      </c>
      <c r="X8" s="666"/>
      <c r="Y8" s="3450" t="s">
        <v>1683</v>
      </c>
      <c r="Z8" s="3451"/>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7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5"/>
      <c r="M10" s="2486"/>
      <c r="N10" s="2486"/>
      <c r="O10" s="2537"/>
      <c r="P10" s="3473"/>
      <c r="Q10" s="530" t="str">
        <f t="shared" si="6"/>
        <v>土地使用年限（年）</v>
      </c>
      <c r="R10" s="664" t="s">
        <v>14</v>
      </c>
      <c r="S10" s="665">
        <f t="shared" si="0"/>
        <v>152</v>
      </c>
      <c r="T10" s="664" t="s">
        <v>14</v>
      </c>
      <c r="U10" s="665">
        <f t="shared" si="1"/>
        <v>152</v>
      </c>
      <c r="V10" s="664" t="s">
        <v>14</v>
      </c>
      <c r="W10" s="665">
        <f t="shared" si="2"/>
        <v>152</v>
      </c>
      <c r="X10" s="666"/>
      <c r="Y10" s="3332"/>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73"/>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73"/>
      <c r="Q12" s="530" t="str">
        <f t="shared" si="6"/>
        <v>配建</v>
      </c>
      <c r="R12" s="664" t="s">
        <v>14</v>
      </c>
      <c r="S12" s="665">
        <f t="shared" si="0"/>
        <v>100</v>
      </c>
      <c r="T12" s="664" t="s">
        <v>14</v>
      </c>
      <c r="U12" s="665">
        <f t="shared" si="1"/>
        <v>100</v>
      </c>
      <c r="V12" s="664" t="s">
        <v>14</v>
      </c>
      <c r="W12" s="665">
        <f t="shared" si="2"/>
        <v>100</v>
      </c>
      <c r="X12" s="666"/>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73"/>
      <c r="Q13" s="530">
        <f t="shared" si="6"/>
        <v>111</v>
      </c>
      <c r="R13" s="664" t="s">
        <v>14</v>
      </c>
      <c r="S13" s="665">
        <f t="shared" si="0"/>
        <v>100</v>
      </c>
      <c r="T13" s="664" t="s">
        <v>14</v>
      </c>
      <c r="U13" s="665">
        <f t="shared" si="1"/>
        <v>100</v>
      </c>
      <c r="V13" s="664" t="s">
        <v>14</v>
      </c>
      <c r="W13" s="665">
        <f t="shared" si="2"/>
        <v>100</v>
      </c>
      <c r="X13" s="666"/>
      <c r="Y13" s="333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73"/>
      <c r="Q14" s="530">
        <f t="shared" si="6"/>
        <v>111</v>
      </c>
      <c r="R14" s="664" t="s">
        <v>14</v>
      </c>
      <c r="S14" s="665">
        <f t="shared" si="0"/>
        <v>100</v>
      </c>
      <c r="T14" s="664" t="s">
        <v>14</v>
      </c>
      <c r="U14" s="665">
        <f t="shared" si="1"/>
        <v>100</v>
      </c>
      <c r="V14" s="664" t="s">
        <v>14</v>
      </c>
      <c r="W14" s="665">
        <f t="shared" si="2"/>
        <v>100</v>
      </c>
      <c r="X14" s="666"/>
      <c r="Y14" s="3332"/>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66" t="s">
        <v>1691</v>
      </c>
      <c r="Q15" s="1262" t="str">
        <f t="shared" si="6"/>
        <v>居住社区成熟度</v>
      </c>
      <c r="R15" s="667" t="s">
        <v>14</v>
      </c>
      <c r="S15" s="668">
        <f t="shared" si="0"/>
        <v>100</v>
      </c>
      <c r="T15" s="667" t="s">
        <v>14</v>
      </c>
      <c r="U15" s="668">
        <f t="shared" si="1"/>
        <v>100</v>
      </c>
      <c r="V15" s="667" t="s">
        <v>14</v>
      </c>
      <c r="W15" s="668">
        <f t="shared" si="2"/>
        <v>100</v>
      </c>
      <c r="X15" s="1264"/>
      <c r="Y15" s="346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467"/>
      <c r="Q16" s="1262"/>
      <c r="R16" s="667"/>
      <c r="S16" s="668"/>
      <c r="T16" s="667"/>
      <c r="U16" s="668"/>
      <c r="V16" s="667"/>
      <c r="W16" s="668"/>
      <c r="X16" s="1264"/>
      <c r="Y16" s="3467"/>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67"/>
      <c r="Q17" s="1262" t="str">
        <f>B17</f>
        <v>商业繁华度</v>
      </c>
      <c r="R17" s="667" t="s">
        <v>14</v>
      </c>
      <c r="S17" s="668">
        <f>F17</f>
        <v>100</v>
      </c>
      <c r="T17" s="667" t="s">
        <v>14</v>
      </c>
      <c r="U17" s="668">
        <f>H17</f>
        <v>100</v>
      </c>
      <c r="V17" s="667" t="s">
        <v>14</v>
      </c>
      <c r="W17" s="668">
        <f>J17</f>
        <v>100</v>
      </c>
      <c r="X17" s="1264"/>
      <c r="Y17" s="346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467"/>
      <c r="Q18" s="1262"/>
      <c r="R18" s="667"/>
      <c r="S18" s="668"/>
      <c r="T18" s="667"/>
      <c r="U18" s="668"/>
      <c r="V18" s="667"/>
      <c r="W18" s="668"/>
      <c r="X18" s="1264"/>
      <c r="Y18" s="3467"/>
      <c r="Z18" s="1263"/>
      <c r="AA18" s="1263">
        <v>1</v>
      </c>
      <c r="AB18" s="1263">
        <v>1</v>
      </c>
      <c r="AC18" s="1263">
        <v>1</v>
      </c>
    </row>
    <row r="19" spans="1:29" ht="151.80000000000001">
      <c r="A19" s="367"/>
      <c r="B19" s="390" t="s">
        <v>1811</v>
      </c>
      <c r="C19" s="1805" t="str">
        <f>估价对象房地状况!C17</f>
        <v>估价对象位于东二环至东三环，周边有首创大厦、鸿晟国际中心、美惠大厦、港澳中心、五矿大厦等办公楼项目较多，入驻率高，办公集聚程度较好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67"/>
      <c r="Q19" s="1262" t="str">
        <f>B19</f>
        <v>办公集聚程度</v>
      </c>
      <c r="R19" s="667" t="s">
        <v>14</v>
      </c>
      <c r="S19" s="668">
        <f>F19</f>
        <v>100</v>
      </c>
      <c r="T19" s="667" t="s">
        <v>14</v>
      </c>
      <c r="U19" s="668">
        <f>H19</f>
        <v>100</v>
      </c>
      <c r="V19" s="667" t="s">
        <v>14</v>
      </c>
      <c r="W19" s="668">
        <f>J19</f>
        <v>100</v>
      </c>
      <c r="X19" s="1264"/>
      <c r="Y19" s="346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467"/>
      <c r="Q20" s="1262"/>
      <c r="R20" s="667"/>
      <c r="S20" s="668"/>
      <c r="T20" s="667"/>
      <c r="U20" s="668"/>
      <c r="V20" s="667"/>
      <c r="W20" s="668"/>
      <c r="X20" s="1264"/>
      <c r="Y20" s="3467"/>
      <c r="Z20" s="1263"/>
      <c r="AA20" s="1263">
        <v>1</v>
      </c>
      <c r="AB20" s="1263">
        <v>1</v>
      </c>
      <c r="AC20" s="1263">
        <v>1</v>
      </c>
    </row>
    <row r="21" spans="1:29" ht="179.4">
      <c r="A21" s="367"/>
      <c r="B21" s="390" t="s">
        <v>1833</v>
      </c>
      <c r="C21" s="1753" t="str">
        <f>估价对象房地状况!C18</f>
        <v>估价对象临城市快速路——东二环，公交：44、75、142、200，距地铁2号线、3号线东四十条站约352米，项目内部有停车位，停车便捷程度较好，综合评价交通便捷度较好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67"/>
      <c r="Q21" s="1262" t="str">
        <f>B21</f>
        <v>交通便捷度</v>
      </c>
      <c r="R21" s="667" t="s">
        <v>14</v>
      </c>
      <c r="S21" s="668">
        <f>F21</f>
        <v>100</v>
      </c>
      <c r="T21" s="667" t="s">
        <v>14</v>
      </c>
      <c r="U21" s="668">
        <f>H21</f>
        <v>100</v>
      </c>
      <c r="V21" s="667" t="s">
        <v>14</v>
      </c>
      <c r="W21" s="668">
        <f>J21</f>
        <v>100</v>
      </c>
      <c r="X21" s="1264"/>
      <c r="Y21" s="346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467"/>
      <c r="Q22" s="1262"/>
      <c r="R22" s="667"/>
      <c r="S22" s="668"/>
      <c r="T22" s="667"/>
      <c r="U22" s="668"/>
      <c r="V22" s="667"/>
      <c r="W22" s="668"/>
      <c r="X22" s="1264"/>
      <c r="Y22" s="3467"/>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67"/>
      <c r="Q23" s="1262" t="str">
        <f t="shared" ref="Q23:Q37" si="8">B23</f>
        <v>区域土地利用方向</v>
      </c>
      <c r="R23" s="667" t="s">
        <v>14</v>
      </c>
      <c r="S23" s="668">
        <f>F23</f>
        <v>100</v>
      </c>
      <c r="T23" s="667" t="s">
        <v>14</v>
      </c>
      <c r="U23" s="668">
        <f>H23</f>
        <v>100</v>
      </c>
      <c r="V23" s="667" t="s">
        <v>14</v>
      </c>
      <c r="W23" s="668">
        <f>J23</f>
        <v>100</v>
      </c>
      <c r="X23" s="1264"/>
      <c r="Y23" s="346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467"/>
      <c r="Q24" s="1262"/>
      <c r="R24" s="667"/>
      <c r="S24" s="668"/>
      <c r="T24" s="667"/>
      <c r="U24" s="668"/>
      <c r="V24" s="667"/>
      <c r="W24" s="668"/>
      <c r="X24" s="1264"/>
      <c r="Y24" s="3467"/>
      <c r="Z24" s="1263"/>
      <c r="AA24" s="1263"/>
      <c r="AB24" s="1263"/>
      <c r="AC24" s="1263"/>
    </row>
    <row r="25" spans="1:29" ht="262.2">
      <c r="A25" s="348"/>
      <c r="B25" s="586" t="s">
        <v>1872</v>
      </c>
      <c r="C25" s="1805" t="str">
        <f>估价对象房地状况!C20</f>
        <v>区域自然环境：新中街城市森林公园、东四奥林匹克社区公园、日坛公园、东城区亮马河公园；人文环境：保利艺术博物馆、北京民俗博物馆、东四胡同博物馆、首都医科大学中医研修学院、中国人民大学（老校区）；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67"/>
      <c r="Q25" s="1262" t="str">
        <f t="shared" si="8"/>
        <v>自然及人文环境状况</v>
      </c>
      <c r="R25" s="667" t="s">
        <v>14</v>
      </c>
      <c r="S25" s="668">
        <f>F25</f>
        <v>100</v>
      </c>
      <c r="T25" s="667" t="s">
        <v>14</v>
      </c>
      <c r="U25" s="668">
        <f>H25</f>
        <v>100</v>
      </c>
      <c r="V25" s="667" t="s">
        <v>14</v>
      </c>
      <c r="W25" s="668">
        <f>J25</f>
        <v>100</v>
      </c>
      <c r="X25" s="1264"/>
      <c r="Y25" s="346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467"/>
      <c r="Q26" s="1262"/>
      <c r="R26" s="667"/>
      <c r="S26" s="668"/>
      <c r="T26" s="667"/>
      <c r="U26" s="668"/>
      <c r="V26" s="667"/>
      <c r="W26" s="668"/>
      <c r="X26" s="1264"/>
      <c r="Y26" s="3467"/>
      <c r="Z26" s="1263"/>
      <c r="AA26" s="1263">
        <v>1</v>
      </c>
      <c r="AB26" s="1263">
        <v>1</v>
      </c>
      <c r="AC26" s="1263">
        <v>1</v>
      </c>
    </row>
    <row r="27" spans="1:29" s="102" customFormat="1" ht="69">
      <c r="A27" s="443"/>
      <c r="B27" s="586" t="s">
        <v>1778</v>
      </c>
      <c r="C27" s="1753" t="str">
        <f>估价对象房地状况!C21</f>
        <v>估价对象所在区域公共配套设施齐备情况：商场（东环广场、</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67"/>
      <c r="Q27" s="530" t="str">
        <f t="shared" si="8"/>
        <v>公共配套设施</v>
      </c>
      <c r="R27" s="664" t="s">
        <v>14</v>
      </c>
      <c r="S27" s="665">
        <f>F27</f>
        <v>100</v>
      </c>
      <c r="T27" s="664" t="s">
        <v>14</v>
      </c>
      <c r="U27" s="665">
        <f>H27</f>
        <v>100</v>
      </c>
      <c r="V27" s="664" t="s">
        <v>14</v>
      </c>
      <c r="W27" s="665">
        <f>J27</f>
        <v>100</v>
      </c>
      <c r="X27" s="666"/>
      <c r="Y27" s="346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467"/>
      <c r="Q28" s="530"/>
      <c r="R28" s="664"/>
      <c r="S28" s="665"/>
      <c r="T28" s="664"/>
      <c r="U28" s="665"/>
      <c r="V28" s="664"/>
      <c r="W28" s="665"/>
      <c r="X28" s="666"/>
      <c r="Y28" s="3467"/>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67"/>
      <c r="Q29" s="530" t="str">
        <f t="shared" ref="Q29" si="9">B29</f>
        <v>基础设施水平</v>
      </c>
      <c r="R29" s="664" t="s">
        <v>14</v>
      </c>
      <c r="S29" s="665">
        <f>F29</f>
        <v>100</v>
      </c>
      <c r="T29" s="664" t="s">
        <v>14</v>
      </c>
      <c r="U29" s="665">
        <f>H29</f>
        <v>100</v>
      </c>
      <c r="V29" s="664" t="s">
        <v>14</v>
      </c>
      <c r="W29" s="665">
        <f>J29</f>
        <v>100</v>
      </c>
      <c r="X29" s="666"/>
      <c r="Y29" s="346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467"/>
      <c r="Q30" s="530"/>
      <c r="R30" s="664"/>
      <c r="S30" s="665"/>
      <c r="T30" s="664"/>
      <c r="U30" s="665"/>
      <c r="V30" s="664"/>
      <c r="W30" s="665"/>
      <c r="X30" s="666"/>
      <c r="Y30" s="346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6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6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67"/>
      <c r="Q32" s="1262" t="str">
        <f t="shared" si="8"/>
        <v>毗邻道路的类型与等级</v>
      </c>
      <c r="R32" s="667" t="s">
        <v>14</v>
      </c>
      <c r="S32" s="668">
        <f t="shared" si="10"/>
        <v>100</v>
      </c>
      <c r="T32" s="667" t="s">
        <v>14</v>
      </c>
      <c r="U32" s="668">
        <f t="shared" si="11"/>
        <v>100</v>
      </c>
      <c r="V32" s="667" t="s">
        <v>14</v>
      </c>
      <c r="W32" s="668">
        <f t="shared" si="12"/>
        <v>100</v>
      </c>
      <c r="X32" s="1264"/>
      <c r="Y32" s="346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467"/>
      <c r="Q33" s="1262"/>
      <c r="R33" s="667"/>
      <c r="S33" s="668"/>
      <c r="T33" s="667"/>
      <c r="U33" s="668"/>
      <c r="V33" s="667"/>
      <c r="W33" s="668"/>
      <c r="X33" s="1264"/>
      <c r="Y33" s="346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67"/>
      <c r="Q34" s="1262" t="str">
        <f t="shared" si="8"/>
        <v>土地级别</v>
      </c>
      <c r="R34" s="667" t="s">
        <v>14</v>
      </c>
      <c r="S34" s="668">
        <f t="shared" si="10"/>
        <v>100</v>
      </c>
      <c r="T34" s="667" t="s">
        <v>14</v>
      </c>
      <c r="U34" s="668">
        <f t="shared" si="11"/>
        <v>100</v>
      </c>
      <c r="V34" s="667" t="s">
        <v>14</v>
      </c>
      <c r="W34" s="668">
        <f t="shared" si="12"/>
        <v>100</v>
      </c>
      <c r="X34" s="1264"/>
      <c r="Y34" s="346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67"/>
      <c r="Q35" s="1262">
        <f t="shared" si="8"/>
        <v>111</v>
      </c>
      <c r="R35" s="667" t="s">
        <v>14</v>
      </c>
      <c r="S35" s="668">
        <f t="shared" si="10"/>
        <v>100</v>
      </c>
      <c r="T35" s="667" t="s">
        <v>14</v>
      </c>
      <c r="U35" s="668">
        <f t="shared" si="11"/>
        <v>100</v>
      </c>
      <c r="V35" s="667" t="s">
        <v>14</v>
      </c>
      <c r="W35" s="668">
        <f t="shared" si="12"/>
        <v>100</v>
      </c>
      <c r="X35" s="1264"/>
      <c r="Y35" s="346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51" t="s">
        <v>1696</v>
      </c>
      <c r="Q36" s="1262">
        <f t="shared" si="8"/>
        <v>111</v>
      </c>
      <c r="R36" s="667" t="s">
        <v>14</v>
      </c>
      <c r="S36" s="668">
        <f t="shared" si="10"/>
        <v>100</v>
      </c>
      <c r="T36" s="667" t="s">
        <v>14</v>
      </c>
      <c r="U36" s="668">
        <f t="shared" si="11"/>
        <v>100</v>
      </c>
      <c r="V36" s="667" t="s">
        <v>14</v>
      </c>
      <c r="W36" s="668">
        <f t="shared" si="12"/>
        <v>100</v>
      </c>
      <c r="X36" s="1264"/>
      <c r="Y36" s="3471"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71"/>
      <c r="Q37" s="1262">
        <f t="shared" si="8"/>
        <v>111</v>
      </c>
      <c r="R37" s="669" t="s">
        <v>14</v>
      </c>
      <c r="S37" s="670">
        <f t="shared" si="10"/>
        <v>100</v>
      </c>
      <c r="T37" s="669" t="s">
        <v>14</v>
      </c>
      <c r="U37" s="670">
        <f t="shared" si="11"/>
        <v>100</v>
      </c>
      <c r="V37" s="669" t="s">
        <v>14</v>
      </c>
      <c r="W37" s="670">
        <f t="shared" si="12"/>
        <v>100</v>
      </c>
      <c r="X37" s="671"/>
      <c r="Y37" s="3471"/>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71"/>
      <c r="Q38" s="1262" t="str">
        <f>B38</f>
        <v>宗地面积</v>
      </c>
      <c r="R38" s="667" t="s">
        <v>14</v>
      </c>
      <c r="S38" s="668" t="e">
        <f t="shared" si="10"/>
        <v>#N/A</v>
      </c>
      <c r="T38" s="667" t="s">
        <v>14</v>
      </c>
      <c r="U38" s="668" t="e">
        <f t="shared" si="11"/>
        <v>#N/A</v>
      </c>
      <c r="V38" s="667" t="s">
        <v>14</v>
      </c>
      <c r="W38" s="668" t="e">
        <f t="shared" si="12"/>
        <v>#N/A</v>
      </c>
      <c r="X38" s="1264"/>
      <c r="Y38" s="347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71"/>
      <c r="Q39" s="1262" t="str">
        <f t="shared" ref="Q39:Q45" si="14">B39</f>
        <v>宗地形状</v>
      </c>
      <c r="R39" s="667" t="s">
        <v>14</v>
      </c>
      <c r="S39" s="668">
        <f t="shared" si="10"/>
        <v>100</v>
      </c>
      <c r="T39" s="667" t="s">
        <v>14</v>
      </c>
      <c r="U39" s="668">
        <f t="shared" si="11"/>
        <v>100</v>
      </c>
      <c r="V39" s="667" t="s">
        <v>14</v>
      </c>
      <c r="W39" s="668">
        <f t="shared" si="12"/>
        <v>100</v>
      </c>
      <c r="X39" s="1264"/>
      <c r="Y39" s="347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71"/>
      <c r="Q40" s="1262" t="str">
        <f t="shared" si="14"/>
        <v>临街宽度及深度</v>
      </c>
      <c r="R40" s="667" t="s">
        <v>14</v>
      </c>
      <c r="S40" s="668">
        <f t="shared" si="10"/>
        <v>100</v>
      </c>
      <c r="T40" s="667" t="s">
        <v>14</v>
      </c>
      <c r="U40" s="668">
        <f t="shared" si="11"/>
        <v>100</v>
      </c>
      <c r="V40" s="667" t="s">
        <v>14</v>
      </c>
      <c r="W40" s="668">
        <f t="shared" si="12"/>
        <v>100</v>
      </c>
      <c r="X40" s="1264"/>
      <c r="Y40" s="347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71"/>
      <c r="Q41" s="1262" t="str">
        <f t="shared" si="14"/>
        <v>宗地开发程度</v>
      </c>
      <c r="R41" s="664" t="s">
        <v>14</v>
      </c>
      <c r="S41" s="665">
        <f t="shared" si="10"/>
        <v>100</v>
      </c>
      <c r="T41" s="664" t="s">
        <v>14</v>
      </c>
      <c r="U41" s="665">
        <f t="shared" si="11"/>
        <v>100</v>
      </c>
      <c r="V41" s="664" t="s">
        <v>14</v>
      </c>
      <c r="W41" s="665">
        <f t="shared" si="12"/>
        <v>100</v>
      </c>
      <c r="X41" s="666"/>
      <c r="Y41" s="347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71" t="s">
        <v>1696</v>
      </c>
      <c r="Q42" s="1262" t="str">
        <f t="shared" si="14"/>
        <v>工程地质条件</v>
      </c>
      <c r="R42" s="667" t="s">
        <v>14</v>
      </c>
      <c r="S42" s="668">
        <f t="shared" si="10"/>
        <v>100</v>
      </c>
      <c r="T42" s="667" t="s">
        <v>14</v>
      </c>
      <c r="U42" s="668">
        <f t="shared" si="11"/>
        <v>100</v>
      </c>
      <c r="V42" s="667" t="s">
        <v>14</v>
      </c>
      <c r="W42" s="668">
        <f t="shared" si="12"/>
        <v>100</v>
      </c>
      <c r="X42" s="1264"/>
      <c r="Y42" s="347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71"/>
      <c r="Q43" s="1262">
        <f t="shared" si="14"/>
        <v>111</v>
      </c>
      <c r="R43" s="667" t="s">
        <v>14</v>
      </c>
      <c r="S43" s="668">
        <f t="shared" si="10"/>
        <v>100</v>
      </c>
      <c r="T43" s="667" t="s">
        <v>14</v>
      </c>
      <c r="U43" s="668">
        <f t="shared" si="11"/>
        <v>100</v>
      </c>
      <c r="V43" s="667" t="s">
        <v>14</v>
      </c>
      <c r="W43" s="668">
        <f t="shared" si="12"/>
        <v>100</v>
      </c>
      <c r="X43" s="1264"/>
      <c r="Y43" s="347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71"/>
      <c r="Q44" s="1262">
        <f t="shared" si="14"/>
        <v>111</v>
      </c>
      <c r="R44" s="667" t="s">
        <v>14</v>
      </c>
      <c r="S44" s="668">
        <f t="shared" si="10"/>
        <v>100</v>
      </c>
      <c r="T44" s="667" t="s">
        <v>14</v>
      </c>
      <c r="U44" s="668">
        <f t="shared" si="11"/>
        <v>100</v>
      </c>
      <c r="V44" s="667" t="s">
        <v>14</v>
      </c>
      <c r="W44" s="668">
        <f t="shared" si="12"/>
        <v>100</v>
      </c>
      <c r="X44" s="1264"/>
      <c r="Y44" s="3471"/>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71"/>
      <c r="Q45" s="1262">
        <f t="shared" si="14"/>
        <v>111</v>
      </c>
      <c r="R45" s="669" t="s">
        <v>14</v>
      </c>
      <c r="S45" s="670">
        <f t="shared" si="10"/>
        <v>100</v>
      </c>
      <c r="T45" s="669" t="s">
        <v>14</v>
      </c>
      <c r="U45" s="670">
        <f t="shared" si="11"/>
        <v>100</v>
      </c>
      <c r="V45" s="669" t="s">
        <v>14</v>
      </c>
      <c r="W45" s="670">
        <f t="shared" si="12"/>
        <v>100</v>
      </c>
      <c r="X45" s="671"/>
      <c r="Y45" s="3471"/>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473" t="str">
        <f>A46</f>
        <v>成交单价</v>
      </c>
      <c r="Q46" s="3473"/>
      <c r="R46" s="3455">
        <f>E46</f>
        <v>0</v>
      </c>
      <c r="S46" s="3455"/>
      <c r="T46" s="3455">
        <f>G46</f>
        <v>0</v>
      </c>
      <c r="U46" s="3455"/>
      <c r="V46" s="3455">
        <f>I46</f>
        <v>0</v>
      </c>
      <c r="W46" s="345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0"/>
      <c r="M47" s="2483"/>
      <c r="N47" s="2483"/>
      <c r="O47" s="2483"/>
      <c r="P47" s="3473" t="str">
        <f>A47</f>
        <v>比较价值（元/平方米）</v>
      </c>
      <c r="Q47" s="3473"/>
      <c r="R47" s="3553" t="e">
        <f>ROUND(PRODUCT(R46,AA7:AA45),0)</f>
        <v>#DIV/0!</v>
      </c>
      <c r="S47" s="3553"/>
      <c r="T47" s="3553" t="e">
        <f>ROUND(PRODUCT(T46,AB7:AB45),0)</f>
        <v>#DIV/0!</v>
      </c>
      <c r="U47" s="3553"/>
      <c r="V47" s="3553" t="e">
        <f>ROUND(PRODUCT(V46,AC7:AC45),0)</f>
        <v>#DIV/0!</v>
      </c>
      <c r="W47" s="355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540" t="str">
        <f>A48</f>
        <v>估价对象XX用房的比较价值（楼面单价，元/平方米）</v>
      </c>
      <c r="Q48" s="3541"/>
      <c r="R48" s="3554" t="e">
        <f>ROUND(IF(D47="简单平均",AVERAGE(R47:W47),R47*F47+T47*H47+V47*J47),0)</f>
        <v>#DIV/0!</v>
      </c>
      <c r="S48" s="3554"/>
      <c r="T48" s="3554"/>
      <c r="U48" s="3554"/>
      <c r="V48" s="3554"/>
      <c r="W48" s="355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431" t="s">
        <v>1887</v>
      </c>
      <c r="H55" s="3555"/>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9775.8700000000008</v>
      </c>
      <c r="F56" s="833" t="e">
        <f t="shared" ref="F56:F64" si="15">ROUND(B56*E56/10000,0)</f>
        <v>#DIV/0!</v>
      </c>
      <c r="G56" s="3463"/>
      <c r="H56" s="3473"/>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0.3</v>
      </c>
      <c r="D60" s="891">
        <v>0.25</v>
      </c>
      <c r="E60" s="209">
        <f>'数据-汇总表'!E11</f>
        <v>1306.8499999999999</v>
      </c>
      <c r="F60" s="833" t="e">
        <f t="shared" si="15"/>
        <v>#DIV/0!</v>
      </c>
      <c r="G60" s="1834" t="s">
        <v>1896</v>
      </c>
      <c r="H60" s="834" t="str">
        <f>项目基本情况!C37</f>
        <v>二级</v>
      </c>
      <c r="I60" s="838">
        <f>SUMIF(修正!A57:A68,H60,修正!E57:E68)</f>
        <v>0.3</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917.51</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0.2</v>
      </c>
      <c r="D64" s="891">
        <v>0.25</v>
      </c>
      <c r="E64" s="209">
        <f>'数据-汇总表'!E15</f>
        <v>0</v>
      </c>
      <c r="F64" s="833" t="e">
        <f t="shared" si="15"/>
        <v>#DIV/0!</v>
      </c>
      <c r="G64" s="1835" t="s">
        <v>1896</v>
      </c>
      <c r="H64" s="844" t="str">
        <f>项目基本情况!C37</f>
        <v>二级</v>
      </c>
      <c r="I64" s="840">
        <f>SUMIF(修正!A57:A68,H64,修正!G57:G68)</f>
        <v>0.2</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12000.230000000001</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1" xr:uid="{00000000-0002-0000-2C00-000013000000}">
      <formula1>"商业,办公,住宅,工业"</formula1>
    </dataValidation>
    <dataValidation type="list" allowBlank="1" showInputMessage="1" showErrorMessage="1" sqref="G62" xr:uid="{00000000-0002-0000-2C00-000014000000}">
      <formula1>"住宅,工业"</formula1>
    </dataValidation>
    <dataValidation type="list" allowBlank="1" showInputMessage="1" showErrorMessage="1" sqref="C30 E30 G30 I30" xr:uid="{00000000-0002-0000-2C00-000015000000}">
      <formula1>基础设施水平</formula1>
    </dataValidation>
    <dataValidation type="list" allowBlank="1" showInputMessage="1" showErrorMessage="1" sqref="A70" xr:uid="{00000000-0002-0000-2C00-000016000000}">
      <formula1>"综合,商业,办公,住宅"</formula1>
    </dataValidation>
    <dataValidation type="list" allowBlank="1" showInputMessage="1" showErrorMessage="1" sqref="D47" xr:uid="{00000000-0002-0000-2C00-000017000000}">
      <formula1>"简单平均,加权平均"</formula1>
    </dataValidation>
    <dataValidation type="list" allowBlank="1" showInputMessage="1" showErrorMessage="1" sqref="D57:D64" xr:uid="{00000000-0002-0000-2C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31" t="s">
        <v>1770</v>
      </c>
      <c r="D4" s="3432"/>
      <c r="E4" s="3433" t="s">
        <v>1771</v>
      </c>
      <c r="F4" s="3434"/>
      <c r="G4" s="3431" t="s">
        <v>1772</v>
      </c>
      <c r="H4" s="3432"/>
      <c r="I4" s="3431" t="s">
        <v>1773</v>
      </c>
      <c r="J4" s="3432"/>
      <c r="K4" s="537" t="s">
        <v>1774</v>
      </c>
      <c r="L4" s="2482"/>
      <c r="M4" s="2483"/>
      <c r="N4" s="2483"/>
      <c r="O4" s="2483"/>
      <c r="P4" s="3544" t="s">
        <v>1775</v>
      </c>
      <c r="Q4" s="3545"/>
      <c r="R4" s="3548" t="s">
        <v>1771</v>
      </c>
      <c r="S4" s="3549"/>
      <c r="T4" s="3548" t="s">
        <v>1772</v>
      </c>
      <c r="U4" s="3549"/>
      <c r="V4" s="3455" t="s">
        <v>1773</v>
      </c>
      <c r="W4" s="3455"/>
      <c r="X4" s="1264"/>
      <c r="Y4" s="3548" t="s">
        <v>1775</v>
      </c>
      <c r="Z4" s="3549"/>
      <c r="AA4" s="3543" t="s">
        <v>1771</v>
      </c>
      <c r="AB4" s="3426" t="s">
        <v>1772</v>
      </c>
      <c r="AC4" s="3543" t="s">
        <v>1773</v>
      </c>
    </row>
    <row r="5" spans="1:29">
      <c r="A5" s="348"/>
      <c r="B5" s="349"/>
      <c r="C5" s="3449" t="s">
        <v>1673</v>
      </c>
      <c r="D5" s="3446"/>
      <c r="E5" s="3447" t="s">
        <v>1674</v>
      </c>
      <c r="F5" s="3448"/>
      <c r="G5" s="3449" t="s">
        <v>1675</v>
      </c>
      <c r="H5" s="3446"/>
      <c r="I5" s="3449" t="s">
        <v>1676</v>
      </c>
      <c r="J5" s="3446"/>
      <c r="K5" s="537"/>
      <c r="L5" s="2482"/>
      <c r="M5" s="2483"/>
      <c r="N5" s="2483"/>
      <c r="O5" s="2483"/>
      <c r="P5" s="3546"/>
      <c r="Q5" s="3438"/>
      <c r="R5" s="3443"/>
      <c r="S5" s="3444"/>
      <c r="T5" s="3443"/>
      <c r="U5" s="3444"/>
      <c r="V5" s="3455"/>
      <c r="W5" s="3455"/>
      <c r="X5" s="1264"/>
      <c r="Y5" s="3443"/>
      <c r="Z5" s="3444"/>
      <c r="AA5" s="3426"/>
      <c r="AB5" s="3426"/>
      <c r="AC5" s="3426"/>
    </row>
    <row r="6" spans="1:29" ht="15" thickBot="1">
      <c r="A6" s="350"/>
      <c r="B6" s="351"/>
      <c r="C6" s="3556" t="s">
        <v>1919</v>
      </c>
      <c r="D6" s="3557"/>
      <c r="E6" s="3558" t="s">
        <v>1919</v>
      </c>
      <c r="F6" s="3559"/>
      <c r="G6" s="3556" t="s">
        <v>1919</v>
      </c>
      <c r="H6" s="3557"/>
      <c r="I6" s="3556" t="s">
        <v>1919</v>
      </c>
      <c r="J6" s="3557"/>
      <c r="K6" s="537" t="s">
        <v>1678</v>
      </c>
      <c r="L6" s="2482"/>
      <c r="M6" s="2483"/>
      <c r="N6" s="2483"/>
      <c r="O6" s="2483"/>
      <c r="P6" s="3547"/>
      <c r="Q6" s="3440"/>
      <c r="R6" s="3443"/>
      <c r="S6" s="3444"/>
      <c r="T6" s="3452"/>
      <c r="U6" s="3453"/>
      <c r="V6" s="3455"/>
      <c r="W6" s="3455"/>
      <c r="X6" s="1264"/>
      <c r="Y6" s="3452"/>
      <c r="Z6" s="3453"/>
      <c r="AA6" s="3427"/>
      <c r="AB6" s="3427"/>
      <c r="AC6" s="3427"/>
    </row>
    <row r="7" spans="1:29" s="102" customFormat="1" ht="15" thickBot="1">
      <c r="A7" s="352" t="s">
        <v>1679</v>
      </c>
      <c r="B7" s="353"/>
      <c r="C7" s="354">
        <f>'数据-取费表'!B2</f>
        <v>45722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450" t="s">
        <v>1680</v>
      </c>
      <c r="Q7" s="346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50" t="s">
        <v>1683</v>
      </c>
      <c r="Q8" s="3451"/>
      <c r="R8" s="664" t="s">
        <v>14</v>
      </c>
      <c r="S8" s="665">
        <f t="shared" si="0"/>
        <v>0</v>
      </c>
      <c r="T8" s="664" t="s">
        <v>14</v>
      </c>
      <c r="U8" s="665">
        <f t="shared" si="1"/>
        <v>0</v>
      </c>
      <c r="V8" s="664" t="s">
        <v>14</v>
      </c>
      <c r="W8" s="665">
        <f t="shared" si="2"/>
        <v>0</v>
      </c>
      <c r="X8" s="666"/>
      <c r="Y8" s="3450" t="s">
        <v>1683</v>
      </c>
      <c r="Z8" s="3451"/>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73" t="s">
        <v>1686</v>
      </c>
      <c r="Q9" s="530" t="str">
        <f t="shared" ref="Q9:Q15" si="6">B9</f>
        <v>用途</v>
      </c>
      <c r="R9" s="664" t="s">
        <v>14</v>
      </c>
      <c r="S9" s="665">
        <f t="shared" si="0"/>
        <v>100</v>
      </c>
      <c r="T9" s="664" t="s">
        <v>14</v>
      </c>
      <c r="U9" s="665">
        <f t="shared" si="1"/>
        <v>100</v>
      </c>
      <c r="V9" s="664" t="s">
        <v>14</v>
      </c>
      <c r="W9" s="665">
        <f t="shared" si="2"/>
        <v>100</v>
      </c>
      <c r="X9" s="666"/>
      <c r="Y9" s="333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5"/>
      <c r="M10" s="2486"/>
      <c r="N10" s="2486"/>
      <c r="O10" s="2537"/>
      <c r="P10" s="3473"/>
      <c r="Q10" s="530" t="str">
        <f t="shared" si="6"/>
        <v>土地使用年限（年）</v>
      </c>
      <c r="R10" s="664" t="s">
        <v>14</v>
      </c>
      <c r="S10" s="665">
        <f t="shared" si="0"/>
        <v>152</v>
      </c>
      <c r="T10" s="664" t="s">
        <v>14</v>
      </c>
      <c r="U10" s="665">
        <f t="shared" si="1"/>
        <v>152</v>
      </c>
      <c r="V10" s="664" t="s">
        <v>14</v>
      </c>
      <c r="W10" s="665">
        <f t="shared" si="2"/>
        <v>152</v>
      </c>
      <c r="X10" s="666"/>
      <c r="Y10" s="3332"/>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73"/>
      <c r="Q11" s="530" t="str">
        <f t="shared" si="6"/>
        <v>容积率</v>
      </c>
      <c r="R11" s="664" t="s">
        <v>14</v>
      </c>
      <c r="S11" s="665" t="e">
        <f t="shared" si="0"/>
        <v>#N/A</v>
      </c>
      <c r="T11" s="664" t="s">
        <v>14</v>
      </c>
      <c r="U11" s="665" t="e">
        <f t="shared" si="1"/>
        <v>#N/A</v>
      </c>
      <c r="V11" s="664" t="s">
        <v>14</v>
      </c>
      <c r="W11" s="665" t="e">
        <f t="shared" si="2"/>
        <v>#N/A</v>
      </c>
      <c r="X11" s="666"/>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73"/>
      <c r="Q12" s="530">
        <f t="shared" si="6"/>
        <v>111</v>
      </c>
      <c r="R12" s="664" t="s">
        <v>14</v>
      </c>
      <c r="S12" s="665">
        <f t="shared" si="0"/>
        <v>100</v>
      </c>
      <c r="T12" s="664" t="s">
        <v>14</v>
      </c>
      <c r="U12" s="665">
        <f t="shared" si="1"/>
        <v>100</v>
      </c>
      <c r="V12" s="664" t="s">
        <v>14</v>
      </c>
      <c r="W12" s="665">
        <f t="shared" si="2"/>
        <v>100</v>
      </c>
      <c r="X12" s="666"/>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73"/>
      <c r="Q13" s="530">
        <f t="shared" si="6"/>
        <v>111</v>
      </c>
      <c r="R13" s="664" t="s">
        <v>14</v>
      </c>
      <c r="S13" s="665">
        <f t="shared" si="0"/>
        <v>100</v>
      </c>
      <c r="T13" s="664" t="s">
        <v>14</v>
      </c>
      <c r="U13" s="665">
        <f t="shared" si="1"/>
        <v>100</v>
      </c>
      <c r="V13" s="664" t="s">
        <v>14</v>
      </c>
      <c r="W13" s="665">
        <f t="shared" si="2"/>
        <v>100</v>
      </c>
      <c r="X13" s="666"/>
      <c r="Y13" s="333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73"/>
      <c r="Q14" s="530">
        <f t="shared" si="6"/>
        <v>111</v>
      </c>
      <c r="R14" s="664" t="s">
        <v>14</v>
      </c>
      <c r="S14" s="665">
        <f t="shared" si="0"/>
        <v>100</v>
      </c>
      <c r="T14" s="664" t="s">
        <v>14</v>
      </c>
      <c r="U14" s="665">
        <f t="shared" si="1"/>
        <v>100</v>
      </c>
      <c r="V14" s="664" t="s">
        <v>14</v>
      </c>
      <c r="W14" s="665">
        <f t="shared" si="2"/>
        <v>100</v>
      </c>
      <c r="X14" s="666"/>
      <c r="Y14" s="3332"/>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66" t="s">
        <v>1691</v>
      </c>
      <c r="Q15" s="1262" t="str">
        <f t="shared" si="6"/>
        <v>产业集聚程度</v>
      </c>
      <c r="R15" s="667" t="s">
        <v>14</v>
      </c>
      <c r="S15" s="668">
        <f t="shared" si="0"/>
        <v>100</v>
      </c>
      <c r="T15" s="667" t="s">
        <v>14</v>
      </c>
      <c r="U15" s="668">
        <f t="shared" si="1"/>
        <v>100</v>
      </c>
      <c r="V15" s="667" t="s">
        <v>14</v>
      </c>
      <c r="W15" s="668">
        <f t="shared" si="2"/>
        <v>100</v>
      </c>
      <c r="X15" s="1264"/>
      <c r="Y15" s="346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467"/>
      <c r="Q16" s="1262"/>
      <c r="R16" s="667"/>
      <c r="S16" s="668"/>
      <c r="T16" s="667"/>
      <c r="U16" s="668"/>
      <c r="V16" s="667"/>
      <c r="W16" s="668"/>
      <c r="X16" s="1264"/>
      <c r="Y16" s="3467"/>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67"/>
      <c r="Q17" s="1262" t="str">
        <f>B17</f>
        <v>交通便捷度</v>
      </c>
      <c r="R17" s="667" t="s">
        <v>14</v>
      </c>
      <c r="S17" s="668">
        <f>F17</f>
        <v>100</v>
      </c>
      <c r="T17" s="667" t="s">
        <v>14</v>
      </c>
      <c r="U17" s="668">
        <f>H17</f>
        <v>100</v>
      </c>
      <c r="V17" s="667" t="s">
        <v>14</v>
      </c>
      <c r="W17" s="668">
        <f>J17</f>
        <v>100</v>
      </c>
      <c r="X17" s="1264"/>
      <c r="Y17" s="346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467"/>
      <c r="Q18" s="1262"/>
      <c r="R18" s="667"/>
      <c r="S18" s="668"/>
      <c r="T18" s="667"/>
      <c r="U18" s="668"/>
      <c r="V18" s="667"/>
      <c r="W18" s="668"/>
      <c r="X18" s="1264"/>
      <c r="Y18" s="346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67"/>
      <c r="Q19" s="1262" t="str">
        <f t="shared" ref="Q19:Q33" si="8">B19</f>
        <v>区域土地利用方向</v>
      </c>
      <c r="R19" s="667" t="s">
        <v>14</v>
      </c>
      <c r="S19" s="668">
        <f>F19</f>
        <v>100</v>
      </c>
      <c r="T19" s="667" t="s">
        <v>14</v>
      </c>
      <c r="U19" s="668">
        <f>H19</f>
        <v>100</v>
      </c>
      <c r="V19" s="667" t="s">
        <v>14</v>
      </c>
      <c r="W19" s="668">
        <f>J19</f>
        <v>100</v>
      </c>
      <c r="X19" s="1264"/>
      <c r="Y19" s="346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467"/>
      <c r="Q20" s="1262"/>
      <c r="R20" s="667"/>
      <c r="S20" s="668"/>
      <c r="T20" s="667"/>
      <c r="U20" s="668"/>
      <c r="V20" s="667"/>
      <c r="W20" s="668"/>
      <c r="X20" s="1264"/>
      <c r="Y20" s="3467"/>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67"/>
      <c r="Q21" s="1262" t="str">
        <f t="shared" si="8"/>
        <v>环境状况</v>
      </c>
      <c r="R21" s="667" t="s">
        <v>14</v>
      </c>
      <c r="S21" s="668">
        <f>F21</f>
        <v>100</v>
      </c>
      <c r="T21" s="667" t="s">
        <v>14</v>
      </c>
      <c r="U21" s="668">
        <f>H21</f>
        <v>100</v>
      </c>
      <c r="V21" s="667" t="s">
        <v>14</v>
      </c>
      <c r="W21" s="668">
        <f>J21</f>
        <v>100</v>
      </c>
      <c r="X21" s="1264"/>
      <c r="Y21" s="346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467"/>
      <c r="Q22" s="1262"/>
      <c r="R22" s="667"/>
      <c r="S22" s="668"/>
      <c r="T22" s="667"/>
      <c r="U22" s="668"/>
      <c r="V22" s="667"/>
      <c r="W22" s="668"/>
      <c r="X22" s="1264"/>
      <c r="Y22" s="3467"/>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67"/>
      <c r="Q23" s="530" t="str">
        <f t="shared" si="8"/>
        <v>公共配套设施</v>
      </c>
      <c r="R23" s="664" t="s">
        <v>14</v>
      </c>
      <c r="S23" s="665">
        <f>F23</f>
        <v>100</v>
      </c>
      <c r="T23" s="664" t="s">
        <v>14</v>
      </c>
      <c r="U23" s="665">
        <f>H23</f>
        <v>100</v>
      </c>
      <c r="V23" s="664" t="s">
        <v>14</v>
      </c>
      <c r="W23" s="665">
        <f>J23</f>
        <v>100</v>
      </c>
      <c r="X23" s="666"/>
      <c r="Y23" s="346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467"/>
      <c r="Q24" s="530"/>
      <c r="R24" s="664"/>
      <c r="S24" s="665"/>
      <c r="T24" s="664"/>
      <c r="U24" s="665"/>
      <c r="V24" s="664"/>
      <c r="W24" s="665"/>
      <c r="X24" s="666"/>
      <c r="Y24" s="346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67"/>
      <c r="Q25" s="530" t="str">
        <f t="shared" ref="Q25" si="9">B25</f>
        <v>基础设施水平</v>
      </c>
      <c r="R25" s="664" t="s">
        <v>14</v>
      </c>
      <c r="S25" s="665">
        <f>F25</f>
        <v>100</v>
      </c>
      <c r="T25" s="664" t="s">
        <v>14</v>
      </c>
      <c r="U25" s="665">
        <f>H25</f>
        <v>100</v>
      </c>
      <c r="V25" s="664" t="s">
        <v>14</v>
      </c>
      <c r="W25" s="665">
        <f>J25</f>
        <v>100</v>
      </c>
      <c r="X25" s="666"/>
      <c r="Y25" s="346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467"/>
      <c r="Q26" s="530"/>
      <c r="R26" s="664"/>
      <c r="S26" s="665"/>
      <c r="T26" s="664"/>
      <c r="U26" s="665"/>
      <c r="V26" s="664"/>
      <c r="W26" s="665"/>
      <c r="X26" s="666"/>
      <c r="Y26" s="346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6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6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67"/>
      <c r="Q28" s="1262" t="str">
        <f t="shared" si="8"/>
        <v>毗邻道路的类型与等级</v>
      </c>
      <c r="R28" s="667" t="s">
        <v>14</v>
      </c>
      <c r="S28" s="668">
        <f t="shared" si="10"/>
        <v>100</v>
      </c>
      <c r="T28" s="667" t="s">
        <v>14</v>
      </c>
      <c r="U28" s="668">
        <f t="shared" si="11"/>
        <v>100</v>
      </c>
      <c r="V28" s="667" t="s">
        <v>14</v>
      </c>
      <c r="W28" s="668">
        <f t="shared" si="12"/>
        <v>100</v>
      </c>
      <c r="X28" s="1264"/>
      <c r="Y28" s="346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467"/>
      <c r="Q29" s="1262"/>
      <c r="R29" s="667"/>
      <c r="S29" s="668"/>
      <c r="T29" s="667"/>
      <c r="U29" s="668"/>
      <c r="V29" s="667"/>
      <c r="W29" s="668"/>
      <c r="X29" s="1264"/>
      <c r="Y29" s="346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67"/>
      <c r="Q30" s="1262" t="str">
        <f t="shared" si="8"/>
        <v>土地级别</v>
      </c>
      <c r="R30" s="667" t="s">
        <v>14</v>
      </c>
      <c r="S30" s="668">
        <f t="shared" si="10"/>
        <v>100</v>
      </c>
      <c r="T30" s="667" t="s">
        <v>14</v>
      </c>
      <c r="U30" s="668">
        <f t="shared" si="11"/>
        <v>100</v>
      </c>
      <c r="V30" s="667" t="s">
        <v>14</v>
      </c>
      <c r="W30" s="668">
        <f t="shared" si="12"/>
        <v>100</v>
      </c>
      <c r="X30" s="1264"/>
      <c r="Y30" s="346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67"/>
      <c r="Q31" s="1262">
        <f t="shared" si="8"/>
        <v>111</v>
      </c>
      <c r="R31" s="667" t="s">
        <v>14</v>
      </c>
      <c r="S31" s="668">
        <f t="shared" si="10"/>
        <v>100</v>
      </c>
      <c r="T31" s="667" t="s">
        <v>14</v>
      </c>
      <c r="U31" s="668">
        <f t="shared" si="11"/>
        <v>100</v>
      </c>
      <c r="V31" s="667" t="s">
        <v>14</v>
      </c>
      <c r="W31" s="668">
        <f t="shared" si="12"/>
        <v>100</v>
      </c>
      <c r="X31" s="1264"/>
      <c r="Y31" s="346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51" t="s">
        <v>1696</v>
      </c>
      <c r="Q32" s="1262">
        <f t="shared" si="8"/>
        <v>111</v>
      </c>
      <c r="R32" s="667" t="s">
        <v>14</v>
      </c>
      <c r="S32" s="668">
        <f t="shared" si="10"/>
        <v>100</v>
      </c>
      <c r="T32" s="667" t="s">
        <v>14</v>
      </c>
      <c r="U32" s="668">
        <f t="shared" si="11"/>
        <v>100</v>
      </c>
      <c r="V32" s="667" t="s">
        <v>14</v>
      </c>
      <c r="W32" s="668">
        <f t="shared" si="12"/>
        <v>100</v>
      </c>
      <c r="X32" s="1264"/>
      <c r="Y32" s="347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71"/>
      <c r="Q33" s="1262">
        <f t="shared" si="8"/>
        <v>111</v>
      </c>
      <c r="R33" s="669" t="s">
        <v>14</v>
      </c>
      <c r="S33" s="670">
        <f t="shared" si="10"/>
        <v>100</v>
      </c>
      <c r="T33" s="669" t="s">
        <v>14</v>
      </c>
      <c r="U33" s="670">
        <f t="shared" si="11"/>
        <v>100</v>
      </c>
      <c r="V33" s="669" t="s">
        <v>14</v>
      </c>
      <c r="W33" s="670">
        <f t="shared" si="12"/>
        <v>100</v>
      </c>
      <c r="X33" s="671"/>
      <c r="Y33" s="347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71"/>
      <c r="Q34" s="1262" t="str">
        <f>B34</f>
        <v>宗地面积</v>
      </c>
      <c r="R34" s="667" t="s">
        <v>14</v>
      </c>
      <c r="S34" s="668" t="e">
        <f t="shared" si="10"/>
        <v>#N/A</v>
      </c>
      <c r="T34" s="667" t="s">
        <v>14</v>
      </c>
      <c r="U34" s="668" t="e">
        <f t="shared" si="11"/>
        <v>#N/A</v>
      </c>
      <c r="V34" s="667" t="s">
        <v>14</v>
      </c>
      <c r="W34" s="668" t="e">
        <f t="shared" si="12"/>
        <v>#N/A</v>
      </c>
      <c r="X34" s="1264"/>
      <c r="Y34" s="347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71"/>
      <c r="Q35" s="1262" t="str">
        <f t="shared" ref="Q35:Q40" si="14">B35</f>
        <v>宗地形状</v>
      </c>
      <c r="R35" s="667" t="s">
        <v>14</v>
      </c>
      <c r="S35" s="668">
        <f t="shared" si="10"/>
        <v>100</v>
      </c>
      <c r="T35" s="667" t="s">
        <v>14</v>
      </c>
      <c r="U35" s="668">
        <f t="shared" si="11"/>
        <v>100</v>
      </c>
      <c r="V35" s="667" t="s">
        <v>14</v>
      </c>
      <c r="W35" s="668">
        <f t="shared" si="12"/>
        <v>100</v>
      </c>
      <c r="X35" s="1264"/>
      <c r="Y35" s="347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471"/>
      <c r="Q36" s="1262" t="str">
        <f t="shared" si="14"/>
        <v>宗地开发程度</v>
      </c>
      <c r="R36" s="664" t="s">
        <v>14</v>
      </c>
      <c r="S36" s="665">
        <f t="shared" si="10"/>
        <v>100</v>
      </c>
      <c r="T36" s="664" t="s">
        <v>14</v>
      </c>
      <c r="U36" s="665">
        <f t="shared" si="11"/>
        <v>100</v>
      </c>
      <c r="V36" s="664" t="s">
        <v>14</v>
      </c>
      <c r="W36" s="665">
        <f t="shared" si="12"/>
        <v>100</v>
      </c>
      <c r="X36" s="666"/>
      <c r="Y36" s="347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471" t="s">
        <v>1696</v>
      </c>
      <c r="Q37" s="1262" t="str">
        <f t="shared" si="14"/>
        <v>工程地质条件</v>
      </c>
      <c r="R37" s="667" t="s">
        <v>14</v>
      </c>
      <c r="S37" s="668">
        <f t="shared" si="10"/>
        <v>100</v>
      </c>
      <c r="T37" s="667" t="s">
        <v>14</v>
      </c>
      <c r="U37" s="668">
        <f t="shared" si="11"/>
        <v>100</v>
      </c>
      <c r="V37" s="667" t="s">
        <v>14</v>
      </c>
      <c r="W37" s="668">
        <f t="shared" si="12"/>
        <v>100</v>
      </c>
      <c r="X37" s="1264"/>
      <c r="Y37" s="347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71"/>
      <c r="Q38" s="1262">
        <f t="shared" si="14"/>
        <v>111</v>
      </c>
      <c r="R38" s="667" t="s">
        <v>14</v>
      </c>
      <c r="S38" s="668">
        <f t="shared" si="10"/>
        <v>100</v>
      </c>
      <c r="T38" s="667" t="s">
        <v>14</v>
      </c>
      <c r="U38" s="668">
        <f t="shared" si="11"/>
        <v>100</v>
      </c>
      <c r="V38" s="667" t="s">
        <v>14</v>
      </c>
      <c r="W38" s="668">
        <f t="shared" si="12"/>
        <v>100</v>
      </c>
      <c r="X38" s="1264"/>
      <c r="Y38" s="347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71"/>
      <c r="Q39" s="1262">
        <f t="shared" si="14"/>
        <v>111</v>
      </c>
      <c r="R39" s="667" t="s">
        <v>14</v>
      </c>
      <c r="S39" s="668">
        <f t="shared" si="10"/>
        <v>100</v>
      </c>
      <c r="T39" s="667" t="s">
        <v>14</v>
      </c>
      <c r="U39" s="668">
        <f t="shared" si="11"/>
        <v>100</v>
      </c>
      <c r="V39" s="667" t="s">
        <v>14</v>
      </c>
      <c r="W39" s="668">
        <f t="shared" si="12"/>
        <v>100</v>
      </c>
      <c r="X39" s="1264"/>
      <c r="Y39" s="3471"/>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71"/>
      <c r="Q40" s="1262">
        <f t="shared" si="14"/>
        <v>111</v>
      </c>
      <c r="R40" s="669" t="s">
        <v>14</v>
      </c>
      <c r="S40" s="670">
        <f t="shared" si="10"/>
        <v>100</v>
      </c>
      <c r="T40" s="669" t="s">
        <v>14</v>
      </c>
      <c r="U40" s="670">
        <f t="shared" si="11"/>
        <v>100</v>
      </c>
      <c r="V40" s="669" t="s">
        <v>14</v>
      </c>
      <c r="W40" s="670">
        <f t="shared" si="12"/>
        <v>100</v>
      </c>
      <c r="X40" s="671"/>
      <c r="Y40" s="3471"/>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473" t="str">
        <f>A41</f>
        <v>成交单价</v>
      </c>
      <c r="Q41" s="3473"/>
      <c r="R41" s="3455">
        <f>E41</f>
        <v>0</v>
      </c>
      <c r="S41" s="3455"/>
      <c r="T41" s="3455">
        <f>G41</f>
        <v>0</v>
      </c>
      <c r="U41" s="3455"/>
      <c r="V41" s="3455">
        <f>I41</f>
        <v>0</v>
      </c>
      <c r="W41" s="345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0"/>
      <c r="M42" s="2483"/>
      <c r="N42" s="2483"/>
      <c r="O42" s="2483"/>
      <c r="P42" s="3473" t="str">
        <f>A42</f>
        <v>比较价值（元/平方米）</v>
      </c>
      <c r="Q42" s="3473"/>
      <c r="R42" s="3553" t="e">
        <f>ROUND(PRODUCT(R41,AA7:AA40),0)</f>
        <v>#DIV/0!</v>
      </c>
      <c r="S42" s="3553"/>
      <c r="T42" s="3553" t="e">
        <f>ROUND(PRODUCT(T41,AB7:AB40),0)</f>
        <v>#DIV/0!</v>
      </c>
      <c r="U42" s="3553"/>
      <c r="V42" s="3553" t="e">
        <f>ROUND(PRODUCT(V41,AC7:AC40),0)</f>
        <v>#DIV/0!</v>
      </c>
      <c r="W42" s="355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540" t="str">
        <f>A43</f>
        <v>估价对象XX用房的比较价值（楼面单价，元/平方米）</v>
      </c>
      <c r="Q43" s="3541"/>
      <c r="R43" s="3554" t="e">
        <f>ROUND(IF(D42="简单平均",AVERAGE(R42:W42),R42*F42+T42*H42+V42*J42),0)</f>
        <v>#DIV/0!</v>
      </c>
      <c r="S43" s="3554"/>
      <c r="T43" s="3554"/>
      <c r="U43" s="3554"/>
      <c r="V43" s="3554"/>
      <c r="W43" s="355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431" t="s">
        <v>1887</v>
      </c>
      <c r="H50" s="3555"/>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9775.8700000000008</v>
      </c>
      <c r="F51" s="611" t="e">
        <f t="shared" ref="F51:F60" si="15">ROUND(B51*E51/10000,0)</f>
        <v>#DIV/0!</v>
      </c>
      <c r="G51" s="3463"/>
      <c r="H51" s="3473"/>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0.3</v>
      </c>
      <c r="D56" s="891">
        <v>0.25</v>
      </c>
      <c r="E56" s="209">
        <f>'数据-汇总表'!E11</f>
        <v>1306.8499999999999</v>
      </c>
      <c r="F56" s="611" t="e">
        <f t="shared" si="15"/>
        <v>#DIV/0!</v>
      </c>
      <c r="G56" s="1834" t="s">
        <v>1896</v>
      </c>
      <c r="H56" s="834" t="str">
        <f>项目基本情况!C37</f>
        <v>二级</v>
      </c>
      <c r="I56" s="727">
        <f>SUMIF(修正!A57:A68,H56,修正!E57:E68)</f>
        <v>0.3</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917.51</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0.2</v>
      </c>
      <c r="D60" s="891">
        <v>0.25</v>
      </c>
      <c r="E60" s="209">
        <f>'数据-汇总表'!E15</f>
        <v>0</v>
      </c>
      <c r="F60" s="611" t="e">
        <f t="shared" si="15"/>
        <v>#DIV/0!</v>
      </c>
      <c r="G60" s="1835" t="s">
        <v>1896</v>
      </c>
      <c r="H60" s="844" t="str">
        <f>项目基本情况!C37</f>
        <v>二级</v>
      </c>
      <c r="I60" s="727">
        <f>SUMIF(修正!A57:A68,H60,修正!G57:G68)</f>
        <v>0.2</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1066.21</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 type="list" allowBlank="1" showInputMessage="1" showErrorMessage="1" sqref="D42"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3" t="s">
        <v>2084</v>
      </c>
      <c r="D1" s="3564"/>
      <c r="E1" s="3564"/>
      <c r="F1" s="3564"/>
      <c r="G1" s="3564"/>
      <c r="H1" s="3564"/>
      <c r="I1" s="3564"/>
      <c r="J1" s="3564"/>
      <c r="K1" s="3564"/>
      <c r="L1" s="3564"/>
      <c r="M1" s="3564"/>
      <c r="N1" s="3564"/>
      <c r="O1" s="3564"/>
      <c r="P1" s="3564"/>
      <c r="Q1" s="3564"/>
      <c r="R1" s="3564"/>
      <c r="S1" s="35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0" t="s">
        <v>27</v>
      </c>
      <c r="D22" s="3561"/>
      <c r="E22" s="3561"/>
      <c r="F22" s="3561"/>
      <c r="G22" s="3561"/>
      <c r="H22" s="3561"/>
      <c r="I22" s="3561"/>
      <c r="J22" s="3561"/>
      <c r="K22" s="3561"/>
      <c r="L22" s="3561"/>
      <c r="M22" s="3561"/>
      <c r="N22" s="3561"/>
      <c r="O22" s="3561"/>
      <c r="P22" s="3561"/>
      <c r="Q22" s="35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20328</v>
      </c>
      <c r="C2" s="1983" t="s">
        <v>2074</v>
      </c>
      <c r="D2" s="1983" t="s">
        <v>2075</v>
      </c>
      <c r="E2" s="2394">
        <f ca="1">SUMIF(E6:E13,"&lt;&gt;#ref!",E6:E13)</f>
        <v>12000.23</v>
      </c>
      <c r="F2" s="2540"/>
      <c r="G2" s="2540"/>
      <c r="H2" s="2540"/>
      <c r="I2" s="2540"/>
      <c r="J2" s="2540"/>
      <c r="K2" s="2540"/>
      <c r="L2" s="2540"/>
      <c r="M2" s="2540"/>
      <c r="N2" s="2540"/>
      <c r="O2" s="2540"/>
      <c r="P2" s="2540"/>
    </row>
    <row r="3" spans="1:16" ht="15.6">
      <c r="A3" s="1983" t="s">
        <v>2076</v>
      </c>
      <c r="B3" s="2384">
        <f ca="1">ROUND(B2*10000/E2,0)</f>
        <v>16940</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20328</v>
      </c>
      <c r="C6" s="1983" t="s">
        <v>2074</v>
      </c>
      <c r="D6" s="2540"/>
      <c r="E6" s="2394">
        <f ca="1">SUMIF(INDIRECT("'"&amp;A6&amp;"'"&amp;"!C:C"),"建筑面积",INDIRECT("'"&amp;A6&amp;"'"&amp;"!D:D"))</f>
        <v>12000.23</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5" type="noConversion"/>
  <dataValidations count="1">
    <dataValidation type="list" allowBlank="1" showInputMessage="1" showErrorMessage="1" sqref="A6:A13" xr:uid="{00000000-0002-0000-2F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575" t="s">
        <v>2605</v>
      </c>
      <c r="B20" s="3570" t="s">
        <v>2626</v>
      </c>
      <c r="C20" s="2838" t="s">
        <v>2437</v>
      </c>
      <c r="D20" s="2839"/>
      <c r="E20" s="2840">
        <v>1</v>
      </c>
      <c r="F20" s="2841" t="s">
        <v>2438</v>
      </c>
      <c r="G20" s="2841"/>
    </row>
    <row r="21" spans="1:13" ht="19.5" customHeight="1">
      <c r="A21" s="3576"/>
      <c r="B21" s="3569"/>
      <c r="C21" s="2842" t="s">
        <v>2439</v>
      </c>
      <c r="D21" s="2843"/>
      <c r="E21" s="2844">
        <v>1</v>
      </c>
      <c r="F21" s="2841" t="s">
        <v>2440</v>
      </c>
      <c r="G21" s="2841"/>
    </row>
    <row r="22" spans="1:13" ht="19.5" customHeight="1">
      <c r="A22" s="3576"/>
      <c r="B22" s="3569"/>
      <c r="C22" s="2842" t="s">
        <v>2441</v>
      </c>
      <c r="D22" s="2843"/>
      <c r="E22" s="2844">
        <v>0.9</v>
      </c>
      <c r="F22" s="2841" t="s">
        <v>2442</v>
      </c>
      <c r="G22" s="2841"/>
    </row>
    <row r="23" spans="1:13" ht="19.5" customHeight="1">
      <c r="A23" s="3576"/>
      <c r="B23" s="3569"/>
      <c r="C23" s="2842" t="s">
        <v>2443</v>
      </c>
      <c r="D23" s="2843"/>
      <c r="E23" s="2844">
        <v>0.9</v>
      </c>
      <c r="F23" s="2841" t="s">
        <v>2444</v>
      </c>
      <c r="G23" s="2841"/>
    </row>
    <row r="24" spans="1:13" ht="19.5" customHeight="1">
      <c r="A24" s="3576"/>
      <c r="B24" s="3569"/>
      <c r="C24" s="2842" t="s">
        <v>2445</v>
      </c>
      <c r="D24" s="2843"/>
      <c r="E24" s="2844">
        <v>0.8</v>
      </c>
      <c r="F24" s="2841" t="s">
        <v>2446</v>
      </c>
      <c r="G24" s="2841"/>
    </row>
    <row r="25" spans="1:13" ht="19.5" customHeight="1" thickBot="1">
      <c r="A25" s="3577"/>
      <c r="B25" s="3571"/>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572" t="s">
        <v>2629</v>
      </c>
      <c r="B27" s="3570" t="s">
        <v>2610</v>
      </c>
      <c r="C27" s="2838" t="s">
        <v>2450</v>
      </c>
      <c r="D27" s="2839"/>
      <c r="E27" s="2840">
        <v>1</v>
      </c>
      <c r="F27" s="2841" t="s">
        <v>2451</v>
      </c>
      <c r="G27" s="2841"/>
    </row>
    <row r="28" spans="1:13" ht="19.5" customHeight="1">
      <c r="A28" s="3573"/>
      <c r="B28" s="3569"/>
      <c r="C28" s="2842" t="s">
        <v>2452</v>
      </c>
      <c r="D28" s="2843"/>
      <c r="E28" s="2844">
        <v>1</v>
      </c>
      <c r="F28" s="2841" t="s">
        <v>2453</v>
      </c>
      <c r="G28" s="2841"/>
    </row>
    <row r="29" spans="1:13" ht="19.5" customHeight="1">
      <c r="A29" s="3573"/>
      <c r="B29" s="3569"/>
      <c r="C29" s="2842" t="s">
        <v>2454</v>
      </c>
      <c r="D29" s="2843"/>
      <c r="E29" s="2844">
        <v>0.8</v>
      </c>
      <c r="F29" s="2841" t="s">
        <v>2455</v>
      </c>
      <c r="G29" s="2841"/>
    </row>
    <row r="30" spans="1:13" ht="19.5" customHeight="1">
      <c r="A30" s="3573"/>
      <c r="B30" s="3569"/>
      <c r="C30" s="2842" t="s">
        <v>2456</v>
      </c>
      <c r="D30" s="2843"/>
      <c r="E30" s="2844">
        <v>0.8</v>
      </c>
      <c r="F30" s="2841" t="s">
        <v>2457</v>
      </c>
      <c r="G30" s="2841"/>
    </row>
    <row r="31" spans="1:13" ht="19.5" customHeight="1">
      <c r="A31" s="3573"/>
      <c r="B31" s="3569"/>
      <c r="C31" s="2842" t="s">
        <v>2458</v>
      </c>
      <c r="D31" s="2843"/>
      <c r="E31" s="2844">
        <v>0.8</v>
      </c>
      <c r="F31" s="2841" t="s">
        <v>2459</v>
      </c>
      <c r="G31" s="2841"/>
    </row>
    <row r="32" spans="1:13" ht="19.5" customHeight="1">
      <c r="A32" s="3573"/>
      <c r="B32" s="3569"/>
      <c r="C32" s="2842" t="s">
        <v>2460</v>
      </c>
      <c r="D32" s="2843"/>
      <c r="E32" s="2844">
        <v>0.7</v>
      </c>
      <c r="F32" s="2841" t="s">
        <v>2461</v>
      </c>
      <c r="G32" s="2841"/>
    </row>
    <row r="33" spans="1:7" ht="19.5" customHeight="1">
      <c r="A33" s="3573"/>
      <c r="B33" s="3569"/>
      <c r="C33" s="2842" t="s">
        <v>2462</v>
      </c>
      <c r="D33" s="2843"/>
      <c r="E33" s="2844">
        <v>0.8</v>
      </c>
      <c r="F33" s="2841" t="s">
        <v>2463</v>
      </c>
      <c r="G33" s="2841"/>
    </row>
    <row r="34" spans="1:7" ht="19.5" customHeight="1">
      <c r="A34" s="3573"/>
      <c r="B34" s="3569"/>
      <c r="C34" s="2842" t="s">
        <v>2464</v>
      </c>
      <c r="D34" s="2843"/>
      <c r="E34" s="2844">
        <v>0.6</v>
      </c>
      <c r="F34" s="2841" t="s">
        <v>2465</v>
      </c>
      <c r="G34" s="2841"/>
    </row>
    <row r="35" spans="1:7" ht="19.5" customHeight="1">
      <c r="A35" s="3573"/>
      <c r="B35" s="3569"/>
      <c r="C35" s="2842" t="s">
        <v>2466</v>
      </c>
      <c r="D35" s="2843"/>
      <c r="E35" s="2844">
        <v>0.2</v>
      </c>
      <c r="F35" s="2841" t="s">
        <v>2467</v>
      </c>
      <c r="G35" s="2841"/>
    </row>
    <row r="36" spans="1:7" ht="19.5" customHeight="1">
      <c r="A36" s="3573"/>
      <c r="B36" s="3569"/>
      <c r="C36" s="2842" t="s">
        <v>2468</v>
      </c>
      <c r="D36" s="2843"/>
      <c r="E36" s="2844">
        <v>0.2</v>
      </c>
      <c r="F36" s="2841" t="s">
        <v>2469</v>
      </c>
      <c r="G36" s="2841"/>
    </row>
    <row r="37" spans="1:7" ht="19.5" customHeight="1">
      <c r="A37" s="3573"/>
      <c r="B37" s="3567" t="s">
        <v>2630</v>
      </c>
      <c r="C37" s="2842" t="s">
        <v>2470</v>
      </c>
      <c r="D37" s="2843"/>
      <c r="E37" s="2844">
        <v>0.6</v>
      </c>
      <c r="F37" s="2841" t="s">
        <v>2471</v>
      </c>
      <c r="G37" s="2841"/>
    </row>
    <row r="38" spans="1:7" ht="19.5" customHeight="1">
      <c r="A38" s="3573"/>
      <c r="B38" s="3569"/>
      <c r="C38" s="2842" t="s">
        <v>2472</v>
      </c>
      <c r="D38" s="2843"/>
      <c r="E38" s="2844">
        <v>0.6</v>
      </c>
      <c r="F38" s="2841" t="s">
        <v>2473</v>
      </c>
      <c r="G38" s="2841"/>
    </row>
    <row r="39" spans="1:7" ht="19.5" customHeight="1" thickBot="1">
      <c r="A39" s="3574"/>
      <c r="B39" s="3571"/>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575" t="s">
        <v>2608</v>
      </c>
      <c r="B41" s="3570" t="s">
        <v>2632</v>
      </c>
      <c r="C41" s="2838" t="s">
        <v>2477</v>
      </c>
      <c r="D41" s="2839"/>
      <c r="E41" s="2840">
        <v>1</v>
      </c>
      <c r="F41" s="2841" t="s">
        <v>2478</v>
      </c>
      <c r="G41" s="2841"/>
    </row>
    <row r="42" spans="1:7" ht="19.5" customHeight="1">
      <c r="A42" s="3576"/>
      <c r="B42" s="3569"/>
      <c r="C42" s="2842" t="s">
        <v>2479</v>
      </c>
      <c r="D42" s="2843"/>
      <c r="E42" s="2844">
        <v>1</v>
      </c>
      <c r="F42" s="2841" t="s">
        <v>2480</v>
      </c>
      <c r="G42" s="2841"/>
    </row>
    <row r="43" spans="1:7" ht="19.5" customHeight="1">
      <c r="A43" s="3576"/>
      <c r="B43" s="3568"/>
      <c r="C43" s="2842" t="s">
        <v>2481</v>
      </c>
      <c r="D43" s="2843"/>
      <c r="E43" s="2844">
        <v>1.5</v>
      </c>
      <c r="F43" s="2841" t="s">
        <v>2482</v>
      </c>
      <c r="G43" s="2841"/>
    </row>
    <row r="44" spans="1:7" ht="19.5" customHeight="1">
      <c r="A44" s="3576"/>
      <c r="B44" s="2853" t="s">
        <v>2633</v>
      </c>
      <c r="C44" s="2842" t="s">
        <v>2634</v>
      </c>
      <c r="D44" s="2843"/>
      <c r="E44" s="2844">
        <v>2</v>
      </c>
      <c r="F44" s="2841" t="s">
        <v>2483</v>
      </c>
      <c r="G44" s="2841"/>
    </row>
    <row r="45" spans="1:7" ht="19.5" customHeight="1">
      <c r="A45" s="3576"/>
      <c r="B45" s="3567" t="s">
        <v>2635</v>
      </c>
      <c r="C45" s="2842" t="s">
        <v>2484</v>
      </c>
      <c r="D45" s="2843"/>
      <c r="E45" s="2844">
        <v>1</v>
      </c>
      <c r="F45" s="2841" t="s">
        <v>2485</v>
      </c>
      <c r="G45" s="2841"/>
    </row>
    <row r="46" spans="1:7" ht="19.5" customHeight="1">
      <c r="A46" s="3576"/>
      <c r="B46" s="3569"/>
      <c r="C46" s="2842" t="s">
        <v>2486</v>
      </c>
      <c r="D46" s="2843"/>
      <c r="E46" s="2844">
        <v>1</v>
      </c>
      <c r="F46" s="2841" t="s">
        <v>2487</v>
      </c>
      <c r="G46" s="2841"/>
    </row>
    <row r="47" spans="1:7" ht="19.5" customHeight="1">
      <c r="A47" s="3576"/>
      <c r="B47" s="3569"/>
      <c r="C47" s="2842" t="s">
        <v>2488</v>
      </c>
      <c r="D47" s="2843"/>
      <c r="E47" s="2844">
        <v>1</v>
      </c>
      <c r="F47" s="2841" t="s">
        <v>2489</v>
      </c>
      <c r="G47" s="2841"/>
    </row>
    <row r="48" spans="1:7" ht="19.5" customHeight="1">
      <c r="A48" s="3576"/>
      <c r="B48" s="3569"/>
      <c r="C48" s="2842" t="s">
        <v>2490</v>
      </c>
      <c r="D48" s="2843"/>
      <c r="E48" s="2844">
        <v>1</v>
      </c>
      <c r="F48" s="2841" t="s">
        <v>2491</v>
      </c>
      <c r="G48" s="2841"/>
    </row>
    <row r="49" spans="1:7" ht="19.5" customHeight="1">
      <c r="A49" s="3576"/>
      <c r="B49" s="3569"/>
      <c r="C49" s="2842" t="s">
        <v>2492</v>
      </c>
      <c r="D49" s="2843"/>
      <c r="E49" s="2844">
        <v>1</v>
      </c>
      <c r="F49" s="2841" t="s">
        <v>2493</v>
      </c>
      <c r="G49" s="2841"/>
    </row>
    <row r="50" spans="1:7" ht="19.5" customHeight="1">
      <c r="A50" s="3576"/>
      <c r="B50" s="3569"/>
      <c r="C50" s="2842" t="s">
        <v>2494</v>
      </c>
      <c r="D50" s="2843"/>
      <c r="E50" s="2844">
        <v>1</v>
      </c>
      <c r="F50" s="2841" t="s">
        <v>2495</v>
      </c>
      <c r="G50" s="2841"/>
    </row>
    <row r="51" spans="1:7" ht="19.5" customHeight="1" thickBot="1">
      <c r="A51" s="3577"/>
      <c r="B51" s="3571"/>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4.4">
      <c r="A72" s="2853"/>
      <c r="B72" s="2853"/>
      <c r="C72" s="2853" t="s">
        <v>2648</v>
      </c>
      <c r="D72" s="2853"/>
      <c r="E72" s="2853" t="s">
        <v>2619</v>
      </c>
      <c r="F72" s="2853" t="s">
        <v>2619</v>
      </c>
    </row>
    <row r="73" spans="1:7" ht="14.4">
      <c r="A73" s="2853">
        <v>1</v>
      </c>
      <c r="B73" s="3567" t="s">
        <v>2649</v>
      </c>
      <c r="C73" s="2827" t="s">
        <v>2650</v>
      </c>
      <c r="D73" s="2827" t="s">
        <v>2651</v>
      </c>
      <c r="E73" s="2853">
        <v>0.2</v>
      </c>
      <c r="F73" s="2853">
        <v>25</v>
      </c>
    </row>
    <row r="74" spans="1:7" ht="24">
      <c r="A74" s="2853">
        <v>2</v>
      </c>
      <c r="B74" s="3569"/>
      <c r="C74" s="2827" t="s">
        <v>2652</v>
      </c>
      <c r="D74" s="2827" t="s">
        <v>2653</v>
      </c>
      <c r="E74" s="2853">
        <v>0.2</v>
      </c>
      <c r="F74" s="2853">
        <v>25</v>
      </c>
    </row>
    <row r="75" spans="1:7" ht="24">
      <c r="A75" s="2853">
        <v>3</v>
      </c>
      <c r="B75" s="3569"/>
      <c r="C75" s="2827" t="s">
        <v>2654</v>
      </c>
      <c r="D75" s="2827" t="s">
        <v>2655</v>
      </c>
      <c r="E75" s="2853">
        <v>0.2</v>
      </c>
      <c r="F75" s="2853">
        <v>25</v>
      </c>
    </row>
    <row r="76" spans="1:7" ht="14.4">
      <c r="A76" s="2853">
        <v>4</v>
      </c>
      <c r="B76" s="3569"/>
      <c r="C76" s="2827" t="s">
        <v>2656</v>
      </c>
      <c r="D76" s="2827" t="s">
        <v>2657</v>
      </c>
      <c r="E76" s="2853">
        <v>0.15</v>
      </c>
      <c r="F76" s="2853">
        <v>20</v>
      </c>
    </row>
    <row r="77" spans="1:7" ht="24">
      <c r="A77" s="2853">
        <v>5</v>
      </c>
      <c r="B77" s="3569"/>
      <c r="C77" s="2827" t="s">
        <v>2658</v>
      </c>
      <c r="D77" s="2827" t="s">
        <v>2659</v>
      </c>
      <c r="E77" s="2853">
        <v>0.15</v>
      </c>
      <c r="F77" s="2853">
        <v>20</v>
      </c>
    </row>
    <row r="78" spans="1:7" ht="24">
      <c r="A78" s="2853">
        <v>6</v>
      </c>
      <c r="B78" s="3569"/>
      <c r="C78" s="2827" t="s">
        <v>2660</v>
      </c>
      <c r="D78" s="2827" t="s">
        <v>2661</v>
      </c>
      <c r="E78" s="2853">
        <v>0.15</v>
      </c>
      <c r="F78" s="2853">
        <v>20</v>
      </c>
    </row>
    <row r="79" spans="1:7" ht="24">
      <c r="A79" s="2853">
        <v>7</v>
      </c>
      <c r="B79" s="3569"/>
      <c r="C79" s="2827" t="s">
        <v>2662</v>
      </c>
      <c r="D79" s="2827" t="s">
        <v>2663</v>
      </c>
      <c r="E79" s="2853">
        <v>0.15</v>
      </c>
      <c r="F79" s="2853">
        <v>20</v>
      </c>
    </row>
    <row r="80" spans="1:7" ht="24">
      <c r="A80" s="2853">
        <v>8</v>
      </c>
      <c r="B80" s="3569"/>
      <c r="C80" s="2827" t="s">
        <v>2664</v>
      </c>
      <c r="D80" s="2827" t="s">
        <v>2665</v>
      </c>
      <c r="E80" s="2853">
        <v>0.1</v>
      </c>
      <c r="F80" s="2853">
        <v>15</v>
      </c>
    </row>
    <row r="81" spans="1:6" ht="24">
      <c r="A81" s="2853">
        <v>9</v>
      </c>
      <c r="B81" s="3569"/>
      <c r="C81" s="2827" t="s">
        <v>2666</v>
      </c>
      <c r="D81" s="2827" t="s">
        <v>2667</v>
      </c>
      <c r="E81" s="2853">
        <v>0.1</v>
      </c>
      <c r="F81" s="2853">
        <v>15</v>
      </c>
    </row>
    <row r="82" spans="1:6" ht="24">
      <c r="A82" s="2853">
        <v>10</v>
      </c>
      <c r="B82" s="3569"/>
      <c r="C82" s="2827" t="s">
        <v>2668</v>
      </c>
      <c r="D82" s="2827" t="s">
        <v>2669</v>
      </c>
      <c r="E82" s="2853">
        <v>0.1</v>
      </c>
      <c r="F82" s="2853">
        <v>15</v>
      </c>
    </row>
    <row r="83" spans="1:6" ht="24">
      <c r="A83" s="2853">
        <v>11</v>
      </c>
      <c r="B83" s="3569"/>
      <c r="C83" s="2827" t="s">
        <v>2670</v>
      </c>
      <c r="D83" s="2827" t="s">
        <v>2671</v>
      </c>
      <c r="E83" s="2853">
        <v>0.1</v>
      </c>
      <c r="F83" s="2853">
        <v>15</v>
      </c>
    </row>
    <row r="84" spans="1:6" ht="24">
      <c r="A84" s="2853">
        <v>12</v>
      </c>
      <c r="B84" s="3569"/>
      <c r="C84" s="2827" t="s">
        <v>2672</v>
      </c>
      <c r="D84" s="2827" t="s">
        <v>2673</v>
      </c>
      <c r="E84" s="2853">
        <v>0.1</v>
      </c>
      <c r="F84" s="2853">
        <v>15</v>
      </c>
    </row>
    <row r="85" spans="1:6" ht="24">
      <c r="A85" s="2853">
        <v>13</v>
      </c>
      <c r="B85" s="3569"/>
      <c r="C85" s="2827" t="s">
        <v>2674</v>
      </c>
      <c r="D85" s="2827" t="s">
        <v>2675</v>
      </c>
      <c r="E85" s="2853">
        <v>0.1</v>
      </c>
      <c r="F85" s="2853">
        <v>15</v>
      </c>
    </row>
    <row r="86" spans="1:6" ht="24">
      <c r="A86" s="2853">
        <v>14</v>
      </c>
      <c r="B86" s="3569"/>
      <c r="C86" s="2827" t="s">
        <v>2676</v>
      </c>
      <c r="D86" s="2827" t="s">
        <v>2677</v>
      </c>
      <c r="E86" s="2853">
        <v>0.1</v>
      </c>
      <c r="F86" s="2853">
        <v>15</v>
      </c>
    </row>
    <row r="87" spans="1:6" ht="24">
      <c r="A87" s="2853">
        <v>15</v>
      </c>
      <c r="B87" s="3569"/>
      <c r="C87" s="2827" t="s">
        <v>2678</v>
      </c>
      <c r="D87" s="2827" t="s">
        <v>2679</v>
      </c>
      <c r="E87" s="2853">
        <v>0.1</v>
      </c>
      <c r="F87" s="2853">
        <v>15</v>
      </c>
    </row>
    <row r="88" spans="1:6" ht="24">
      <c r="A88" s="2853">
        <v>16</v>
      </c>
      <c r="B88" s="3569"/>
      <c r="C88" s="2827" t="s">
        <v>2680</v>
      </c>
      <c r="D88" s="2827" t="s">
        <v>2681</v>
      </c>
      <c r="E88" s="2853">
        <v>0.1</v>
      </c>
      <c r="F88" s="2853">
        <v>15</v>
      </c>
    </row>
    <row r="89" spans="1:6" ht="24">
      <c r="A89" s="2853">
        <v>17</v>
      </c>
      <c r="B89" s="3568"/>
      <c r="C89" s="2827" t="s">
        <v>2682</v>
      </c>
      <c r="D89" s="2827" t="s">
        <v>2683</v>
      </c>
      <c r="E89" s="2853">
        <v>0.1</v>
      </c>
      <c r="F89" s="2853">
        <v>15</v>
      </c>
    </row>
    <row r="90" spans="1:6" ht="14.4">
      <c r="A90" s="2853">
        <v>18</v>
      </c>
      <c r="B90" s="3567" t="s">
        <v>2684</v>
      </c>
      <c r="C90" s="2827" t="s">
        <v>2685</v>
      </c>
      <c r="D90" s="2827" t="s">
        <v>2686</v>
      </c>
      <c r="E90" s="2853">
        <v>0.2</v>
      </c>
      <c r="F90" s="2853">
        <v>25</v>
      </c>
    </row>
    <row r="91" spans="1:6" ht="24">
      <c r="A91" s="2853">
        <v>19</v>
      </c>
      <c r="B91" s="3569"/>
      <c r="C91" s="2827" t="s">
        <v>2687</v>
      </c>
      <c r="D91" s="2827" t="s">
        <v>2688</v>
      </c>
      <c r="E91" s="2853">
        <v>0.2</v>
      </c>
      <c r="F91" s="2853">
        <v>25</v>
      </c>
    </row>
    <row r="92" spans="1:6" ht="14.4">
      <c r="A92" s="2853">
        <v>20</v>
      </c>
      <c r="B92" s="3569"/>
      <c r="C92" s="2827" t="s">
        <v>2689</v>
      </c>
      <c r="D92" s="2827" t="s">
        <v>2690</v>
      </c>
      <c r="E92" s="2853">
        <v>0.15</v>
      </c>
      <c r="F92" s="2853">
        <v>20</v>
      </c>
    </row>
    <row r="93" spans="1:6" ht="24">
      <c r="A93" s="2853">
        <v>21</v>
      </c>
      <c r="B93" s="3569"/>
      <c r="C93" s="2827" t="s">
        <v>2691</v>
      </c>
      <c r="D93" s="2827" t="s">
        <v>2692</v>
      </c>
      <c r="E93" s="2853">
        <v>0.15</v>
      </c>
      <c r="F93" s="2853">
        <v>20</v>
      </c>
    </row>
    <row r="94" spans="1:6" ht="24">
      <c r="A94" s="2853">
        <v>22</v>
      </c>
      <c r="B94" s="3569"/>
      <c r="C94" s="2827" t="s">
        <v>2693</v>
      </c>
      <c r="D94" s="2827" t="s">
        <v>2694</v>
      </c>
      <c r="E94" s="2853">
        <v>0.15</v>
      </c>
      <c r="F94" s="2853">
        <v>20</v>
      </c>
    </row>
    <row r="95" spans="1:6" ht="36">
      <c r="A95" s="2853">
        <v>23</v>
      </c>
      <c r="B95" s="3569"/>
      <c r="C95" s="2827" t="s">
        <v>2695</v>
      </c>
      <c r="D95" s="2827" t="s">
        <v>2696</v>
      </c>
      <c r="E95" s="2853">
        <v>0.15</v>
      </c>
      <c r="F95" s="2853">
        <v>20</v>
      </c>
    </row>
    <row r="96" spans="1:6" ht="24">
      <c r="A96" s="2853">
        <v>24</v>
      </c>
      <c r="B96" s="3569"/>
      <c r="C96" s="2827" t="s">
        <v>2697</v>
      </c>
      <c r="D96" s="2827" t="s">
        <v>2698</v>
      </c>
      <c r="E96" s="2853">
        <v>0.1</v>
      </c>
      <c r="F96" s="2853">
        <v>15</v>
      </c>
    </row>
    <row r="97" spans="1:6" ht="24">
      <c r="A97" s="2853">
        <v>25</v>
      </c>
      <c r="B97" s="3569"/>
      <c r="C97" s="2827" t="s">
        <v>2699</v>
      </c>
      <c r="D97" s="2827" t="s">
        <v>2700</v>
      </c>
      <c r="E97" s="2853">
        <v>0.1</v>
      </c>
      <c r="F97" s="2853">
        <v>15</v>
      </c>
    </row>
    <row r="98" spans="1:6" ht="24">
      <c r="A98" s="2853">
        <v>26</v>
      </c>
      <c r="B98" s="3569"/>
      <c r="C98" s="2827" t="s">
        <v>2701</v>
      </c>
      <c r="D98" s="2827" t="s">
        <v>2702</v>
      </c>
      <c r="E98" s="2853">
        <v>0.1</v>
      </c>
      <c r="F98" s="2853">
        <v>15</v>
      </c>
    </row>
    <row r="99" spans="1:6" ht="24">
      <c r="A99" s="2853">
        <v>27</v>
      </c>
      <c r="B99" s="3569"/>
      <c r="C99" s="2827" t="s">
        <v>2703</v>
      </c>
      <c r="D99" s="2827" t="s">
        <v>2704</v>
      </c>
      <c r="E99" s="2853">
        <v>0.1</v>
      </c>
      <c r="F99" s="2853">
        <v>15</v>
      </c>
    </row>
    <row r="100" spans="1:6" ht="24">
      <c r="A100" s="2853">
        <v>28</v>
      </c>
      <c r="B100" s="3569"/>
      <c r="C100" s="2827" t="s">
        <v>2705</v>
      </c>
      <c r="D100" s="2827" t="s">
        <v>2706</v>
      </c>
      <c r="E100" s="2853">
        <v>0.1</v>
      </c>
      <c r="F100" s="2853">
        <v>15</v>
      </c>
    </row>
    <row r="101" spans="1:6" ht="24">
      <c r="A101" s="2853">
        <v>29</v>
      </c>
      <c r="B101" s="3569"/>
      <c r="C101" s="2827" t="s">
        <v>2707</v>
      </c>
      <c r="D101" s="2827" t="s">
        <v>2708</v>
      </c>
      <c r="E101" s="2853">
        <v>0.1</v>
      </c>
      <c r="F101" s="2853">
        <v>15</v>
      </c>
    </row>
    <row r="102" spans="1:6" ht="24">
      <c r="A102" s="2853">
        <v>30</v>
      </c>
      <c r="B102" s="3569"/>
      <c r="C102" s="2827" t="s">
        <v>2709</v>
      </c>
      <c r="D102" s="2827" t="s">
        <v>2710</v>
      </c>
      <c r="E102" s="2853">
        <v>0.1</v>
      </c>
      <c r="F102" s="2853">
        <v>15</v>
      </c>
    </row>
    <row r="103" spans="1:6" ht="24">
      <c r="A103" s="2853">
        <v>31</v>
      </c>
      <c r="B103" s="3569"/>
      <c r="C103" s="2827" t="s">
        <v>2711</v>
      </c>
      <c r="D103" s="2827" t="s">
        <v>2712</v>
      </c>
      <c r="E103" s="2853">
        <v>0.1</v>
      </c>
      <c r="F103" s="2853">
        <v>15</v>
      </c>
    </row>
    <row r="104" spans="1:6" ht="24">
      <c r="A104" s="2853">
        <v>32</v>
      </c>
      <c r="B104" s="3569"/>
      <c r="C104" s="2827" t="s">
        <v>2713</v>
      </c>
      <c r="D104" s="2827" t="s">
        <v>2714</v>
      </c>
      <c r="E104" s="2853">
        <v>0.1</v>
      </c>
      <c r="F104" s="2853">
        <v>15</v>
      </c>
    </row>
    <row r="105" spans="1:6" ht="24">
      <c r="A105" s="2853">
        <v>33</v>
      </c>
      <c r="B105" s="3569"/>
      <c r="C105" s="2827" t="s">
        <v>2715</v>
      </c>
      <c r="D105" s="2827" t="s">
        <v>2716</v>
      </c>
      <c r="E105" s="2853">
        <v>0.1</v>
      </c>
      <c r="F105" s="2853">
        <v>15</v>
      </c>
    </row>
    <row r="106" spans="1:6" ht="24">
      <c r="A106" s="2853">
        <v>34</v>
      </c>
      <c r="B106" s="3568"/>
      <c r="C106" s="2827" t="s">
        <v>2717</v>
      </c>
      <c r="D106" s="2827" t="s">
        <v>2718</v>
      </c>
      <c r="E106" s="2853">
        <v>0.1</v>
      </c>
      <c r="F106" s="2853">
        <v>15</v>
      </c>
    </row>
    <row r="107" spans="1:6" ht="36">
      <c r="A107" s="2853">
        <v>35</v>
      </c>
      <c r="B107" s="3567" t="s">
        <v>2719</v>
      </c>
      <c r="C107" s="2853" t="s">
        <v>2720</v>
      </c>
      <c r="D107" s="2827" t="s">
        <v>2721</v>
      </c>
      <c r="E107" s="2853">
        <v>0.15</v>
      </c>
      <c r="F107" s="2853">
        <v>20</v>
      </c>
    </row>
    <row r="108" spans="1:6" ht="24">
      <c r="A108" s="2853">
        <v>36</v>
      </c>
      <c r="B108" s="3569"/>
      <c r="C108" s="2853" t="s">
        <v>2722</v>
      </c>
      <c r="D108" s="2827" t="s">
        <v>2723</v>
      </c>
      <c r="E108" s="2853">
        <v>0.15</v>
      </c>
      <c r="F108" s="2853">
        <v>20</v>
      </c>
    </row>
    <row r="109" spans="1:6" ht="24">
      <c r="A109" s="2853">
        <v>37</v>
      </c>
      <c r="B109" s="3569"/>
      <c r="C109" s="2853" t="s">
        <v>2724</v>
      </c>
      <c r="D109" s="2827" t="s">
        <v>2725</v>
      </c>
      <c r="E109" s="2853">
        <v>0.15</v>
      </c>
      <c r="F109" s="2853">
        <v>20</v>
      </c>
    </row>
    <row r="110" spans="1:6" ht="24">
      <c r="A110" s="2853">
        <v>38</v>
      </c>
      <c r="B110" s="3569"/>
      <c r="C110" s="2853" t="s">
        <v>2726</v>
      </c>
      <c r="D110" s="2827" t="s">
        <v>2727</v>
      </c>
      <c r="E110" s="2853">
        <v>0.1</v>
      </c>
      <c r="F110" s="2853">
        <v>15</v>
      </c>
    </row>
    <row r="111" spans="1:6" ht="24">
      <c r="A111" s="2853">
        <v>39</v>
      </c>
      <c r="B111" s="3569"/>
      <c r="C111" s="2853" t="s">
        <v>2728</v>
      </c>
      <c r="D111" s="2827" t="s">
        <v>2729</v>
      </c>
      <c r="E111" s="2853">
        <v>0.1</v>
      </c>
      <c r="F111" s="2853">
        <v>15</v>
      </c>
    </row>
    <row r="112" spans="1:6" ht="24">
      <c r="A112" s="2853">
        <v>40</v>
      </c>
      <c r="B112" s="3568"/>
      <c r="C112" s="2853" t="s">
        <v>2730</v>
      </c>
      <c r="D112" s="2827" t="s">
        <v>2731</v>
      </c>
      <c r="E112" s="2853">
        <v>0.1</v>
      </c>
      <c r="F112" s="2853">
        <v>15</v>
      </c>
    </row>
    <row r="113" spans="1:6" ht="24">
      <c r="A113" s="2853">
        <v>41</v>
      </c>
      <c r="B113" s="3566" t="s">
        <v>2732</v>
      </c>
      <c r="C113" s="2853" t="s">
        <v>2733</v>
      </c>
      <c r="D113" s="2827" t="s">
        <v>2734</v>
      </c>
      <c r="E113" s="2853">
        <v>0.1</v>
      </c>
      <c r="F113" s="2853">
        <v>15</v>
      </c>
    </row>
    <row r="114" spans="1:6" ht="24">
      <c r="A114" s="2853">
        <v>42</v>
      </c>
      <c r="B114" s="3566"/>
      <c r="C114" s="2853" t="s">
        <v>2735</v>
      </c>
      <c r="D114" s="2827" t="s">
        <v>2736</v>
      </c>
      <c r="E114" s="2853">
        <v>0.1</v>
      </c>
      <c r="F114" s="2853">
        <v>15</v>
      </c>
    </row>
    <row r="115" spans="1:6" ht="24">
      <c r="A115" s="2853">
        <v>43</v>
      </c>
      <c r="B115" s="3566"/>
      <c r="C115" s="2853" t="s">
        <v>2737</v>
      </c>
      <c r="D115" s="2827" t="s">
        <v>2738</v>
      </c>
      <c r="E115" s="2853">
        <v>0.1</v>
      </c>
      <c r="F115" s="2853">
        <v>15</v>
      </c>
    </row>
    <row r="116" spans="1:6" ht="24">
      <c r="A116" s="2853">
        <v>44</v>
      </c>
      <c r="B116" s="3567" t="s">
        <v>2739</v>
      </c>
      <c r="C116" s="2853" t="s">
        <v>2740</v>
      </c>
      <c r="D116" s="2827" t="s">
        <v>2741</v>
      </c>
      <c r="E116" s="2853">
        <v>0.1</v>
      </c>
      <c r="F116" s="2853">
        <v>15</v>
      </c>
    </row>
    <row r="117" spans="1:6" ht="24">
      <c r="A117" s="2853">
        <v>45</v>
      </c>
      <c r="B117" s="3568"/>
      <c r="C117" s="2827" t="s">
        <v>2742</v>
      </c>
      <c r="D117" s="2827" t="s">
        <v>2743</v>
      </c>
      <c r="E117" s="2853">
        <v>0.1</v>
      </c>
      <c r="F117" s="2853">
        <v>15</v>
      </c>
    </row>
    <row r="118" spans="1:6" ht="24">
      <c r="A118" s="2853">
        <v>46</v>
      </c>
      <c r="B118" s="3567" t="s">
        <v>2744</v>
      </c>
      <c r="C118" s="2853" t="s">
        <v>2745</v>
      </c>
      <c r="D118" s="2827" t="s">
        <v>2746</v>
      </c>
      <c r="E118" s="2853">
        <v>0.1</v>
      </c>
      <c r="F118" s="2853">
        <v>15</v>
      </c>
    </row>
    <row r="119" spans="1:6" ht="24">
      <c r="A119" s="2853">
        <v>47</v>
      </c>
      <c r="B119" s="3568"/>
      <c r="C119" s="2853" t="s">
        <v>2747</v>
      </c>
      <c r="D119" s="2827" t="s">
        <v>2748</v>
      </c>
      <c r="E119" s="2853">
        <v>0.1</v>
      </c>
      <c r="F119" s="2853">
        <v>15</v>
      </c>
    </row>
    <row r="120" spans="1:6" ht="24">
      <c r="A120" s="2853">
        <v>48</v>
      </c>
      <c r="B120" s="3567" t="s">
        <v>2749</v>
      </c>
      <c r="C120" s="2853" t="s">
        <v>2750</v>
      </c>
      <c r="D120" s="2827" t="s">
        <v>2751</v>
      </c>
      <c r="E120" s="2853">
        <v>0.1</v>
      </c>
      <c r="F120" s="2853">
        <v>15</v>
      </c>
    </row>
    <row r="121" spans="1:6" ht="24">
      <c r="A121" s="2853">
        <v>49</v>
      </c>
      <c r="B121" s="3568"/>
      <c r="C121" s="2853" t="s">
        <v>2752</v>
      </c>
      <c r="D121" s="2827" t="s">
        <v>2753</v>
      </c>
      <c r="E121" s="2853">
        <v>0.1</v>
      </c>
      <c r="F121" s="2853">
        <v>15</v>
      </c>
    </row>
    <row r="122" spans="1:6" ht="24">
      <c r="A122" s="2853">
        <v>50</v>
      </c>
      <c r="B122" s="3566" t="s">
        <v>2754</v>
      </c>
      <c r="C122" s="2853" t="s">
        <v>2755</v>
      </c>
      <c r="D122" s="2827" t="s">
        <v>2756</v>
      </c>
      <c r="E122" s="2853">
        <v>0.1</v>
      </c>
      <c r="F122" s="2853">
        <v>15</v>
      </c>
    </row>
    <row r="123" spans="1:6" ht="24">
      <c r="A123" s="2853">
        <v>51</v>
      </c>
      <c r="B123" s="3566"/>
      <c r="C123" s="2853" t="s">
        <v>2757</v>
      </c>
      <c r="D123" s="2827" t="s">
        <v>2758</v>
      </c>
      <c r="E123" s="2853">
        <v>0.1</v>
      </c>
      <c r="F123" s="2853">
        <v>15</v>
      </c>
    </row>
    <row r="124" spans="1:6" ht="24">
      <c r="A124" s="2853">
        <v>52</v>
      </c>
      <c r="B124" s="3566" t="s">
        <v>2759</v>
      </c>
      <c r="C124" s="2853" t="s">
        <v>2760</v>
      </c>
      <c r="D124" s="2827" t="s">
        <v>2761</v>
      </c>
      <c r="E124" s="2853">
        <v>0.1</v>
      </c>
      <c r="F124" s="2853">
        <v>15</v>
      </c>
    </row>
    <row r="125" spans="1:6" ht="24">
      <c r="A125" s="2853">
        <v>53</v>
      </c>
      <c r="B125" s="3566"/>
      <c r="C125" s="2853" t="s">
        <v>2762</v>
      </c>
      <c r="D125" s="2827" t="s">
        <v>2763</v>
      </c>
      <c r="E125" s="2853">
        <v>0.1</v>
      </c>
      <c r="F125" s="2853">
        <v>15</v>
      </c>
    </row>
    <row r="126" spans="1:6" ht="24">
      <c r="A126" s="2853">
        <v>54</v>
      </c>
      <c r="B126" s="2853" t="s">
        <v>2764</v>
      </c>
      <c r="C126" s="2853" t="s">
        <v>2765</v>
      </c>
      <c r="D126" s="2827" t="s">
        <v>2766</v>
      </c>
      <c r="E126" s="2853">
        <v>0.1</v>
      </c>
      <c r="F126" s="2853">
        <v>15</v>
      </c>
    </row>
    <row r="127" spans="1:6" ht="24">
      <c r="A127" s="2853">
        <v>55</v>
      </c>
      <c r="B127" s="3566" t="s">
        <v>2767</v>
      </c>
      <c r="C127" s="2853" t="s">
        <v>2768</v>
      </c>
      <c r="D127" s="2827" t="s">
        <v>2769</v>
      </c>
      <c r="E127" s="2853">
        <v>0.1</v>
      </c>
      <c r="F127" s="2853">
        <v>15</v>
      </c>
    </row>
    <row r="128" spans="1:6" ht="24">
      <c r="A128" s="2853">
        <v>56</v>
      </c>
      <c r="B128" s="3566"/>
      <c r="C128" s="2853" t="s">
        <v>2770</v>
      </c>
      <c r="D128" s="2827" t="s">
        <v>2771</v>
      </c>
      <c r="E128" s="2853">
        <v>0.1</v>
      </c>
      <c r="F128" s="2853">
        <v>15</v>
      </c>
    </row>
    <row r="129" spans="1:6" ht="24">
      <c r="A129" s="2853">
        <v>57</v>
      </c>
      <c r="B129" s="3566"/>
      <c r="C129" s="2853" t="s">
        <v>2772</v>
      </c>
      <c r="D129" s="2827" t="s">
        <v>2773</v>
      </c>
      <c r="E129" s="2853">
        <v>0.1</v>
      </c>
      <c r="F129" s="2853">
        <v>15</v>
      </c>
    </row>
    <row r="130" spans="1:6" ht="24">
      <c r="A130" s="2853">
        <v>58</v>
      </c>
      <c r="B130" s="3566" t="s">
        <v>2774</v>
      </c>
      <c r="C130" s="2853" t="s">
        <v>2775</v>
      </c>
      <c r="D130" s="2827" t="s">
        <v>2776</v>
      </c>
      <c r="E130" s="2853">
        <v>0.1</v>
      </c>
      <c r="F130" s="2853">
        <v>15</v>
      </c>
    </row>
    <row r="131" spans="1:6" ht="24">
      <c r="A131" s="2853">
        <v>59</v>
      </c>
      <c r="B131" s="3566"/>
      <c r="C131" s="2853" t="s">
        <v>2777</v>
      </c>
      <c r="D131" s="2827" t="s">
        <v>2778</v>
      </c>
      <c r="E131" s="2853">
        <v>0.1</v>
      </c>
      <c r="F131" s="2853">
        <v>15</v>
      </c>
    </row>
    <row r="132" spans="1:6" ht="24">
      <c r="A132" s="2853">
        <v>60</v>
      </c>
      <c r="B132" s="3567" t="s">
        <v>2779</v>
      </c>
      <c r="C132" s="2853" t="s">
        <v>2780</v>
      </c>
      <c r="D132" s="2827" t="s">
        <v>2781</v>
      </c>
      <c r="E132" s="2853">
        <v>0.1</v>
      </c>
      <c r="F132" s="2853">
        <v>15</v>
      </c>
    </row>
    <row r="133" spans="1:6" ht="24">
      <c r="A133" s="2853">
        <v>61</v>
      </c>
      <c r="B133" s="3568"/>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24">
      <c r="A135" s="2853">
        <v>63</v>
      </c>
      <c r="B135" s="3566" t="s">
        <v>2787</v>
      </c>
      <c r="C135" s="2853" t="s">
        <v>2788</v>
      </c>
      <c r="D135" s="2827" t="s">
        <v>2789</v>
      </c>
      <c r="E135" s="2853">
        <v>0.1</v>
      </c>
      <c r="F135" s="2853">
        <v>15</v>
      </c>
    </row>
    <row r="136" spans="1:6" ht="24">
      <c r="A136" s="2853">
        <v>64</v>
      </c>
      <c r="B136" s="3566"/>
      <c r="C136" s="2853" t="s">
        <v>2790</v>
      </c>
      <c r="D136" s="2827" t="s">
        <v>2791</v>
      </c>
      <c r="E136" s="2853">
        <v>0.1</v>
      </c>
      <c r="F136" s="2853">
        <v>15</v>
      </c>
    </row>
    <row r="137" spans="1:6" ht="24">
      <c r="A137" s="2853">
        <v>65</v>
      </c>
      <c r="B137" s="2853" t="s">
        <v>2792</v>
      </c>
      <c r="C137" s="2853" t="s">
        <v>2793</v>
      </c>
      <c r="D137" s="2827" t="s">
        <v>2794</v>
      </c>
      <c r="E137" s="2853">
        <v>0.1</v>
      </c>
      <c r="F137" s="2853">
        <v>15</v>
      </c>
    </row>
    <row r="138" spans="1:6" ht="14.4">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6">
      <c r="A3" s="3257"/>
      <c r="B3" s="3257"/>
      <c r="C3" s="3257"/>
      <c r="D3" s="801" t="s">
        <v>925</v>
      </c>
      <c r="E3" s="801" t="s">
        <v>931</v>
      </c>
      <c r="F3" s="801" t="s">
        <v>925</v>
      </c>
      <c r="G3" s="801" t="s">
        <v>926</v>
      </c>
      <c r="H3" s="801" t="s">
        <v>925</v>
      </c>
      <c r="I3" s="801" t="s">
        <v>926</v>
      </c>
    </row>
    <row r="4" spans="1:9" ht="30">
      <c r="A4" s="1402" t="str">
        <f>项目基本情况!S2</f>
        <v>北京市东城区朝阳门北大街8号房地产</v>
      </c>
      <c r="B4" s="801">
        <f>项目基本情况!C17</f>
        <v>12000.230000000001</v>
      </c>
      <c r="C4" s="801">
        <f>项目基本情况!C18</f>
        <v>1066.21</v>
      </c>
      <c r="D4" s="801">
        <f ca="1">结果表!D118</f>
        <v>35722</v>
      </c>
      <c r="E4" s="801">
        <f ca="1">结果表!E118</f>
        <v>29768</v>
      </c>
      <c r="F4" s="801">
        <f ca="1">结果表!F118</f>
        <v>7420</v>
      </c>
      <c r="G4" s="801">
        <f ca="1">结果表!G118</f>
        <v>6183</v>
      </c>
      <c r="H4" s="801">
        <f ca="1">结果表!H118</f>
        <v>43142</v>
      </c>
      <c r="I4" s="801">
        <f ca="1">结果表!I118</f>
        <v>35951</v>
      </c>
    </row>
    <row r="5" spans="1:9" ht="30" customHeight="1">
      <c r="A5" s="3257" t="s">
        <v>927</v>
      </c>
      <c r="B5" s="3257"/>
      <c r="C5" s="3257"/>
      <c r="D5" s="3257" t="str">
        <f ca="1">结果表!D119</f>
        <v>叁亿伍仟柒佰贰拾贰万元整</v>
      </c>
      <c r="E5" s="3257"/>
      <c r="F5" s="3257" t="str">
        <f ca="1">结果表!F119</f>
        <v>柒仟肆佰贰拾万元整</v>
      </c>
      <c r="G5" s="3257"/>
      <c r="H5" s="3257" t="str">
        <f ca="1">结果表!H119</f>
        <v>肆亿叁仟壹佰肆拾贰万元整</v>
      </c>
      <c r="I5" s="3257"/>
    </row>
    <row r="6" spans="1:9" ht="15.6">
      <c r="A6" s="3256" t="str">
        <f>结果表!A120</f>
        <v>估价师知悉的法定优先受偿款</v>
      </c>
      <c r="B6" s="3256"/>
      <c r="C6" s="3256"/>
      <c r="D6" s="3256">
        <f>结果表!D120</f>
        <v>0</v>
      </c>
      <c r="E6" s="3256"/>
      <c r="F6" s="3256"/>
      <c r="G6" s="3256"/>
      <c r="H6" s="3256"/>
      <c r="I6" s="3256"/>
    </row>
    <row r="7" spans="1:9" ht="15">
      <c r="A7" s="3257" t="s">
        <v>927</v>
      </c>
      <c r="B7" s="3257"/>
      <c r="C7" s="3257"/>
      <c r="D7" s="3258" t="str">
        <f>结果表!D121</f>
        <v>零元整</v>
      </c>
      <c r="E7" s="3259"/>
      <c r="F7" s="3259"/>
      <c r="G7" s="3259"/>
      <c r="H7" s="3259"/>
      <c r="I7" s="3260"/>
    </row>
    <row r="8" spans="1:9" ht="15.6">
      <c r="A8" s="3256" t="str">
        <f>结果表!A122</f>
        <v>房地产抵押价值</v>
      </c>
      <c r="B8" s="3256"/>
      <c r="C8" s="3256"/>
      <c r="D8" s="3256">
        <f ca="1">结果表!D122</f>
        <v>43142</v>
      </c>
      <c r="E8" s="3256"/>
      <c r="F8" s="3256"/>
      <c r="G8" s="3256"/>
      <c r="H8" s="3256"/>
      <c r="I8" s="3256"/>
    </row>
    <row r="9" spans="1:9" ht="15">
      <c r="A9" s="3257" t="s">
        <v>927</v>
      </c>
      <c r="B9" s="3257"/>
      <c r="C9" s="3257"/>
      <c r="D9" s="3257" t="str">
        <f ca="1">结果表!D123</f>
        <v>肆亿叁仟壹佰肆拾贰万元整</v>
      </c>
      <c r="E9" s="3257"/>
      <c r="F9" s="3257"/>
      <c r="G9" s="3257"/>
      <c r="H9" s="3257"/>
      <c r="I9" s="3257"/>
    </row>
    <row r="10" spans="1:9" ht="15.6">
      <c r="A10" s="3256" t="str">
        <f>结果表!A124</f>
        <v/>
      </c>
      <c r="B10" s="3256"/>
      <c r="C10" s="3256"/>
      <c r="D10" s="3256" t="str">
        <f>结果表!D124</f>
        <v>——</v>
      </c>
      <c r="E10" s="3256"/>
      <c r="F10" s="3256"/>
      <c r="G10" s="3256"/>
      <c r="H10" s="3256"/>
      <c r="I10" s="3256"/>
    </row>
    <row r="11" spans="1:9" ht="15">
      <c r="A11" s="3257" t="s">
        <v>927</v>
      </c>
      <c r="B11" s="3257"/>
      <c r="C11" s="3257"/>
      <c r="D11" s="3257" t="e">
        <f>结果表!D125</f>
        <v>#VALUE!</v>
      </c>
      <c r="E11" s="3257"/>
      <c r="F11" s="3257"/>
      <c r="G11" s="3257"/>
      <c r="H11" s="3257"/>
      <c r="I11" s="3257"/>
    </row>
    <row r="12" spans="1:9" ht="15.6">
      <c r="A12" s="3256" t="str">
        <f>结果表!A126</f>
        <v/>
      </c>
      <c r="B12" s="3256"/>
      <c r="C12" s="3256"/>
      <c r="D12" s="3256" t="str">
        <f>结果表!D126</f>
        <v>——</v>
      </c>
      <c r="E12" s="3256"/>
      <c r="F12" s="3256"/>
      <c r="G12" s="3256"/>
      <c r="H12" s="3256"/>
      <c r="I12" s="3256"/>
    </row>
    <row r="13" spans="1:9" ht="15.6" thickBot="1">
      <c r="A13" s="3254" t="s">
        <v>927</v>
      </c>
      <c r="B13" s="3254"/>
      <c r="C13" s="3254"/>
      <c r="D13" s="3254" t="e">
        <f>结果表!D127</f>
        <v>#VALUE!</v>
      </c>
      <c r="E13" s="3254"/>
      <c r="F13" s="3254"/>
      <c r="G13" s="3254"/>
      <c r="H13" s="3254"/>
      <c r="I13" s="3254"/>
    </row>
    <row r="14" spans="1:9" ht="14.4" thickTop="1">
      <c r="A14" s="3255" t="s">
        <v>932</v>
      </c>
      <c r="B14" s="3255"/>
      <c r="C14" s="3255"/>
      <c r="D14" s="3255"/>
      <c r="E14" s="3255"/>
      <c r="F14" s="3255"/>
      <c r="G14" s="3255"/>
      <c r="H14" s="3255"/>
      <c r="I14" s="325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0.8921</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0.84499999999999997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35727</v>
      </c>
      <c r="C2" s="2" t="s">
        <v>106</v>
      </c>
      <c r="D2" s="191"/>
      <c r="E2" s="191"/>
      <c r="F2" s="191"/>
      <c r="G2" s="191"/>
    </row>
    <row r="3" spans="1:7" s="192" customFormat="1" ht="18" customHeight="1" thickBot="1">
      <c r="A3" s="195" t="s">
        <v>58</v>
      </c>
      <c r="B3" s="196">
        <f ca="1">ROUND(B2*10000/'数据-汇总表'!E3,0)</f>
        <v>29772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240</v>
      </c>
      <c r="D10" s="795">
        <f>'数据-汇总表'!E6</f>
        <v>12000.230000000001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240</v>
      </c>
      <c r="D19" s="204">
        <f>'数据-汇总表'!E3</f>
        <v>12000.230000000001</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1670</v>
      </c>
      <c r="D22" s="227">
        <f ca="1">C26</f>
        <v>8.0000000000000004E-4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1635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4253</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4253</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6403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5760</v>
      </c>
      <c r="D34" s="209"/>
      <c r="E34" s="212"/>
      <c r="F34" s="249">
        <f>IF('数据-取费表'!B24=0,1,'数据-取费表'!N16)</f>
        <v>1</v>
      </c>
      <c r="G34" s="211" t="s">
        <v>89</v>
      </c>
    </row>
    <row r="35" spans="1:7" ht="13.5" customHeight="1">
      <c r="A35" s="734" t="s">
        <v>351</v>
      </c>
      <c r="B35" s="207" t="s">
        <v>33</v>
      </c>
      <c r="C35" s="212">
        <f>ROUND(C34*F35,0)</f>
        <v>288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240</v>
      </c>
      <c r="D37" s="209">
        <f>'数据-汇总表'!E3</f>
        <v>12000.230000000001</v>
      </c>
      <c r="E37" s="241">
        <f>'数据-取费表'!B35</f>
        <v>200</v>
      </c>
      <c r="F37" s="251"/>
      <c r="G37" s="253" t="s">
        <v>92</v>
      </c>
    </row>
    <row r="38" spans="1:7" ht="13.5" customHeight="1">
      <c r="A38" s="734" t="s">
        <v>354</v>
      </c>
      <c r="B38" s="207" t="s">
        <v>36</v>
      </c>
      <c r="C38" s="212">
        <f>ROUND(C34*F38,0)</f>
        <v>115</v>
      </c>
      <c r="D38" s="212"/>
      <c r="E38" s="212"/>
      <c r="F38" s="251">
        <f>'数据-取费表'!B36</f>
        <v>0.02</v>
      </c>
      <c r="G38" s="211" t="s">
        <v>90</v>
      </c>
    </row>
    <row r="39" spans="1:7" s="206" customFormat="1" ht="13.5" customHeight="1">
      <c r="A39" s="731" t="s">
        <v>338</v>
      </c>
      <c r="B39" s="202" t="s">
        <v>77</v>
      </c>
      <c r="C39" s="224">
        <f>ROUND(C33*F20,0)</f>
        <v>128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254</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249</v>
      </c>
      <c r="D42" s="230"/>
      <c r="E42" s="230"/>
      <c r="F42" s="231"/>
      <c r="G42" s="3477" t="s">
        <v>94</v>
      </c>
    </row>
    <row r="43" spans="1:7" ht="13.5" customHeight="1">
      <c r="A43" s="734" t="s">
        <v>347</v>
      </c>
      <c r="B43" s="207" t="s">
        <v>426</v>
      </c>
      <c r="C43" s="230">
        <f ca="1">ROUND(IF('数据-取费表'!B22&lt;=1,C39*F22*'数据-取费表'!B21/2,C39*(POWER((1+F22),'数据-取费表'!B21/2)-1)),0)</f>
        <v>5</v>
      </c>
      <c r="D43" s="230"/>
      <c r="E43" s="230"/>
      <c r="F43" s="231"/>
      <c r="G43" s="3478"/>
    </row>
    <row r="44" spans="1:7" ht="13.5" customHeight="1">
      <c r="A44" s="734" t="s">
        <v>348</v>
      </c>
      <c r="B44" s="207" t="s">
        <v>428</v>
      </c>
      <c r="C44" s="230">
        <f ca="1">ROUND(IF('数据-取费表'!B22&lt;=1,C40*F22*'数据-取费表'!B21/2,C40*(POWER((1+F22),'数据-取费表'!B21/2)-1)),4)</f>
        <v>8.0000000000000004E-4</v>
      </c>
      <c r="D44" s="230"/>
      <c r="E44" s="230"/>
      <c r="F44" s="231"/>
      <c r="G44" s="3479"/>
    </row>
    <row r="45" spans="1:7" s="206" customFormat="1" ht="13.5" customHeight="1">
      <c r="A45" s="731" t="s">
        <v>341</v>
      </c>
      <c r="B45" s="236" t="s">
        <v>85</v>
      </c>
      <c r="C45" s="237">
        <f>C46</f>
        <v>1306</v>
      </c>
      <c r="D45" s="227">
        <f>C47</f>
        <v>4.0000000000000001E-3</v>
      </c>
      <c r="E45" s="228" t="s">
        <v>102</v>
      </c>
      <c r="F45" s="238"/>
      <c r="G45" s="239" t="s">
        <v>434</v>
      </c>
    </row>
    <row r="46" spans="1:7" s="206" customFormat="1" ht="13.5" customHeight="1">
      <c r="A46" s="734" t="s">
        <v>349</v>
      </c>
      <c r="B46" s="240" t="s">
        <v>427</v>
      </c>
      <c r="C46" s="241">
        <f>ROUND((C33+C39)*F27,0)</f>
        <v>1306</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8777</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6232</v>
      </c>
      <c r="D51" s="224"/>
      <c r="E51" s="224"/>
      <c r="F51" s="256"/>
      <c r="G51" s="226" t="s">
        <v>37</v>
      </c>
    </row>
    <row r="52" spans="1:7" s="200" customFormat="1" ht="16.8" thickBot="1">
      <c r="A52" s="257" t="s">
        <v>38</v>
      </c>
      <c r="B52" s="258"/>
      <c r="C52" s="259">
        <f ca="1">C31+C51</f>
        <v>35727</v>
      </c>
      <c r="D52" s="258"/>
      <c r="E52" s="258"/>
      <c r="F52" s="258"/>
      <c r="G52" s="260"/>
    </row>
    <row r="55" spans="1:7" ht="15">
      <c r="B55" s="262" t="s">
        <v>39</v>
      </c>
      <c r="C55" s="263"/>
    </row>
    <row r="56" spans="1:7">
      <c r="B56" s="265" t="s">
        <v>40</v>
      </c>
      <c r="C56" s="266">
        <f ca="1">ROUND(C51/C52,3)</f>
        <v>0.17399999999999999</v>
      </c>
    </row>
    <row r="57" spans="1:7">
      <c r="B57" s="265" t="s">
        <v>41</v>
      </c>
      <c r="C57" s="267">
        <f ca="1">1-C56</f>
        <v>0.82600000000000007</v>
      </c>
    </row>
  </sheetData>
  <mergeCells count="1">
    <mergeCell ref="G42:G44"/>
  </mergeCells>
  <phoneticPr fontId="19" type="noConversion"/>
  <dataValidations count="2">
    <dataValidation type="list" allowBlank="1" showInputMessage="1" showErrorMessage="1" sqref="G19" xr:uid="{00000000-0002-0000-3200-000000000000}">
      <formula1>"已包含在土地取得成本中,未包含在土地取得成本中"</formula1>
    </dataValidation>
    <dataValidation type="list" allowBlank="1" showInputMessage="1" showErrorMessage="1" sqref="G8" xr:uid="{00000000-0002-0000-32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80" t="s">
        <v>2837</v>
      </c>
      <c r="B1" s="3580"/>
      <c r="C1" s="3580"/>
      <c r="D1" s="3580"/>
      <c r="E1" s="3580"/>
      <c r="F1" s="3580"/>
      <c r="G1" s="3581"/>
      <c r="I1" s="2934" t="s">
        <v>2838</v>
      </c>
      <c r="J1" s="2935" t="s">
        <v>2839</v>
      </c>
      <c r="K1" s="2935" t="s">
        <v>2840</v>
      </c>
      <c r="L1" s="2935" t="s">
        <v>2841</v>
      </c>
      <c r="M1" s="2935" t="s">
        <v>2842</v>
      </c>
      <c r="N1" s="2935" t="s">
        <v>2843</v>
      </c>
      <c r="O1" s="2935" t="s">
        <v>2844</v>
      </c>
      <c r="P1" s="2935" t="s">
        <v>2845</v>
      </c>
      <c r="Q1" s="2935" t="s">
        <v>2846</v>
      </c>
      <c r="R1" s="2935" t="s">
        <v>2847</v>
      </c>
      <c r="S1" s="2935" t="s">
        <v>2848</v>
      </c>
      <c r="T1" s="2936" t="s">
        <v>2849</v>
      </c>
    </row>
    <row r="2" spans="1:20" ht="11.4" thickBot="1">
      <c r="A2" s="2937" t="s">
        <v>2850</v>
      </c>
      <c r="B2" s="2937"/>
      <c r="C2" s="2937"/>
      <c r="D2" s="2937"/>
      <c r="E2" s="2937"/>
      <c r="F2" s="2937"/>
      <c r="G2" s="2938" t="s">
        <v>2851</v>
      </c>
      <c r="I2" s="2939" t="s">
        <v>2852</v>
      </c>
      <c r="J2" s="2939" t="s">
        <v>2853</v>
      </c>
      <c r="K2" s="2939" t="s">
        <v>2854</v>
      </c>
      <c r="L2" s="2939" t="s">
        <v>2855</v>
      </c>
      <c r="M2" s="2939" t="s">
        <v>2856</v>
      </c>
      <c r="N2" s="2939" t="s">
        <v>2857</v>
      </c>
      <c r="O2" s="2939" t="s">
        <v>2858</v>
      </c>
      <c r="P2" s="2939" t="s">
        <v>2859</v>
      </c>
      <c r="Q2" s="2939" t="s">
        <v>2860</v>
      </c>
      <c r="R2" s="2939" t="s">
        <v>2861</v>
      </c>
      <c r="S2" s="2939" t="s">
        <v>2862</v>
      </c>
      <c r="T2" s="2939" t="s">
        <v>2863</v>
      </c>
    </row>
    <row r="3" spans="1:20" s="2945" customFormat="1">
      <c r="A3" s="3578" t="s">
        <v>2864</v>
      </c>
      <c r="B3" s="2940"/>
      <c r="C3" s="2941" t="s">
        <v>2809</v>
      </c>
      <c r="D3" s="2941" t="s">
        <v>2865</v>
      </c>
      <c r="E3" s="2941" t="s">
        <v>2811</v>
      </c>
      <c r="F3" s="2941" t="s">
        <v>2866</v>
      </c>
      <c r="G3" s="2941" t="s">
        <v>2629</v>
      </c>
      <c r="H3" s="2942"/>
      <c r="I3" s="2943" t="s">
        <v>2867</v>
      </c>
      <c r="J3" s="2944" t="s">
        <v>128</v>
      </c>
      <c r="K3" s="2944" t="s">
        <v>129</v>
      </c>
      <c r="L3" s="2943" t="s">
        <v>130</v>
      </c>
      <c r="M3" s="2943" t="s">
        <v>131</v>
      </c>
      <c r="N3" s="2943" t="s">
        <v>132</v>
      </c>
      <c r="O3" s="2943" t="s">
        <v>133</v>
      </c>
      <c r="P3" s="2943" t="s">
        <v>134</v>
      </c>
      <c r="Q3" s="2943" t="s">
        <v>135</v>
      </c>
      <c r="R3" s="2943" t="s">
        <v>136</v>
      </c>
      <c r="S3" s="2943" t="s">
        <v>2868</v>
      </c>
      <c r="T3" s="2943" t="s">
        <v>2869</v>
      </c>
    </row>
    <row r="4" spans="1:20" s="2945" customFormat="1" ht="11.4" thickBot="1">
      <c r="A4" s="3579"/>
      <c r="B4" s="2946" t="s">
        <v>2870</v>
      </c>
      <c r="C4" s="2946" t="s">
        <v>2871</v>
      </c>
      <c r="D4" s="2946" t="s">
        <v>2871</v>
      </c>
      <c r="E4" s="2946" t="s">
        <v>2871</v>
      </c>
      <c r="F4" s="2947" t="s">
        <v>2871</v>
      </c>
      <c r="G4" s="2947" t="s">
        <v>2871</v>
      </c>
      <c r="H4" s="2942"/>
      <c r="I4" s="2944" t="s">
        <v>137</v>
      </c>
      <c r="J4" s="2944" t="s">
        <v>111</v>
      </c>
      <c r="K4" s="2944" t="s">
        <v>138</v>
      </c>
      <c r="L4" s="2943" t="s">
        <v>139</v>
      </c>
      <c r="M4" s="2943" t="s">
        <v>140</v>
      </c>
      <c r="N4" s="2943" t="s">
        <v>141</v>
      </c>
      <c r="O4" s="2943" t="s">
        <v>142</v>
      </c>
      <c r="P4" s="2943" t="s">
        <v>143</v>
      </c>
      <c r="Q4" s="2943" t="s">
        <v>2872</v>
      </c>
      <c r="R4" s="2943" t="s">
        <v>2873</v>
      </c>
      <c r="S4" s="2943" t="s">
        <v>2874</v>
      </c>
      <c r="T4" s="2943" t="s">
        <v>2875</v>
      </c>
    </row>
    <row r="5" spans="1:20">
      <c r="A5" s="2948" t="s">
        <v>2838</v>
      </c>
      <c r="B5" s="2939" t="s">
        <v>2852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2876</v>
      </c>
      <c r="R5" s="2943" t="s">
        <v>2877</v>
      </c>
      <c r="S5" s="2943" t="s">
        <v>153</v>
      </c>
      <c r="T5" s="2943" t="s">
        <v>2878</v>
      </c>
    </row>
    <row r="6" spans="1:20" ht="11.4" thickBot="1">
      <c r="A6" s="2943" t="s">
        <v>144</v>
      </c>
      <c r="B6" s="2943" t="s">
        <v>2867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2879</v>
      </c>
      <c r="Q6" s="2943" t="s">
        <v>2880</v>
      </c>
      <c r="R6" s="2943" t="s">
        <v>161</v>
      </c>
      <c r="S6" s="2943" t="s">
        <v>2881</v>
      </c>
      <c r="T6" s="2943" t="s">
        <v>2882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2883</v>
      </c>
      <c r="Q7" s="2943" t="s">
        <v>2884</v>
      </c>
      <c r="R7" s="2943" t="s">
        <v>2885</v>
      </c>
      <c r="S7" s="2943" t="s">
        <v>2886</v>
      </c>
      <c r="T7" s="2943" t="s">
        <v>2887</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2888</v>
      </c>
      <c r="Q8" s="2943" t="s">
        <v>174</v>
      </c>
      <c r="R8" s="2943" t="s">
        <v>2889</v>
      </c>
      <c r="S8" s="2943" t="s">
        <v>2890</v>
      </c>
      <c r="T8" s="2950" t="s">
        <v>2891</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2892</v>
      </c>
      <c r="Q9" s="2943" t="s">
        <v>182</v>
      </c>
      <c r="R9" s="2943" t="s">
        <v>183</v>
      </c>
      <c r="S9" s="2943" t="s">
        <v>200</v>
      </c>
    </row>
    <row r="10" spans="1:20">
      <c r="A10" s="2948" t="s">
        <v>184</v>
      </c>
      <c r="B10" s="2939" t="s">
        <v>2853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2894</v>
      </c>
      <c r="P11" s="2943" t="s">
        <v>191</v>
      </c>
      <c r="Q11" s="2943" t="s">
        <v>199</v>
      </c>
      <c r="R11" s="2943" t="s">
        <v>2895</v>
      </c>
      <c r="S11" s="2943" t="s">
        <v>2896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2897</v>
      </c>
      <c r="P12" s="2943" t="s">
        <v>2898</v>
      </c>
      <c r="Q12" s="2943" t="s">
        <v>2899</v>
      </c>
      <c r="R12" s="2943" t="s">
        <v>2900</v>
      </c>
      <c r="S12" s="2943" t="s">
        <v>2901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2903</v>
      </c>
      <c r="K14" s="2944" t="s">
        <v>215</v>
      </c>
      <c r="L14" s="2943" t="s">
        <v>216</v>
      </c>
      <c r="M14" s="2943" t="s">
        <v>217</v>
      </c>
      <c r="N14" s="2943" t="s">
        <v>218</v>
      </c>
      <c r="O14" s="2943" t="s">
        <v>240</v>
      </c>
      <c r="P14" s="2943" t="s">
        <v>213</v>
      </c>
      <c r="Q14" s="2943" t="s">
        <v>2904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2905</v>
      </c>
      <c r="P15" s="2943" t="s">
        <v>2906</v>
      </c>
      <c r="Q15" s="2943" t="s">
        <v>242</v>
      </c>
      <c r="R15" s="2943" t="s">
        <v>2907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2908</v>
      </c>
      <c r="P16" s="2943" t="s">
        <v>227</v>
      </c>
      <c r="Q16" s="2943" t="s">
        <v>250</v>
      </c>
      <c r="R16" s="2943" t="s">
        <v>207</v>
      </c>
      <c r="S16" s="2943" t="s">
        <v>2909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2910</v>
      </c>
      <c r="P17" s="2943" t="s">
        <v>2911</v>
      </c>
      <c r="Q17" s="2943" t="s">
        <v>256</v>
      </c>
      <c r="R17" s="2943" t="s">
        <v>2912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2913</v>
      </c>
      <c r="P18" s="2943" t="s">
        <v>241</v>
      </c>
      <c r="Q18" s="2943" t="s">
        <v>2914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2915</v>
      </c>
      <c r="P19" s="2943" t="s">
        <v>249</v>
      </c>
      <c r="Q19" s="2943" t="s">
        <v>2916</v>
      </c>
      <c r="R19" s="2943" t="s">
        <v>265</v>
      </c>
      <c r="S19" s="2943" t="s">
        <v>2917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2918</v>
      </c>
      <c r="P20" s="2943" t="s">
        <v>2919</v>
      </c>
      <c r="Q20" s="2943" t="s">
        <v>290</v>
      </c>
      <c r="R20" s="2943" t="s">
        <v>2920</v>
      </c>
      <c r="S20" s="2943" t="s">
        <v>277</v>
      </c>
    </row>
    <row r="21" spans="1:19" ht="14.25" customHeight="1" thickBot="1">
      <c r="A21" s="2943" t="s">
        <v>184</v>
      </c>
      <c r="B21" s="2944" t="s">
        <v>208</v>
      </c>
      <c r="C21" s="2943">
        <v>32370</v>
      </c>
      <c r="D21" s="2943">
        <v>26730</v>
      </c>
      <c r="E21" s="2943">
        <v>26640</v>
      </c>
      <c r="F21" s="2943"/>
      <c r="G21" s="2943">
        <v>19440</v>
      </c>
      <c r="J21" s="2950" t="s">
        <v>2921</v>
      </c>
      <c r="K21" s="2944" t="s">
        <v>267</v>
      </c>
      <c r="L21" s="2943" t="s">
        <v>268</v>
      </c>
      <c r="M21" s="2943" t="s">
        <v>269</v>
      </c>
      <c r="N21" s="2943" t="s">
        <v>270</v>
      </c>
      <c r="O21" s="2943" t="s">
        <v>264</v>
      </c>
      <c r="P21" s="2943" t="s">
        <v>283</v>
      </c>
      <c r="Q21" s="2943" t="s">
        <v>293</v>
      </c>
      <c r="R21" s="2943" t="s">
        <v>2922</v>
      </c>
      <c r="S21" s="2950" t="s">
        <v>2923</v>
      </c>
    </row>
    <row r="22" spans="1:19" ht="14.25" customHeight="1">
      <c r="A22" s="2943" t="s">
        <v>184</v>
      </c>
      <c r="B22" s="2944" t="s">
        <v>2903</v>
      </c>
      <c r="C22" s="2943">
        <v>29830</v>
      </c>
      <c r="D22" s="2943">
        <v>27600</v>
      </c>
      <c r="E22" s="2943">
        <v>28150</v>
      </c>
      <c r="F22" s="2943"/>
      <c r="G22" s="2943">
        <v>20080</v>
      </c>
      <c r="K22" s="2944" t="s">
        <v>2924</v>
      </c>
      <c r="L22" s="2943" t="s">
        <v>272</v>
      </c>
      <c r="M22" s="2943" t="s">
        <v>273</v>
      </c>
      <c r="N22" s="2943" t="s">
        <v>274</v>
      </c>
      <c r="O22" s="2943" t="s">
        <v>2925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2926</v>
      </c>
      <c r="L23" s="2943" t="s">
        <v>278</v>
      </c>
      <c r="M23" s="2943" t="s">
        <v>279</v>
      </c>
      <c r="N23" s="2943" t="s">
        <v>2927</v>
      </c>
      <c r="O23" s="2943" t="s">
        <v>2928</v>
      </c>
      <c r="P23" s="2943" t="s">
        <v>289</v>
      </c>
      <c r="Q23" s="2943" t="s">
        <v>298</v>
      </c>
      <c r="R23" s="2943" t="s">
        <v>2929</v>
      </c>
    </row>
    <row r="24" spans="1:19" ht="14.25" customHeight="1">
      <c r="A24" s="2943" t="s">
        <v>184</v>
      </c>
      <c r="B24" s="2944" t="s">
        <v>230</v>
      </c>
      <c r="C24" s="2943">
        <v>27930</v>
      </c>
      <c r="D24" s="2943">
        <v>32260</v>
      </c>
      <c r="E24" s="2943">
        <v>32120</v>
      </c>
      <c r="F24" s="2943"/>
      <c r="G24" s="2943">
        <v>23470</v>
      </c>
      <c r="K24" s="2944" t="s">
        <v>2930</v>
      </c>
      <c r="L24" s="2943" t="s">
        <v>281</v>
      </c>
      <c r="M24" s="2943" t="s">
        <v>282</v>
      </c>
      <c r="N24" s="2943" t="s">
        <v>2931</v>
      </c>
      <c r="O24" s="2943" t="s">
        <v>285</v>
      </c>
      <c r="P24" s="2943" t="s">
        <v>2932</v>
      </c>
      <c r="Q24" s="2952" t="s">
        <v>2933</v>
      </c>
      <c r="R24" s="2943" t="s">
        <v>2934</v>
      </c>
    </row>
    <row r="25" spans="1:19" ht="14.25" customHeight="1">
      <c r="A25" s="2943" t="s">
        <v>184</v>
      </c>
      <c r="B25" s="2944" t="s">
        <v>235</v>
      </c>
      <c r="C25" s="2943">
        <v>32230</v>
      </c>
      <c r="D25" s="2943">
        <v>29640</v>
      </c>
      <c r="E25" s="2943">
        <v>29510</v>
      </c>
      <c r="F25" s="2943"/>
      <c r="G25" s="2943">
        <v>21560</v>
      </c>
      <c r="K25" s="2944" t="s">
        <v>2935</v>
      </c>
      <c r="L25" s="2943" t="s">
        <v>2936</v>
      </c>
      <c r="M25" s="2943" t="s">
        <v>284</v>
      </c>
      <c r="N25" s="2943" t="s">
        <v>292</v>
      </c>
      <c r="O25" s="2943" t="s">
        <v>288</v>
      </c>
      <c r="P25" s="2943" t="s">
        <v>275</v>
      </c>
      <c r="Q25" s="2952" t="s">
        <v>271</v>
      </c>
      <c r="R25" s="2943" t="s">
        <v>2937</v>
      </c>
    </row>
    <row r="26" spans="1:19" ht="14.25" customHeight="1" thickBot="1">
      <c r="A26" s="2943" t="s">
        <v>184</v>
      </c>
      <c r="B26" s="2944" t="s">
        <v>244</v>
      </c>
      <c r="C26" s="2943">
        <v>31690</v>
      </c>
      <c r="D26" s="2943">
        <v>27650</v>
      </c>
      <c r="E26" s="2943">
        <v>28200</v>
      </c>
      <c r="F26" s="2943"/>
      <c r="G26" s="2943">
        <v>20110</v>
      </c>
      <c r="K26" s="2949" t="s">
        <v>2938</v>
      </c>
      <c r="L26" s="2943" t="s">
        <v>2939</v>
      </c>
      <c r="M26" s="2943" t="s">
        <v>287</v>
      </c>
      <c r="N26" s="2943" t="s">
        <v>294</v>
      </c>
      <c r="O26" s="2943" t="s">
        <v>2940</v>
      </c>
      <c r="P26" s="2943" t="s">
        <v>2941</v>
      </c>
      <c r="Q26" s="2952" t="s">
        <v>276</v>
      </c>
      <c r="R26" s="2943" t="s">
        <v>2942</v>
      </c>
    </row>
    <row r="27" spans="1:19" ht="14.25" customHeight="1">
      <c r="A27" s="2943" t="s">
        <v>184</v>
      </c>
      <c r="B27" s="2944" t="s">
        <v>251</v>
      </c>
      <c r="C27" s="2943">
        <v>29610</v>
      </c>
      <c r="D27" s="2943">
        <v>27770</v>
      </c>
      <c r="E27" s="2943">
        <v>28300</v>
      </c>
      <c r="F27" s="2943"/>
      <c r="G27" s="2943">
        <v>20210</v>
      </c>
      <c r="L27" s="2943" t="s">
        <v>2943</v>
      </c>
      <c r="M27" s="2943" t="s">
        <v>291</v>
      </c>
      <c r="N27" s="2943" t="s">
        <v>297</v>
      </c>
      <c r="O27" s="2943" t="s">
        <v>2944</v>
      </c>
      <c r="P27" s="2943" t="s">
        <v>2945</v>
      </c>
      <c r="Q27" s="2943" t="s">
        <v>2946</v>
      </c>
      <c r="R27" s="2943" t="s">
        <v>2947</v>
      </c>
    </row>
    <row r="28" spans="1:19" ht="14.25" customHeight="1">
      <c r="A28" s="2943" t="s">
        <v>184</v>
      </c>
      <c r="B28" s="2944" t="s">
        <v>259</v>
      </c>
      <c r="C28" s="2943"/>
      <c r="D28" s="2943">
        <v>31520</v>
      </c>
      <c r="E28" s="2943">
        <v>31410</v>
      </c>
      <c r="F28" s="2943"/>
      <c r="G28" s="2943">
        <v>22940</v>
      </c>
      <c r="L28" s="2943" t="s">
        <v>2948</v>
      </c>
      <c r="M28" s="2943" t="s">
        <v>2949</v>
      </c>
      <c r="N28" s="2943" t="s">
        <v>2950</v>
      </c>
      <c r="O28" s="2943" t="s">
        <v>2951</v>
      </c>
      <c r="P28" s="2943" t="s">
        <v>2952</v>
      </c>
      <c r="Q28" s="2943" t="s">
        <v>2953</v>
      </c>
      <c r="R28" s="2943" t="s">
        <v>2954</v>
      </c>
    </row>
    <row r="29" spans="1:19" ht="14.25" customHeight="1" thickBot="1">
      <c r="A29" s="2951" t="s">
        <v>184</v>
      </c>
      <c r="B29" s="2953" t="s">
        <v>2921</v>
      </c>
      <c r="C29" s="2954"/>
      <c r="D29" s="2954">
        <v>29460</v>
      </c>
      <c r="E29" s="2954">
        <v>28640</v>
      </c>
      <c r="F29" s="2954"/>
      <c r="G29" s="2954">
        <v>21430</v>
      </c>
      <c r="L29" s="2943" t="s">
        <v>2955</v>
      </c>
      <c r="M29" s="2943" t="s">
        <v>2956</v>
      </c>
      <c r="N29" s="2943" t="s">
        <v>2957</v>
      </c>
      <c r="O29" s="2943" t="s">
        <v>2958</v>
      </c>
      <c r="P29" s="2943" t="s">
        <v>2959</v>
      </c>
      <c r="Q29" s="2943" t="s">
        <v>2960</v>
      </c>
      <c r="R29" s="2943" t="s">
        <v>280</v>
      </c>
    </row>
    <row r="30" spans="1:19" ht="14.25" customHeight="1">
      <c r="A30" s="2948" t="s">
        <v>296</v>
      </c>
      <c r="B30" s="2939" t="s">
        <v>2854</v>
      </c>
      <c r="C30" s="2939">
        <v>26890</v>
      </c>
      <c r="D30" s="2939">
        <v>26770</v>
      </c>
      <c r="E30" s="2939">
        <v>25700</v>
      </c>
      <c r="F30" s="2939">
        <v>8180</v>
      </c>
      <c r="G30" s="2955">
        <v>18740</v>
      </c>
      <c r="L30" s="2943" t="s">
        <v>2961</v>
      </c>
      <c r="M30" s="2943" t="s">
        <v>2962</v>
      </c>
      <c r="N30" s="2943" t="s">
        <v>2963</v>
      </c>
      <c r="O30" s="2943" t="s">
        <v>2964</v>
      </c>
      <c r="P30" s="2943" t="s">
        <v>2965</v>
      </c>
      <c r="Q30" s="2943" t="s">
        <v>2966</v>
      </c>
      <c r="R30" s="2943" t="s">
        <v>2967</v>
      </c>
    </row>
    <row r="31" spans="1:19" ht="14.25" customHeight="1">
      <c r="A31" s="2943" t="s">
        <v>296</v>
      </c>
      <c r="B31" s="2944" t="s">
        <v>129</v>
      </c>
      <c r="C31" s="2943">
        <v>24550</v>
      </c>
      <c r="D31" s="2943">
        <v>23990</v>
      </c>
      <c r="E31" s="2943">
        <v>22930</v>
      </c>
      <c r="F31" s="2943">
        <v>7470</v>
      </c>
      <c r="G31" s="2956">
        <v>16790</v>
      </c>
      <c r="L31" s="2943" t="s">
        <v>2968</v>
      </c>
      <c r="M31" s="2943" t="s">
        <v>2969</v>
      </c>
      <c r="N31" s="2943" t="s">
        <v>2970</v>
      </c>
      <c r="O31" s="2943" t="s">
        <v>2971</v>
      </c>
      <c r="P31" s="2943" t="s">
        <v>2972</v>
      </c>
      <c r="Q31" s="2943" t="s">
        <v>2973</v>
      </c>
      <c r="R31" s="2943" t="s">
        <v>2974</v>
      </c>
    </row>
    <row r="32" spans="1:19" ht="14.25" customHeight="1" thickBot="1">
      <c r="A32" s="2943" t="s">
        <v>296</v>
      </c>
      <c r="B32" s="2944" t="s">
        <v>138</v>
      </c>
      <c r="C32" s="2943">
        <v>27210</v>
      </c>
      <c r="D32" s="2943">
        <v>23240</v>
      </c>
      <c r="E32" s="2943">
        <v>23260</v>
      </c>
      <c r="F32" s="2943">
        <v>7130</v>
      </c>
      <c r="G32" s="2956">
        <v>16270</v>
      </c>
      <c r="L32" s="2943" t="s">
        <v>2975</v>
      </c>
      <c r="M32" s="2943" t="s">
        <v>2976</v>
      </c>
      <c r="N32" s="2943" t="s">
        <v>300</v>
      </c>
      <c r="O32" s="2943" t="s">
        <v>2977</v>
      </c>
      <c r="P32" s="2943" t="s">
        <v>299</v>
      </c>
      <c r="Q32" s="2943" t="s">
        <v>2978</v>
      </c>
      <c r="R32" s="2950" t="s">
        <v>2979</v>
      </c>
    </row>
    <row r="33" spans="1:17" ht="14.25" customHeight="1" thickBot="1">
      <c r="A33" s="2943" t="s">
        <v>296</v>
      </c>
      <c r="B33" s="2944" t="s">
        <v>147</v>
      </c>
      <c r="C33" s="2943">
        <v>27300</v>
      </c>
      <c r="D33" s="2943">
        <v>22980</v>
      </c>
      <c r="E33" s="2943">
        <v>24260</v>
      </c>
      <c r="F33" s="2943">
        <v>5860</v>
      </c>
      <c r="G33" s="2956">
        <v>16090</v>
      </c>
      <c r="L33" s="2950" t="s">
        <v>2980</v>
      </c>
      <c r="M33" s="2943" t="s">
        <v>2981</v>
      </c>
      <c r="N33" s="2943" t="s">
        <v>301</v>
      </c>
      <c r="O33" s="2943" t="s">
        <v>2982</v>
      </c>
      <c r="P33" s="2943" t="s">
        <v>2983</v>
      </c>
      <c r="Q33" s="2943" t="s">
        <v>2984</v>
      </c>
    </row>
    <row r="34" spans="1:17" ht="14.25" customHeight="1">
      <c r="A34" s="2943" t="s">
        <v>296</v>
      </c>
      <c r="B34" s="2944" t="s">
        <v>156</v>
      </c>
      <c r="C34" s="2943">
        <v>23090</v>
      </c>
      <c r="D34" s="2943">
        <v>23390</v>
      </c>
      <c r="E34" s="2943">
        <v>23510</v>
      </c>
      <c r="F34" s="2943">
        <v>6700</v>
      </c>
      <c r="G34" s="2956">
        <v>16370</v>
      </c>
      <c r="M34" s="2943" t="s">
        <v>2985</v>
      </c>
      <c r="N34" s="2943" t="s">
        <v>302</v>
      </c>
      <c r="O34" s="2943" t="s">
        <v>2986</v>
      </c>
      <c r="P34" s="2943" t="s">
        <v>2987</v>
      </c>
      <c r="Q34" s="2943" t="s">
        <v>2988</v>
      </c>
    </row>
    <row r="35" spans="1:17" ht="14.25" customHeight="1">
      <c r="A35" s="2943" t="s">
        <v>296</v>
      </c>
      <c r="B35" s="2944" t="s">
        <v>163</v>
      </c>
      <c r="C35" s="2943">
        <v>27270</v>
      </c>
      <c r="D35" s="2943">
        <v>24270</v>
      </c>
      <c r="E35" s="2943">
        <v>24950</v>
      </c>
      <c r="F35" s="2943">
        <v>6600</v>
      </c>
      <c r="G35" s="2956">
        <v>16990</v>
      </c>
      <c r="M35" s="2943" t="s">
        <v>2989</v>
      </c>
      <c r="N35" s="2943" t="s">
        <v>2990</v>
      </c>
      <c r="O35" s="2943" t="s">
        <v>2991</v>
      </c>
      <c r="P35" s="2943" t="s">
        <v>2992</v>
      </c>
      <c r="Q35" s="2943" t="s">
        <v>2993</v>
      </c>
    </row>
    <row r="36" spans="1:17" ht="14.25" customHeight="1">
      <c r="A36" s="2943" t="s">
        <v>296</v>
      </c>
      <c r="B36" s="2944" t="s">
        <v>169</v>
      </c>
      <c r="C36" s="2943">
        <v>23490</v>
      </c>
      <c r="D36" s="2943">
        <v>23020</v>
      </c>
      <c r="E36" s="2943">
        <v>25230</v>
      </c>
      <c r="F36" s="2943">
        <v>6780</v>
      </c>
      <c r="G36" s="2956">
        <v>16120</v>
      </c>
      <c r="M36" s="2943" t="s">
        <v>2994</v>
      </c>
      <c r="N36" s="2943" t="s">
        <v>2995</v>
      </c>
      <c r="O36" s="2943" t="s">
        <v>2996</v>
      </c>
      <c r="P36" s="2943" t="s">
        <v>2997</v>
      </c>
      <c r="Q36" s="2943" t="s">
        <v>2998</v>
      </c>
    </row>
    <row r="37" spans="1:17" ht="14.25" customHeight="1">
      <c r="A37" s="2943" t="s">
        <v>296</v>
      </c>
      <c r="B37" s="2944" t="s">
        <v>176</v>
      </c>
      <c r="C37" s="2943">
        <v>24380</v>
      </c>
      <c r="D37" s="2943">
        <v>22240</v>
      </c>
      <c r="E37" s="2943">
        <v>25980</v>
      </c>
      <c r="F37" s="2943">
        <v>8160</v>
      </c>
      <c r="G37" s="2956">
        <v>15570</v>
      </c>
      <c r="M37" s="2943" t="s">
        <v>2999</v>
      </c>
      <c r="N37" s="2943" t="s">
        <v>3000</v>
      </c>
      <c r="O37" s="2943" t="s">
        <v>3001</v>
      </c>
      <c r="P37" s="2943" t="s">
        <v>3002</v>
      </c>
      <c r="Q37" s="2943" t="s">
        <v>3003</v>
      </c>
    </row>
    <row r="38" spans="1:17" ht="14.25" customHeight="1">
      <c r="A38" s="2943" t="s">
        <v>296</v>
      </c>
      <c r="B38" s="2944" t="s">
        <v>186</v>
      </c>
      <c r="C38" s="2943">
        <v>23120</v>
      </c>
      <c r="D38" s="2943">
        <v>24630</v>
      </c>
      <c r="E38" s="2943">
        <v>25030</v>
      </c>
      <c r="F38" s="2943">
        <v>7710</v>
      </c>
      <c r="G38" s="2956">
        <v>17240</v>
      </c>
      <c r="M38" s="2943" t="s">
        <v>3004</v>
      </c>
      <c r="N38" s="2943" t="s">
        <v>3005</v>
      </c>
      <c r="O38" s="2943" t="s">
        <v>3006</v>
      </c>
      <c r="P38" s="2943" t="s">
        <v>3007</v>
      </c>
      <c r="Q38" s="2943" t="s">
        <v>3008</v>
      </c>
    </row>
    <row r="39" spans="1:17" ht="14.25" customHeight="1">
      <c r="A39" s="2943" t="s">
        <v>296</v>
      </c>
      <c r="B39" s="2944" t="s">
        <v>195</v>
      </c>
      <c r="C39" s="2943">
        <v>22330</v>
      </c>
      <c r="D39" s="2943">
        <v>21140</v>
      </c>
      <c r="E39" s="2943">
        <v>23970</v>
      </c>
      <c r="F39" s="2943">
        <v>7940</v>
      </c>
      <c r="G39" s="2956">
        <v>14790</v>
      </c>
      <c r="M39" s="2943" t="s">
        <v>3009</v>
      </c>
      <c r="N39" s="2943" t="s">
        <v>3010</v>
      </c>
      <c r="O39" s="2943" t="s">
        <v>3011</v>
      </c>
      <c r="P39" s="2943" t="s">
        <v>3012</v>
      </c>
      <c r="Q39" s="2943" t="s">
        <v>3013</v>
      </c>
    </row>
    <row r="40" spans="1:17" ht="14.25" customHeight="1">
      <c r="A40" s="2943" t="s">
        <v>296</v>
      </c>
      <c r="B40" s="2944" t="s">
        <v>202</v>
      </c>
      <c r="C40" s="2943">
        <v>24740</v>
      </c>
      <c r="D40" s="2943">
        <v>24690</v>
      </c>
      <c r="E40" s="2943">
        <v>22610</v>
      </c>
      <c r="F40" s="2943"/>
      <c r="G40" s="2956">
        <v>17280</v>
      </c>
      <c r="M40" s="2943" t="s">
        <v>3014</v>
      </c>
      <c r="N40" s="2943" t="s">
        <v>3015</v>
      </c>
      <c r="O40" s="2943" t="s">
        <v>3016</v>
      </c>
      <c r="P40" s="2943" t="s">
        <v>3017</v>
      </c>
      <c r="Q40" s="2943" t="s">
        <v>3018</v>
      </c>
    </row>
    <row r="41" spans="1:17" ht="14.25" customHeight="1" thickBot="1">
      <c r="A41" s="2943" t="s">
        <v>296</v>
      </c>
      <c r="B41" s="2944" t="s">
        <v>209</v>
      </c>
      <c r="C41" s="2943">
        <v>21220</v>
      </c>
      <c r="D41" s="2943">
        <v>21120</v>
      </c>
      <c r="E41" s="2943">
        <v>22590</v>
      </c>
      <c r="F41" s="2943"/>
      <c r="G41" s="2956">
        <v>14780</v>
      </c>
      <c r="M41" s="2950" t="s">
        <v>3019</v>
      </c>
      <c r="N41" s="2943" t="s">
        <v>3020</v>
      </c>
      <c r="O41" s="2943" t="s">
        <v>3021</v>
      </c>
      <c r="P41" s="2943" t="s">
        <v>3022</v>
      </c>
      <c r="Q41" s="2943" t="s">
        <v>3023</v>
      </c>
    </row>
    <row r="42" spans="1:17" ht="14.25" customHeight="1">
      <c r="A42" s="2943" t="s">
        <v>296</v>
      </c>
      <c r="B42" s="2944" t="s">
        <v>215</v>
      </c>
      <c r="C42" s="2943">
        <v>24800</v>
      </c>
      <c r="D42" s="2943">
        <v>22280</v>
      </c>
      <c r="E42" s="2943">
        <v>24350</v>
      </c>
      <c r="F42" s="2943"/>
      <c r="G42" s="2956">
        <v>15590</v>
      </c>
      <c r="N42" s="2943" t="s">
        <v>3024</v>
      </c>
      <c r="O42" s="2943" t="s">
        <v>3025</v>
      </c>
      <c r="P42" s="2943" t="s">
        <v>3026</v>
      </c>
      <c r="Q42" s="2943" t="s">
        <v>3027</v>
      </c>
    </row>
    <row r="43" spans="1:17" ht="14.25" customHeight="1">
      <c r="A43" s="2943" t="s">
        <v>3028</v>
      </c>
      <c r="B43" s="2944" t="s">
        <v>223</v>
      </c>
      <c r="C43" s="2943">
        <v>21210</v>
      </c>
      <c r="D43" s="2943">
        <v>21160</v>
      </c>
      <c r="E43" s="2943">
        <v>22650</v>
      </c>
      <c r="F43" s="2943"/>
      <c r="G43" s="2956">
        <v>14800</v>
      </c>
      <c r="N43" s="2943" t="s">
        <v>3029</v>
      </c>
      <c r="O43" s="2943" t="s">
        <v>3030</v>
      </c>
      <c r="P43" s="2943" t="s">
        <v>3031</v>
      </c>
      <c r="Q43" s="2943" t="s">
        <v>3032</v>
      </c>
    </row>
    <row r="44" spans="1:17" ht="14.25" customHeight="1" thickBot="1">
      <c r="A44" s="2943" t="s">
        <v>296</v>
      </c>
      <c r="B44" s="2944" t="s">
        <v>231</v>
      </c>
      <c r="C44" s="2943">
        <v>22370</v>
      </c>
      <c r="D44" s="2943">
        <v>23140</v>
      </c>
      <c r="E44" s="2943">
        <v>25090</v>
      </c>
      <c r="F44" s="2943"/>
      <c r="G44" s="2956">
        <v>16190</v>
      </c>
      <c r="N44" s="2943" t="s">
        <v>3033</v>
      </c>
      <c r="O44" s="2943" t="s">
        <v>3034</v>
      </c>
      <c r="P44" s="2950" t="s">
        <v>3035</v>
      </c>
      <c r="Q44" s="2943" t="s">
        <v>3036</v>
      </c>
    </row>
    <row r="45" spans="1:17" ht="14.25" customHeight="1" thickBot="1">
      <c r="A45" s="2943" t="s">
        <v>296</v>
      </c>
      <c r="B45" s="2944" t="s">
        <v>236</v>
      </c>
      <c r="C45" s="2943">
        <v>21240</v>
      </c>
      <c r="D45" s="2943">
        <v>27050</v>
      </c>
      <c r="E45" s="2943">
        <v>28000</v>
      </c>
      <c r="F45" s="2943"/>
      <c r="G45" s="2956">
        <v>18940</v>
      </c>
      <c r="N45" s="2943" t="s">
        <v>3037</v>
      </c>
      <c r="O45" s="2950" t="s">
        <v>3038</v>
      </c>
      <c r="Q45" s="2943" t="s">
        <v>3039</v>
      </c>
    </row>
    <row r="46" spans="1:17" ht="14.25" customHeight="1">
      <c r="A46" s="2943" t="s">
        <v>296</v>
      </c>
      <c r="B46" s="2944" t="s">
        <v>245</v>
      </c>
      <c r="C46" s="2943">
        <v>23240</v>
      </c>
      <c r="D46" s="2943">
        <v>23000</v>
      </c>
      <c r="E46" s="2943">
        <v>24980</v>
      </c>
      <c r="F46" s="2943"/>
      <c r="G46" s="2956">
        <v>16100</v>
      </c>
      <c r="N46" s="2943" t="s">
        <v>3040</v>
      </c>
      <c r="Q46" s="2943" t="s">
        <v>3041</v>
      </c>
    </row>
    <row r="47" spans="1:17" ht="14.25" customHeight="1">
      <c r="A47" s="2943" t="s">
        <v>296</v>
      </c>
      <c r="B47" s="2944" t="s">
        <v>252</v>
      </c>
      <c r="C47" s="2943">
        <v>27150</v>
      </c>
      <c r="D47" s="2943">
        <v>23310</v>
      </c>
      <c r="E47" s="2943">
        <v>25150</v>
      </c>
      <c r="F47" s="2943"/>
      <c r="G47" s="2956">
        <v>16310</v>
      </c>
      <c r="N47" s="2943" t="s">
        <v>3042</v>
      </c>
      <c r="Q47" s="2943" t="s">
        <v>3043</v>
      </c>
    </row>
    <row r="48" spans="1:17" ht="14.25" customHeight="1">
      <c r="A48" s="2943" t="s">
        <v>296</v>
      </c>
      <c r="B48" s="2944" t="s">
        <v>260</v>
      </c>
      <c r="C48" s="2943">
        <v>23100</v>
      </c>
      <c r="D48" s="2943">
        <v>21110</v>
      </c>
      <c r="E48" s="2943">
        <v>23080</v>
      </c>
      <c r="F48" s="2943"/>
      <c r="G48" s="2956">
        <v>14780</v>
      </c>
      <c r="N48" s="2943" t="s">
        <v>3044</v>
      </c>
      <c r="Q48" s="2943" t="s">
        <v>3045</v>
      </c>
    </row>
    <row r="49" spans="1:17" ht="14.25" customHeight="1">
      <c r="A49" s="2943" t="s">
        <v>296</v>
      </c>
      <c r="B49" s="2944" t="s">
        <v>267</v>
      </c>
      <c r="C49" s="2943">
        <v>23400</v>
      </c>
      <c r="D49" s="2943">
        <v>22920</v>
      </c>
      <c r="E49" s="2943">
        <v>24900</v>
      </c>
      <c r="F49" s="2943"/>
      <c r="G49" s="2956">
        <v>16040</v>
      </c>
      <c r="N49" s="2943" t="s">
        <v>3046</v>
      </c>
      <c r="Q49" s="2943" t="s">
        <v>3047</v>
      </c>
    </row>
    <row r="50" spans="1:17" ht="14.25" customHeight="1">
      <c r="A50" s="2943" t="s">
        <v>296</v>
      </c>
      <c r="B50" s="2944" t="s">
        <v>2924</v>
      </c>
      <c r="C50" s="2943">
        <v>21200</v>
      </c>
      <c r="D50" s="2943">
        <v>26540</v>
      </c>
      <c r="E50" s="2943">
        <v>23200</v>
      </c>
      <c r="F50" s="2943"/>
      <c r="G50" s="2956">
        <v>18580</v>
      </c>
      <c r="N50" s="2943" t="s">
        <v>3048</v>
      </c>
      <c r="Q50" s="2944" t="s">
        <v>3049</v>
      </c>
    </row>
    <row r="51" spans="1:17" ht="14.25" customHeight="1" thickBot="1">
      <c r="A51" s="2943" t="s">
        <v>296</v>
      </c>
      <c r="B51" s="2944" t="s">
        <v>2926</v>
      </c>
      <c r="C51" s="2943">
        <v>23000</v>
      </c>
      <c r="D51" s="2943">
        <v>23460</v>
      </c>
      <c r="E51" s="2943">
        <v>25290</v>
      </c>
      <c r="F51" s="2943"/>
      <c r="G51" s="2956">
        <v>16420</v>
      </c>
      <c r="N51" s="2943" t="s">
        <v>3050</v>
      </c>
      <c r="Q51" s="2950" t="s">
        <v>3051</v>
      </c>
    </row>
    <row r="52" spans="1:17" ht="14.25" customHeight="1">
      <c r="A52" s="2943" t="s">
        <v>296</v>
      </c>
      <c r="B52" s="2944" t="s">
        <v>2930</v>
      </c>
      <c r="C52" s="2943">
        <v>26660</v>
      </c>
      <c r="D52" s="2943">
        <v>22350</v>
      </c>
      <c r="E52" s="2943">
        <v>22920</v>
      </c>
      <c r="F52" s="2943"/>
      <c r="G52" s="2956">
        <v>15640</v>
      </c>
      <c r="N52" s="2943" t="s">
        <v>3052</v>
      </c>
    </row>
    <row r="53" spans="1:17" ht="14.25" customHeight="1">
      <c r="A53" s="2943" t="s">
        <v>296</v>
      </c>
      <c r="B53" s="2944" t="s">
        <v>2935</v>
      </c>
      <c r="C53" s="2943">
        <v>23580</v>
      </c>
      <c r="D53" s="2943"/>
      <c r="E53" s="2943">
        <v>24280</v>
      </c>
      <c r="F53" s="2943"/>
      <c r="G53" s="2956"/>
      <c r="N53" s="2943" t="s">
        <v>3053</v>
      </c>
    </row>
    <row r="54" spans="1:17" ht="14.25" customHeight="1" thickBot="1">
      <c r="A54" s="2957" t="s">
        <v>296</v>
      </c>
      <c r="B54" s="2949" t="s">
        <v>2938</v>
      </c>
      <c r="C54" s="2950">
        <v>22460</v>
      </c>
      <c r="D54" s="2950"/>
      <c r="E54" s="2950"/>
      <c r="F54" s="2950"/>
      <c r="G54" s="2958"/>
      <c r="N54" s="2943" t="s">
        <v>3054</v>
      </c>
    </row>
    <row r="55" spans="1:17" ht="14.25" customHeight="1">
      <c r="A55" s="2948" t="s">
        <v>110</v>
      </c>
      <c r="B55" s="2939" t="s">
        <v>3055</v>
      </c>
      <c r="C55" s="2943">
        <v>21970</v>
      </c>
      <c r="D55" s="2943">
        <v>20370</v>
      </c>
      <c r="E55" s="2943">
        <v>20180</v>
      </c>
      <c r="F55" s="2943">
        <v>5730</v>
      </c>
      <c r="G55" s="2943">
        <v>13820</v>
      </c>
      <c r="N55" s="2943" t="s">
        <v>3056</v>
      </c>
    </row>
    <row r="56" spans="1:17" ht="14.25" customHeight="1">
      <c r="A56" s="2943" t="s">
        <v>110</v>
      </c>
      <c r="B56" s="2943" t="s">
        <v>130</v>
      </c>
      <c r="C56" s="2943">
        <v>20470</v>
      </c>
      <c r="D56" s="2943">
        <v>20700</v>
      </c>
      <c r="E56" s="2943">
        <v>20380</v>
      </c>
      <c r="F56" s="2943">
        <v>4760</v>
      </c>
      <c r="G56" s="2943">
        <v>14050</v>
      </c>
      <c r="N56" s="2943" t="s">
        <v>3057</v>
      </c>
    </row>
    <row r="57" spans="1:17" ht="14.25" customHeight="1">
      <c r="A57" s="2943" t="s">
        <v>110</v>
      </c>
      <c r="B57" s="2943" t="s">
        <v>139</v>
      </c>
      <c r="C57" s="2943">
        <v>20790</v>
      </c>
      <c r="D57" s="2943">
        <v>21370</v>
      </c>
      <c r="E57" s="2943">
        <v>20890</v>
      </c>
      <c r="F57" s="2943">
        <v>4910</v>
      </c>
      <c r="G57" s="2943">
        <v>14510</v>
      </c>
      <c r="N57" s="2943" t="s">
        <v>3058</v>
      </c>
    </row>
    <row r="58" spans="1:17" ht="14.25" customHeight="1">
      <c r="A58" s="2943" t="s">
        <v>110</v>
      </c>
      <c r="B58" s="2943" t="s">
        <v>148</v>
      </c>
      <c r="C58" s="2943">
        <v>21460</v>
      </c>
      <c r="D58" s="2943">
        <v>20920</v>
      </c>
      <c r="E58" s="2943">
        <v>23410</v>
      </c>
      <c r="F58" s="2943">
        <v>5100</v>
      </c>
      <c r="G58" s="2943">
        <v>14200</v>
      </c>
      <c r="N58" s="2943" t="s">
        <v>3059</v>
      </c>
    </row>
    <row r="59" spans="1:17" ht="14.25" customHeight="1">
      <c r="A59" s="2943" t="s">
        <v>110</v>
      </c>
      <c r="B59" s="2943" t="s">
        <v>157</v>
      </c>
      <c r="C59" s="2943">
        <v>21000</v>
      </c>
      <c r="D59" s="2943">
        <v>21550</v>
      </c>
      <c r="E59" s="2943">
        <v>21150</v>
      </c>
      <c r="F59" s="2943">
        <v>5250</v>
      </c>
      <c r="G59" s="2943">
        <v>14630</v>
      </c>
      <c r="N59" s="2943" t="s">
        <v>3060</v>
      </c>
    </row>
    <row r="60" spans="1:17" ht="14.25" customHeight="1">
      <c r="A60" s="2943" t="s">
        <v>110</v>
      </c>
      <c r="B60" s="2943" t="s">
        <v>164</v>
      </c>
      <c r="C60" s="2943">
        <v>21640</v>
      </c>
      <c r="D60" s="2943">
        <v>21260</v>
      </c>
      <c r="E60" s="2943">
        <v>24040</v>
      </c>
      <c r="F60" s="2943">
        <v>4470</v>
      </c>
      <c r="G60" s="2943">
        <v>14430</v>
      </c>
      <c r="N60" s="2943" t="s">
        <v>3061</v>
      </c>
    </row>
    <row r="61" spans="1:17" ht="14.25" customHeight="1">
      <c r="A61" s="2943" t="s">
        <v>110</v>
      </c>
      <c r="B61" s="2943" t="s">
        <v>170</v>
      </c>
      <c r="C61" s="2943">
        <v>21330</v>
      </c>
      <c r="D61" s="2943">
        <v>18640</v>
      </c>
      <c r="E61" s="2943">
        <v>21190</v>
      </c>
      <c r="F61" s="2943">
        <v>4180</v>
      </c>
      <c r="G61" s="2943">
        <v>12650</v>
      </c>
      <c r="N61" s="2943" t="s">
        <v>3062</v>
      </c>
    </row>
    <row r="62" spans="1:17" ht="14.25" customHeight="1">
      <c r="A62" s="2943" t="s">
        <v>110</v>
      </c>
      <c r="B62" s="2943" t="s">
        <v>177</v>
      </c>
      <c r="C62" s="2943">
        <v>18710</v>
      </c>
      <c r="D62" s="2943">
        <v>19400</v>
      </c>
      <c r="E62" s="2943">
        <v>23750</v>
      </c>
      <c r="F62" s="2943">
        <v>4860</v>
      </c>
      <c r="G62" s="2943">
        <v>13170</v>
      </c>
      <c r="N62" s="2943" t="s">
        <v>3063</v>
      </c>
    </row>
    <row r="63" spans="1:17" ht="14.25" customHeight="1">
      <c r="A63" s="2943" t="s">
        <v>110</v>
      </c>
      <c r="B63" s="2943" t="s">
        <v>187</v>
      </c>
      <c r="C63" s="2943">
        <v>19480</v>
      </c>
      <c r="D63" s="2943">
        <v>16830</v>
      </c>
      <c r="E63" s="2943">
        <v>21590</v>
      </c>
      <c r="F63" s="2943">
        <v>4560</v>
      </c>
      <c r="G63" s="2943">
        <v>11420</v>
      </c>
      <c r="N63" s="2943" t="s">
        <v>3064</v>
      </c>
    </row>
    <row r="64" spans="1:17" ht="14.25" customHeight="1" thickBot="1">
      <c r="A64" s="2943" t="s">
        <v>110</v>
      </c>
      <c r="B64" s="2943" t="s">
        <v>196</v>
      </c>
      <c r="C64" s="2943">
        <v>16920</v>
      </c>
      <c r="D64" s="2943">
        <v>19190</v>
      </c>
      <c r="E64" s="2943">
        <v>22200</v>
      </c>
      <c r="F64" s="2943">
        <v>4390</v>
      </c>
      <c r="G64" s="2943">
        <v>13030</v>
      </c>
      <c r="N64" s="2950" t="s">
        <v>3065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2936</v>
      </c>
      <c r="C78" s="2943">
        <v>19820</v>
      </c>
      <c r="D78" s="2943">
        <v>19780</v>
      </c>
      <c r="E78" s="2943">
        <v>18560</v>
      </c>
      <c r="F78" s="2943"/>
      <c r="G78" s="2943">
        <v>13430</v>
      </c>
    </row>
    <row r="79" spans="1:7" s="2777" customFormat="1" ht="14.25" customHeight="1">
      <c r="A79" s="2943" t="s">
        <v>110</v>
      </c>
      <c r="B79" s="2943" t="s">
        <v>2939</v>
      </c>
      <c r="C79" s="2943">
        <v>21660</v>
      </c>
      <c r="D79" s="2943">
        <v>18000</v>
      </c>
      <c r="E79" s="2943">
        <v>22570</v>
      </c>
      <c r="F79" s="2943"/>
      <c r="G79" s="2943">
        <v>12220</v>
      </c>
    </row>
    <row r="80" spans="1:7" s="2777" customFormat="1" ht="14.25" customHeight="1">
      <c r="A80" s="2943" t="s">
        <v>110</v>
      </c>
      <c r="B80" s="2943" t="s">
        <v>2943</v>
      </c>
      <c r="C80" s="2943">
        <v>19850</v>
      </c>
      <c r="D80" s="2943"/>
      <c r="E80" s="2943">
        <v>21700</v>
      </c>
      <c r="F80" s="2943"/>
      <c r="G80" s="2943"/>
    </row>
    <row r="81" spans="1:7" s="2777" customFormat="1" ht="14.25" customHeight="1">
      <c r="A81" s="2943" t="s">
        <v>110</v>
      </c>
      <c r="B81" s="2943" t="s">
        <v>2948</v>
      </c>
      <c r="C81" s="2943">
        <v>18080</v>
      </c>
      <c r="D81" s="2943"/>
      <c r="E81" s="2943">
        <v>20900</v>
      </c>
      <c r="F81" s="2943"/>
      <c r="G81" s="2943"/>
    </row>
    <row r="82" spans="1:7" s="2777" customFormat="1" ht="14.25" customHeight="1">
      <c r="A82" s="2943" t="s">
        <v>110</v>
      </c>
      <c r="B82" s="2943" t="s">
        <v>2955</v>
      </c>
      <c r="C82" s="2943"/>
      <c r="D82" s="2943"/>
      <c r="E82" s="2943">
        <v>20840</v>
      </c>
      <c r="F82" s="2943"/>
      <c r="G82" s="2943"/>
    </row>
    <row r="83" spans="1:7" s="2777" customFormat="1" ht="14.25" customHeight="1">
      <c r="A83" s="2943" t="s">
        <v>110</v>
      </c>
      <c r="B83" s="2943" t="s">
        <v>3066</v>
      </c>
      <c r="C83" s="2943"/>
      <c r="D83" s="2943"/>
      <c r="E83" s="2943"/>
      <c r="F83" s="2943">
        <v>4770</v>
      </c>
      <c r="G83" s="2943"/>
    </row>
    <row r="84" spans="1:7" s="2777" customFormat="1" ht="14.25" customHeight="1">
      <c r="A84" s="2943" t="s">
        <v>110</v>
      </c>
      <c r="B84" s="2943" t="s">
        <v>3067</v>
      </c>
      <c r="C84" s="2943"/>
      <c r="D84" s="2943"/>
      <c r="E84" s="2943"/>
      <c r="F84" s="2943">
        <v>4600</v>
      </c>
      <c r="G84" s="2943"/>
    </row>
    <row r="85" spans="1:7" s="2777" customFormat="1" ht="14.25" customHeight="1">
      <c r="A85" s="2943" t="s">
        <v>110</v>
      </c>
      <c r="B85" s="2943" t="s">
        <v>3068</v>
      </c>
      <c r="C85" s="2943"/>
      <c r="D85" s="2943"/>
      <c r="E85" s="2943"/>
      <c r="F85" s="2943">
        <v>4680</v>
      </c>
      <c r="G85" s="2943"/>
    </row>
    <row r="86" spans="1:7" s="2777" customFormat="1" ht="14.25" customHeight="1" thickBot="1">
      <c r="A86" s="2951" t="s">
        <v>110</v>
      </c>
      <c r="B86" s="2953" t="s">
        <v>3069</v>
      </c>
      <c r="C86" s="2954">
        <v>16610</v>
      </c>
      <c r="D86" s="2954">
        <v>16540</v>
      </c>
      <c r="E86" s="2954">
        <v>18850</v>
      </c>
      <c r="F86" s="2954"/>
      <c r="G86" s="2954">
        <v>11220</v>
      </c>
    </row>
    <row r="87" spans="1:7" s="2777" customFormat="1" ht="14.25" customHeight="1">
      <c r="A87" s="2948" t="s">
        <v>303</v>
      </c>
      <c r="B87" s="2939" t="s">
        <v>3070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2949</v>
      </c>
      <c r="C113" s="2943">
        <v>15520</v>
      </c>
      <c r="D113" s="2943">
        <v>15450</v>
      </c>
      <c r="E113" s="2943"/>
      <c r="F113" s="2943"/>
      <c r="G113" s="2956">
        <v>10210</v>
      </c>
    </row>
    <row r="114" spans="1:7" s="2777" customFormat="1" ht="14.25" customHeight="1">
      <c r="A114" s="2943" t="s">
        <v>303</v>
      </c>
      <c r="B114" s="2943" t="s">
        <v>2956</v>
      </c>
      <c r="C114" s="2943">
        <v>13110</v>
      </c>
      <c r="D114" s="2943">
        <v>13050</v>
      </c>
      <c r="E114" s="2943"/>
      <c r="F114" s="2943"/>
      <c r="G114" s="2956">
        <v>8620</v>
      </c>
    </row>
    <row r="115" spans="1:7" s="2777" customFormat="1" ht="14.25" customHeight="1">
      <c r="A115" s="2943" t="s">
        <v>303</v>
      </c>
      <c r="B115" s="2943" t="s">
        <v>2962</v>
      </c>
      <c r="C115" s="2943">
        <v>12460</v>
      </c>
      <c r="D115" s="2943">
        <v>12390</v>
      </c>
      <c r="E115" s="2943"/>
      <c r="F115" s="2943"/>
      <c r="G115" s="2956">
        <v>8190</v>
      </c>
    </row>
    <row r="116" spans="1:7" s="2777" customFormat="1" ht="14.25" customHeight="1">
      <c r="A116" s="2943" t="s">
        <v>303</v>
      </c>
      <c r="B116" s="2943" t="s">
        <v>2969</v>
      </c>
      <c r="C116" s="2943">
        <v>13580</v>
      </c>
      <c r="D116" s="2943">
        <v>13520</v>
      </c>
      <c r="E116" s="2943"/>
      <c r="F116" s="2943"/>
      <c r="G116" s="2956">
        <v>8930</v>
      </c>
    </row>
    <row r="117" spans="1:7" s="2777" customFormat="1" ht="14.25" customHeight="1">
      <c r="A117" s="2943" t="s">
        <v>303</v>
      </c>
      <c r="B117" s="2943" t="s">
        <v>2976</v>
      </c>
      <c r="C117" s="2943">
        <v>17120</v>
      </c>
      <c r="D117" s="2943">
        <v>17040</v>
      </c>
      <c r="E117" s="2943"/>
      <c r="F117" s="2943"/>
      <c r="G117" s="2956">
        <v>11260</v>
      </c>
    </row>
    <row r="118" spans="1:7" s="2777" customFormat="1" ht="14.25" customHeight="1">
      <c r="A118" s="2943" t="s">
        <v>303</v>
      </c>
      <c r="B118" s="2943" t="s">
        <v>2981</v>
      </c>
      <c r="C118" s="2943">
        <v>14860</v>
      </c>
      <c r="D118" s="2943">
        <v>14790</v>
      </c>
      <c r="E118" s="2943"/>
      <c r="F118" s="2943"/>
      <c r="G118" s="2956">
        <v>9780</v>
      </c>
    </row>
    <row r="119" spans="1:7" s="2777" customFormat="1" ht="14.25" customHeight="1">
      <c r="A119" s="2943" t="s">
        <v>303</v>
      </c>
      <c r="B119" s="2943" t="s">
        <v>2985</v>
      </c>
      <c r="C119" s="2943">
        <v>16470</v>
      </c>
      <c r="D119" s="2943">
        <v>16400</v>
      </c>
      <c r="E119" s="2943"/>
      <c r="F119" s="2943"/>
      <c r="G119" s="2956">
        <v>10840</v>
      </c>
    </row>
    <row r="120" spans="1:7" s="2777" customFormat="1" ht="14.25" customHeight="1">
      <c r="A120" s="2943" t="s">
        <v>303</v>
      </c>
      <c r="B120" s="2943" t="s">
        <v>3071</v>
      </c>
      <c r="C120" s="2943"/>
      <c r="D120" s="2943"/>
      <c r="E120" s="2943"/>
      <c r="F120" s="2943">
        <v>4160</v>
      </c>
      <c r="G120" s="2956"/>
    </row>
    <row r="121" spans="1:7" s="2777" customFormat="1" ht="14.25" customHeight="1">
      <c r="A121" s="2943" t="s">
        <v>303</v>
      </c>
      <c r="B121" s="2943" t="s">
        <v>3072</v>
      </c>
      <c r="C121" s="2943"/>
      <c r="D121" s="2943"/>
      <c r="E121" s="2943"/>
      <c r="F121" s="2943">
        <v>3880</v>
      </c>
      <c r="G121" s="2956"/>
    </row>
    <row r="122" spans="1:7" s="2777" customFormat="1" ht="14.25" customHeight="1">
      <c r="A122" s="2943" t="s">
        <v>303</v>
      </c>
      <c r="B122" s="2943" t="s">
        <v>3073</v>
      </c>
      <c r="C122" s="2943">
        <v>13750</v>
      </c>
      <c r="D122" s="2943">
        <v>13680</v>
      </c>
      <c r="E122" s="2943">
        <v>16460</v>
      </c>
      <c r="F122" s="2943">
        <v>2880</v>
      </c>
      <c r="G122" s="2956">
        <v>9040</v>
      </c>
    </row>
    <row r="123" spans="1:7" s="2777" customFormat="1" ht="14.25" customHeight="1">
      <c r="A123" s="2943" t="s">
        <v>303</v>
      </c>
      <c r="B123" s="2943" t="s">
        <v>3004</v>
      </c>
      <c r="C123" s="2943">
        <v>13590</v>
      </c>
      <c r="D123" s="2943">
        <v>13520</v>
      </c>
      <c r="E123" s="2943">
        <v>16290</v>
      </c>
      <c r="F123" s="2943">
        <v>2790</v>
      </c>
      <c r="G123" s="2956">
        <v>8930</v>
      </c>
    </row>
    <row r="124" spans="1:7" s="2777" customFormat="1" ht="14.25" customHeight="1">
      <c r="A124" s="2943" t="s">
        <v>303</v>
      </c>
      <c r="B124" s="2943" t="s">
        <v>3009</v>
      </c>
      <c r="C124" s="2943">
        <v>13400</v>
      </c>
      <c r="D124" s="2943">
        <v>13320</v>
      </c>
      <c r="E124" s="2943">
        <v>16100</v>
      </c>
      <c r="F124" s="2943">
        <v>2320</v>
      </c>
      <c r="G124" s="2956">
        <v>8800</v>
      </c>
    </row>
    <row r="125" spans="1:7" s="2777" customFormat="1" ht="14.25" customHeight="1">
      <c r="A125" s="2943" t="s">
        <v>303</v>
      </c>
      <c r="B125" s="2943" t="s">
        <v>3014</v>
      </c>
      <c r="C125" s="2943">
        <v>12860</v>
      </c>
      <c r="D125" s="2943">
        <v>12790</v>
      </c>
      <c r="E125" s="2943">
        <v>15370</v>
      </c>
      <c r="F125" s="2943">
        <v>2280</v>
      </c>
      <c r="G125" s="2956">
        <v>8450</v>
      </c>
    </row>
    <row r="126" spans="1:7" s="2777" customFormat="1" ht="14.25" customHeight="1" thickBot="1">
      <c r="A126" s="2957" t="s">
        <v>303</v>
      </c>
      <c r="B126" s="2950" t="s">
        <v>3019</v>
      </c>
      <c r="C126" s="2950">
        <v>12960</v>
      </c>
      <c r="D126" s="2950">
        <v>12890</v>
      </c>
      <c r="E126" s="2950">
        <v>15530</v>
      </c>
      <c r="F126" s="2950">
        <v>2910</v>
      </c>
      <c r="G126" s="2958">
        <v>8520</v>
      </c>
    </row>
    <row r="127" spans="1:7" s="2777" customFormat="1" ht="14.25" customHeight="1">
      <c r="A127" s="2948" t="s">
        <v>29</v>
      </c>
      <c r="B127" s="2939" t="s">
        <v>3074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3075</v>
      </c>
      <c r="C148" s="2943">
        <v>10370</v>
      </c>
      <c r="D148" s="2943">
        <v>10310</v>
      </c>
      <c r="E148" s="2943">
        <v>12970</v>
      </c>
      <c r="F148" s="2943"/>
      <c r="G148" s="2943">
        <v>6630</v>
      </c>
    </row>
    <row r="149" spans="1:7" s="2777" customFormat="1" ht="14.25" customHeight="1">
      <c r="A149" s="2943" t="s">
        <v>29</v>
      </c>
      <c r="B149" s="2943" t="s">
        <v>3076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2950</v>
      </c>
      <c r="C153" s="2943">
        <v>10880</v>
      </c>
      <c r="D153" s="2943">
        <v>10820</v>
      </c>
      <c r="E153" s="2943">
        <v>13660</v>
      </c>
      <c r="F153" s="2943">
        <v>2260</v>
      </c>
      <c r="G153" s="2943">
        <v>6970</v>
      </c>
    </row>
    <row r="154" spans="1:7" s="2777" customFormat="1" ht="14.25" customHeight="1">
      <c r="A154" s="2943" t="s">
        <v>29</v>
      </c>
      <c r="B154" s="2943" t="s">
        <v>3077</v>
      </c>
      <c r="C154" s="2943">
        <v>11220</v>
      </c>
      <c r="D154" s="2943">
        <v>11160</v>
      </c>
      <c r="E154" s="2943">
        <v>14130</v>
      </c>
      <c r="F154" s="2943">
        <v>2230</v>
      </c>
      <c r="G154" s="2943">
        <v>7180</v>
      </c>
    </row>
    <row r="155" spans="1:7" s="2777" customFormat="1" ht="14.25" customHeight="1">
      <c r="A155" s="2943" t="s">
        <v>29</v>
      </c>
      <c r="B155" s="2943" t="s">
        <v>2963</v>
      </c>
      <c r="C155" s="2943">
        <v>10430</v>
      </c>
      <c r="D155" s="2943">
        <v>10380</v>
      </c>
      <c r="E155" s="2943">
        <v>13140</v>
      </c>
      <c r="F155" s="2943">
        <v>2080</v>
      </c>
      <c r="G155" s="2943">
        <v>6650</v>
      </c>
    </row>
    <row r="156" spans="1:7" s="2777" customFormat="1" ht="14.25" customHeight="1">
      <c r="A156" s="2943" t="s">
        <v>29</v>
      </c>
      <c r="B156" s="2943" t="s">
        <v>3078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3079</v>
      </c>
      <c r="C160" s="2943">
        <v>11180</v>
      </c>
      <c r="D160" s="2943">
        <v>11140</v>
      </c>
      <c r="E160" s="2943">
        <v>14050</v>
      </c>
      <c r="F160" s="2943">
        <v>2270</v>
      </c>
      <c r="G160" s="2943">
        <v>7170</v>
      </c>
    </row>
    <row r="161" spans="1:7" s="2777" customFormat="1" ht="14.25" customHeight="1">
      <c r="A161" s="2943" t="s">
        <v>29</v>
      </c>
      <c r="B161" s="2943" t="s">
        <v>2995</v>
      </c>
      <c r="C161" s="2943">
        <v>11160</v>
      </c>
      <c r="D161" s="2943">
        <v>11120</v>
      </c>
      <c r="E161" s="2943">
        <v>14020</v>
      </c>
      <c r="F161" s="2943">
        <v>2150</v>
      </c>
      <c r="G161" s="2943">
        <v>7160</v>
      </c>
    </row>
    <row r="162" spans="1:7" s="2777" customFormat="1" ht="14.25" customHeight="1">
      <c r="A162" s="2943" t="s">
        <v>29</v>
      </c>
      <c r="B162" s="2943" t="s">
        <v>3000</v>
      </c>
      <c r="C162" s="2943">
        <v>9620</v>
      </c>
      <c r="D162" s="2943">
        <v>9570</v>
      </c>
      <c r="E162" s="2943">
        <v>12320</v>
      </c>
      <c r="F162" s="2943">
        <v>2010</v>
      </c>
      <c r="G162" s="2943">
        <v>6160</v>
      </c>
    </row>
    <row r="163" spans="1:7" s="2777" customFormat="1" ht="14.25" customHeight="1">
      <c r="A163" s="2943" t="s">
        <v>29</v>
      </c>
      <c r="B163" s="2943" t="s">
        <v>3005</v>
      </c>
      <c r="C163" s="2943">
        <v>9320</v>
      </c>
      <c r="D163" s="2943">
        <v>9270</v>
      </c>
      <c r="E163" s="2943">
        <v>11790</v>
      </c>
      <c r="F163" s="2943">
        <v>1920</v>
      </c>
      <c r="G163" s="2943">
        <v>5960</v>
      </c>
    </row>
    <row r="164" spans="1:7" s="2777" customFormat="1" ht="14.25" customHeight="1">
      <c r="A164" s="2943" t="s">
        <v>29</v>
      </c>
      <c r="B164" s="2943" t="s">
        <v>3010</v>
      </c>
      <c r="C164" s="2943"/>
      <c r="D164" s="2943"/>
      <c r="E164" s="2943"/>
      <c r="F164" s="2943">
        <v>1980</v>
      </c>
      <c r="G164" s="2943"/>
    </row>
    <row r="165" spans="1:7" s="2777" customFormat="1" ht="14.25" customHeight="1">
      <c r="A165" s="2943" t="s">
        <v>29</v>
      </c>
      <c r="B165" s="2943" t="s">
        <v>3080</v>
      </c>
      <c r="C165" s="2943">
        <v>11060</v>
      </c>
      <c r="D165" s="2943">
        <v>11030</v>
      </c>
      <c r="E165" s="2943">
        <v>13850</v>
      </c>
      <c r="F165" s="2943">
        <v>2170</v>
      </c>
      <c r="G165" s="2943">
        <v>7090</v>
      </c>
    </row>
    <row r="166" spans="1:7" s="2777" customFormat="1" ht="14.25" customHeight="1">
      <c r="A166" s="2943" t="s">
        <v>29</v>
      </c>
      <c r="B166" s="2943" t="s">
        <v>3020</v>
      </c>
      <c r="C166" s="2943">
        <v>11050</v>
      </c>
      <c r="D166" s="2943">
        <v>11010</v>
      </c>
      <c r="E166" s="2943">
        <v>13920</v>
      </c>
      <c r="F166" s="2943">
        <v>2140</v>
      </c>
      <c r="G166" s="2943">
        <v>7080</v>
      </c>
    </row>
    <row r="167" spans="1:7" s="2777" customFormat="1" ht="14.25" customHeight="1">
      <c r="A167" s="2943" t="s">
        <v>29</v>
      </c>
      <c r="B167" s="2943" t="s">
        <v>3024</v>
      </c>
      <c r="C167" s="2943">
        <v>10930</v>
      </c>
      <c r="D167" s="2943">
        <v>10890</v>
      </c>
      <c r="E167" s="2943">
        <v>13790</v>
      </c>
      <c r="F167" s="2943">
        <v>2010</v>
      </c>
      <c r="G167" s="2943">
        <v>7000</v>
      </c>
    </row>
    <row r="168" spans="1:7" s="2777" customFormat="1" ht="14.25" customHeight="1">
      <c r="A168" s="2943" t="s">
        <v>29</v>
      </c>
      <c r="B168" s="2943" t="s">
        <v>3029</v>
      </c>
      <c r="C168" s="2943">
        <v>9420</v>
      </c>
      <c r="D168" s="2943">
        <v>9380</v>
      </c>
      <c r="E168" s="2943">
        <v>11970</v>
      </c>
      <c r="F168" s="2943"/>
      <c r="G168" s="2943">
        <v>6040</v>
      </c>
    </row>
    <row r="169" spans="1:7" s="2777" customFormat="1" ht="14.25" customHeight="1">
      <c r="A169" s="2943" t="s">
        <v>29</v>
      </c>
      <c r="B169" s="2943" t="s">
        <v>3081</v>
      </c>
      <c r="C169" s="2943"/>
      <c r="D169" s="2943"/>
      <c r="E169" s="2943"/>
      <c r="F169" s="2943">
        <v>2880</v>
      </c>
      <c r="G169" s="2943"/>
    </row>
    <row r="170" spans="1:7" s="2777" customFormat="1" ht="14.25" customHeight="1">
      <c r="A170" s="2943" t="s">
        <v>29</v>
      </c>
      <c r="B170" s="2943" t="s">
        <v>3037</v>
      </c>
      <c r="C170" s="2943"/>
      <c r="D170" s="2943"/>
      <c r="E170" s="2943"/>
      <c r="F170" s="2943">
        <v>2880</v>
      </c>
      <c r="G170" s="2943"/>
    </row>
    <row r="171" spans="1:7" s="2777" customFormat="1" ht="14.25" customHeight="1">
      <c r="A171" s="2943" t="s">
        <v>29</v>
      </c>
      <c r="B171" s="2943" t="s">
        <v>3040</v>
      </c>
      <c r="C171" s="2943"/>
      <c r="D171" s="2943"/>
      <c r="E171" s="2943"/>
      <c r="F171" s="2943">
        <v>2880</v>
      </c>
      <c r="G171" s="2943"/>
    </row>
    <row r="172" spans="1:7" s="2777" customFormat="1" ht="14.25" customHeight="1">
      <c r="A172" s="2943" t="s">
        <v>29</v>
      </c>
      <c r="B172" s="2943" t="s">
        <v>3042</v>
      </c>
      <c r="C172" s="2943"/>
      <c r="D172" s="2943"/>
      <c r="E172" s="2943"/>
      <c r="F172" s="2943">
        <v>2880</v>
      </c>
      <c r="G172" s="2943"/>
    </row>
    <row r="173" spans="1:7" s="2777" customFormat="1" ht="14.25" customHeight="1">
      <c r="A173" s="2943" t="s">
        <v>29</v>
      </c>
      <c r="B173" s="2943" t="s">
        <v>3044</v>
      </c>
      <c r="C173" s="2943"/>
      <c r="D173" s="2943"/>
      <c r="E173" s="2943"/>
      <c r="F173" s="2943">
        <v>2150</v>
      </c>
      <c r="G173" s="2943"/>
    </row>
    <row r="174" spans="1:7" s="2777" customFormat="1" ht="14.25" customHeight="1">
      <c r="A174" s="2943" t="s">
        <v>29</v>
      </c>
      <c r="B174" s="2943" t="s">
        <v>3046</v>
      </c>
      <c r="C174" s="2943"/>
      <c r="D174" s="2943"/>
      <c r="E174" s="2943"/>
      <c r="F174" s="2943">
        <v>2030</v>
      </c>
      <c r="G174" s="2943"/>
    </row>
    <row r="175" spans="1:7" s="2777" customFormat="1" ht="14.25" customHeight="1">
      <c r="A175" s="2943" t="s">
        <v>29</v>
      </c>
      <c r="B175" s="2943" t="s">
        <v>3048</v>
      </c>
      <c r="C175" s="2943"/>
      <c r="D175" s="2943"/>
      <c r="E175" s="2943"/>
      <c r="F175" s="2943">
        <v>2780</v>
      </c>
      <c r="G175" s="2943"/>
    </row>
    <row r="176" spans="1:7" s="2777" customFormat="1" ht="14.25" customHeight="1">
      <c r="A176" s="2943" t="s">
        <v>29</v>
      </c>
      <c r="B176" s="2943" t="s">
        <v>3050</v>
      </c>
      <c r="C176" s="2943"/>
      <c r="D176" s="2943"/>
      <c r="E176" s="2943"/>
      <c r="F176" s="2943">
        <v>2780</v>
      </c>
      <c r="G176" s="2943"/>
    </row>
    <row r="177" spans="1:7" s="2777" customFormat="1" ht="14.25" customHeight="1">
      <c r="A177" s="2943" t="s">
        <v>29</v>
      </c>
      <c r="B177" s="2943" t="s">
        <v>3082</v>
      </c>
      <c r="C177" s="2943"/>
      <c r="D177" s="2943"/>
      <c r="E177" s="2943"/>
      <c r="F177" s="2943">
        <v>2780</v>
      </c>
      <c r="G177" s="2943"/>
    </row>
    <row r="178" spans="1:7" s="2777" customFormat="1" ht="14.25" customHeight="1">
      <c r="A178" s="2943" t="s">
        <v>29</v>
      </c>
      <c r="B178" s="2943" t="s">
        <v>3083</v>
      </c>
      <c r="C178" s="2943"/>
      <c r="D178" s="2943"/>
      <c r="E178" s="2943"/>
      <c r="F178" s="2943">
        <v>2060</v>
      </c>
      <c r="G178" s="2943"/>
    </row>
    <row r="179" spans="1:7" s="2777" customFormat="1" ht="14.25" customHeight="1">
      <c r="A179" s="2943" t="s">
        <v>29</v>
      </c>
      <c r="B179" s="2943" t="s">
        <v>3084</v>
      </c>
      <c r="C179" s="2943"/>
      <c r="D179" s="2943"/>
      <c r="E179" s="2943"/>
      <c r="F179" s="2943">
        <v>2120</v>
      </c>
      <c r="G179" s="2943"/>
    </row>
    <row r="180" spans="1:7" s="2777" customFormat="1" ht="14.25" customHeight="1">
      <c r="A180" s="2943" t="s">
        <v>29</v>
      </c>
      <c r="B180" s="2943" t="s">
        <v>3056</v>
      </c>
      <c r="C180" s="2943"/>
      <c r="D180" s="2943"/>
      <c r="E180" s="2943"/>
      <c r="F180" s="2943">
        <v>2340</v>
      </c>
      <c r="G180" s="2943"/>
    </row>
    <row r="181" spans="1:7" s="2777" customFormat="1" ht="14.25" customHeight="1">
      <c r="A181" s="2943" t="s">
        <v>29</v>
      </c>
      <c r="B181" s="2943" t="s">
        <v>3057</v>
      </c>
      <c r="C181" s="2943"/>
      <c r="D181" s="2943"/>
      <c r="E181" s="2943"/>
      <c r="F181" s="2943">
        <v>2340</v>
      </c>
      <c r="G181" s="2943"/>
    </row>
    <row r="182" spans="1:7" s="2777" customFormat="1" ht="14.25" customHeight="1">
      <c r="A182" s="2943" t="s">
        <v>29</v>
      </c>
      <c r="B182" s="2943" t="s">
        <v>3058</v>
      </c>
      <c r="C182" s="2943"/>
      <c r="D182" s="2943"/>
      <c r="E182" s="2943"/>
      <c r="F182" s="2943">
        <v>2340</v>
      </c>
      <c r="G182" s="2943"/>
    </row>
    <row r="183" spans="1:7" s="2777" customFormat="1" ht="14.25" customHeight="1">
      <c r="A183" s="2943" t="s">
        <v>29</v>
      </c>
      <c r="B183" s="2943" t="s">
        <v>3059</v>
      </c>
      <c r="C183" s="2943"/>
      <c r="D183" s="2943"/>
      <c r="E183" s="2943"/>
      <c r="F183" s="2943">
        <v>2340</v>
      </c>
      <c r="G183" s="2943"/>
    </row>
    <row r="184" spans="1:7" s="2777" customFormat="1" ht="14.25" customHeight="1">
      <c r="A184" s="2943" t="s">
        <v>29</v>
      </c>
      <c r="B184" s="2943" t="s">
        <v>3060</v>
      </c>
      <c r="C184" s="2943"/>
      <c r="D184" s="2943"/>
      <c r="E184" s="2943"/>
      <c r="F184" s="2943">
        <v>2340</v>
      </c>
      <c r="G184" s="2943"/>
    </row>
    <row r="185" spans="1:7" s="2777" customFormat="1" ht="14.25" customHeight="1">
      <c r="A185" s="2943" t="s">
        <v>29</v>
      </c>
      <c r="B185" s="2943" t="s">
        <v>3061</v>
      </c>
      <c r="C185" s="2943"/>
      <c r="D185" s="2943"/>
      <c r="E185" s="2943"/>
      <c r="F185" s="2943">
        <v>2530</v>
      </c>
      <c r="G185" s="2943"/>
    </row>
    <row r="186" spans="1:7" s="2777" customFormat="1" ht="14.25" customHeight="1">
      <c r="A186" s="2943" t="s">
        <v>29</v>
      </c>
      <c r="B186" s="2943" t="s">
        <v>3062</v>
      </c>
      <c r="C186" s="2943"/>
      <c r="D186" s="2943"/>
      <c r="E186" s="2943"/>
      <c r="F186" s="2943">
        <v>2550</v>
      </c>
      <c r="G186" s="2943"/>
    </row>
    <row r="187" spans="1:7" s="2777" customFormat="1" ht="14.25" customHeight="1">
      <c r="A187" s="2943" t="s">
        <v>29</v>
      </c>
      <c r="B187" s="2943" t="s">
        <v>3063</v>
      </c>
      <c r="C187" s="2943"/>
      <c r="D187" s="2943"/>
      <c r="E187" s="2943"/>
      <c r="F187" s="2943">
        <v>2070</v>
      </c>
      <c r="G187" s="2943"/>
    </row>
    <row r="188" spans="1:7" s="2777" customFormat="1" ht="14.25" customHeight="1">
      <c r="A188" s="2943" t="s">
        <v>29</v>
      </c>
      <c r="B188" s="2943" t="s">
        <v>3064</v>
      </c>
      <c r="C188" s="2943"/>
      <c r="D188" s="2943"/>
      <c r="E188" s="2943"/>
      <c r="F188" s="2943">
        <v>2340</v>
      </c>
      <c r="G188" s="2943"/>
    </row>
    <row r="189" spans="1:7" s="2777" customFormat="1" ht="14.25" customHeight="1" thickBot="1">
      <c r="A189" s="2951" t="s">
        <v>29</v>
      </c>
      <c r="B189" s="2954" t="s">
        <v>3065</v>
      </c>
      <c r="C189" s="2954"/>
      <c r="D189" s="2954"/>
      <c r="E189" s="2954"/>
      <c r="F189" s="2954">
        <v>2050</v>
      </c>
      <c r="G189" s="2954"/>
    </row>
    <row r="190" spans="1:7" s="2777" customFormat="1" ht="14.25" customHeight="1">
      <c r="A190" s="2948" t="s">
        <v>304</v>
      </c>
      <c r="B190" s="2939" t="s">
        <v>3085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3086</v>
      </c>
      <c r="C199" s="2943">
        <v>8690</v>
      </c>
      <c r="D199" s="2943">
        <v>8630</v>
      </c>
      <c r="E199" s="2943">
        <v>11350</v>
      </c>
      <c r="F199" s="2943">
        <v>1600</v>
      </c>
      <c r="G199" s="2956">
        <v>5450</v>
      </c>
    </row>
    <row r="200" spans="1:7" s="2777" customFormat="1" ht="14.25" customHeight="1">
      <c r="A200" s="2943" t="s">
        <v>304</v>
      </c>
      <c r="B200" s="2943" t="s">
        <v>2897</v>
      </c>
      <c r="C200" s="2943"/>
      <c r="D200" s="2943"/>
      <c r="E200" s="2943"/>
      <c r="F200" s="2943">
        <v>1510</v>
      </c>
      <c r="G200" s="2956"/>
    </row>
    <row r="201" spans="1:7" s="2777" customFormat="1" ht="14.25" customHeight="1">
      <c r="A201" s="2943" t="s">
        <v>304</v>
      </c>
      <c r="B201" s="2943" t="s">
        <v>3087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3088</v>
      </c>
      <c r="C203" s="2943">
        <v>8130</v>
      </c>
      <c r="D203" s="2943">
        <v>8070</v>
      </c>
      <c r="E203" s="2943">
        <v>10820</v>
      </c>
      <c r="F203" s="2943">
        <v>1690</v>
      </c>
      <c r="G203" s="2956">
        <v>5100</v>
      </c>
    </row>
    <row r="204" spans="1:7" s="2777" customFormat="1" ht="14.25" customHeight="1">
      <c r="A204" s="2943" t="s">
        <v>304</v>
      </c>
      <c r="B204" s="2943" t="s">
        <v>2908</v>
      </c>
      <c r="C204" s="2943">
        <v>8350</v>
      </c>
      <c r="D204" s="2943">
        <v>8290</v>
      </c>
      <c r="E204" s="2943">
        <v>11080</v>
      </c>
      <c r="F204" s="2943">
        <v>1450</v>
      </c>
      <c r="G204" s="2956">
        <v>5240</v>
      </c>
    </row>
    <row r="205" spans="1:7" s="2777" customFormat="1" ht="14.25" customHeight="1">
      <c r="A205" s="2943" t="s">
        <v>304</v>
      </c>
      <c r="B205" s="2943" t="s">
        <v>2910</v>
      </c>
      <c r="C205" s="2943">
        <v>7190</v>
      </c>
      <c r="D205" s="2943">
        <v>7130</v>
      </c>
      <c r="E205" s="2943">
        <v>9490</v>
      </c>
      <c r="F205" s="2943">
        <v>1470</v>
      </c>
      <c r="G205" s="2956">
        <v>4510</v>
      </c>
    </row>
    <row r="206" spans="1:7" s="2777" customFormat="1" ht="14.25" customHeight="1">
      <c r="A206" s="2943" t="s">
        <v>304</v>
      </c>
      <c r="B206" s="2943" t="s">
        <v>2913</v>
      </c>
      <c r="C206" s="2943">
        <v>7000</v>
      </c>
      <c r="D206" s="2943">
        <v>6950</v>
      </c>
      <c r="E206" s="2943">
        <v>9170</v>
      </c>
      <c r="F206" s="2943">
        <v>1400</v>
      </c>
      <c r="G206" s="2956">
        <v>4380</v>
      </c>
    </row>
    <row r="207" spans="1:7" s="2777" customFormat="1" ht="14.25" customHeight="1">
      <c r="A207" s="2943" t="s">
        <v>304</v>
      </c>
      <c r="B207" s="2943" t="s">
        <v>2915</v>
      </c>
      <c r="C207" s="2943">
        <v>6950</v>
      </c>
      <c r="D207" s="2943">
        <v>6900</v>
      </c>
      <c r="E207" s="2943">
        <v>9110</v>
      </c>
      <c r="F207" s="2943">
        <v>1790</v>
      </c>
      <c r="G207" s="2956">
        <v>4360</v>
      </c>
    </row>
    <row r="208" spans="1:7" s="2777" customFormat="1" ht="14.25" customHeight="1">
      <c r="A208" s="2943" t="s">
        <v>304</v>
      </c>
      <c r="B208" s="2943" t="s">
        <v>3089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2925</v>
      </c>
      <c r="C210" s="2943">
        <v>8710</v>
      </c>
      <c r="D210" s="2943">
        <v>8660</v>
      </c>
      <c r="E210" s="2943">
        <v>11440</v>
      </c>
      <c r="F210" s="2943">
        <v>1740</v>
      </c>
      <c r="G210" s="2956">
        <v>5470</v>
      </c>
    </row>
    <row r="211" spans="1:7" s="2777" customFormat="1" ht="14.25" customHeight="1">
      <c r="A211" s="2943" t="s">
        <v>304</v>
      </c>
      <c r="B211" s="2943" t="s">
        <v>3090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3091</v>
      </c>
      <c r="C214" s="2943">
        <v>8090</v>
      </c>
      <c r="D214" s="2943">
        <v>8030</v>
      </c>
      <c r="E214" s="2943">
        <v>10780</v>
      </c>
      <c r="F214" s="2943">
        <v>1570</v>
      </c>
      <c r="G214" s="2956">
        <v>5070</v>
      </c>
    </row>
    <row r="215" spans="1:7" s="2777" customFormat="1" ht="14.25" customHeight="1">
      <c r="A215" s="2943" t="s">
        <v>304</v>
      </c>
      <c r="B215" s="2943" t="s">
        <v>3092</v>
      </c>
      <c r="C215" s="2943">
        <v>7950</v>
      </c>
      <c r="D215" s="2943">
        <v>7900</v>
      </c>
      <c r="E215" s="2943">
        <v>10560</v>
      </c>
      <c r="F215" s="2943">
        <v>1630</v>
      </c>
      <c r="G215" s="2956">
        <v>4990</v>
      </c>
    </row>
    <row r="216" spans="1:7" s="2777" customFormat="1" ht="14.25" customHeight="1">
      <c r="A216" s="2943" t="s">
        <v>304</v>
      </c>
      <c r="B216" s="2943" t="s">
        <v>3093</v>
      </c>
      <c r="C216" s="2943">
        <v>8490</v>
      </c>
      <c r="D216" s="2943">
        <v>8440</v>
      </c>
      <c r="E216" s="2943">
        <v>11260</v>
      </c>
      <c r="F216" s="2943">
        <v>1690</v>
      </c>
      <c r="G216" s="2956">
        <v>5330</v>
      </c>
    </row>
    <row r="217" spans="1:7" s="2777" customFormat="1" ht="14.25" customHeight="1">
      <c r="A217" s="2943" t="s">
        <v>304</v>
      </c>
      <c r="B217" s="2943" t="s">
        <v>2958</v>
      </c>
      <c r="C217" s="2943">
        <v>8200</v>
      </c>
      <c r="D217" s="2943">
        <v>8150</v>
      </c>
      <c r="E217" s="2943">
        <v>10910</v>
      </c>
      <c r="F217" s="2943">
        <v>1670</v>
      </c>
      <c r="G217" s="2956">
        <v>5150</v>
      </c>
    </row>
    <row r="218" spans="1:7" s="2777" customFormat="1" ht="14.25" customHeight="1">
      <c r="A218" s="2943" t="s">
        <v>304</v>
      </c>
      <c r="B218" s="2943" t="s">
        <v>3094</v>
      </c>
      <c r="C218" s="2943"/>
      <c r="D218" s="2943"/>
      <c r="E218" s="2943"/>
      <c r="F218" s="2943">
        <v>2040</v>
      </c>
      <c r="G218" s="2956"/>
    </row>
    <row r="219" spans="1:7" s="2777" customFormat="1" ht="14.25" customHeight="1">
      <c r="A219" s="2943" t="s">
        <v>304</v>
      </c>
      <c r="B219" s="2943" t="s">
        <v>3095</v>
      </c>
      <c r="C219" s="2943"/>
      <c r="D219" s="2943"/>
      <c r="E219" s="2943"/>
      <c r="F219" s="2943">
        <v>2040</v>
      </c>
      <c r="G219" s="2956"/>
    </row>
    <row r="220" spans="1:7" s="2777" customFormat="1" ht="14.25" customHeight="1">
      <c r="A220" s="2943" t="s">
        <v>304</v>
      </c>
      <c r="B220" s="2943" t="s">
        <v>3096</v>
      </c>
      <c r="C220" s="2943"/>
      <c r="D220" s="2943"/>
      <c r="E220" s="2943"/>
      <c r="F220" s="2943">
        <v>2040</v>
      </c>
      <c r="G220" s="2956"/>
    </row>
    <row r="221" spans="1:7" s="2777" customFormat="1" ht="14.25" customHeight="1">
      <c r="A221" s="2943" t="s">
        <v>304</v>
      </c>
      <c r="B221" s="2943" t="s">
        <v>3097</v>
      </c>
      <c r="C221" s="2943"/>
      <c r="D221" s="2943"/>
      <c r="E221" s="2943"/>
      <c r="F221" s="2943">
        <v>2040</v>
      </c>
      <c r="G221" s="2956"/>
    </row>
    <row r="222" spans="1:7" s="2777" customFormat="1" ht="14.25" customHeight="1">
      <c r="A222" s="2943" t="s">
        <v>304</v>
      </c>
      <c r="B222" s="2943" t="s">
        <v>3098</v>
      </c>
      <c r="C222" s="2943"/>
      <c r="D222" s="2943"/>
      <c r="E222" s="2943"/>
      <c r="F222" s="2943">
        <v>2040</v>
      </c>
      <c r="G222" s="2956"/>
    </row>
    <row r="223" spans="1:7" s="2777" customFormat="1" ht="14.25" customHeight="1">
      <c r="A223" s="2943" t="s">
        <v>304</v>
      </c>
      <c r="B223" s="2943" t="s">
        <v>3099</v>
      </c>
      <c r="C223" s="2943"/>
      <c r="D223" s="2943"/>
      <c r="E223" s="2943"/>
      <c r="F223" s="2943">
        <v>1930</v>
      </c>
      <c r="G223" s="2956"/>
    </row>
    <row r="224" spans="1:7" s="2777" customFormat="1" ht="14.25" customHeight="1">
      <c r="A224" s="2943" t="s">
        <v>304</v>
      </c>
      <c r="B224" s="2943" t="s">
        <v>3100</v>
      </c>
      <c r="C224" s="2943"/>
      <c r="D224" s="2943"/>
      <c r="E224" s="2943"/>
      <c r="F224" s="2943">
        <v>1930</v>
      </c>
      <c r="G224" s="2956"/>
    </row>
    <row r="225" spans="1:7" s="2777" customFormat="1" ht="14.25" customHeight="1">
      <c r="A225" s="2943" t="s">
        <v>304</v>
      </c>
      <c r="B225" s="2943" t="s">
        <v>3101</v>
      </c>
      <c r="C225" s="2943"/>
      <c r="D225" s="2943"/>
      <c r="E225" s="2943"/>
      <c r="F225" s="2943">
        <v>1930</v>
      </c>
      <c r="G225" s="2956"/>
    </row>
    <row r="226" spans="1:7" s="2777" customFormat="1" ht="14.25" customHeight="1">
      <c r="A226" s="2943" t="s">
        <v>304</v>
      </c>
      <c r="B226" s="2943" t="s">
        <v>3102</v>
      </c>
      <c r="C226" s="2943"/>
      <c r="D226" s="2943"/>
      <c r="E226" s="2943"/>
      <c r="F226" s="2943">
        <v>1700</v>
      </c>
      <c r="G226" s="2956"/>
    </row>
    <row r="227" spans="1:7" s="2777" customFormat="1" ht="14.25" customHeight="1">
      <c r="A227" s="2943" t="s">
        <v>304</v>
      </c>
      <c r="B227" s="2943" t="s">
        <v>3103</v>
      </c>
      <c r="C227" s="2943"/>
      <c r="D227" s="2943"/>
      <c r="E227" s="2943"/>
      <c r="F227" s="2943">
        <v>1520</v>
      </c>
      <c r="G227" s="2956"/>
    </row>
    <row r="228" spans="1:7" s="2777" customFormat="1" ht="14.25" customHeight="1">
      <c r="A228" s="2943" t="s">
        <v>304</v>
      </c>
      <c r="B228" s="2943" t="s">
        <v>3104</v>
      </c>
      <c r="C228" s="2943"/>
      <c r="D228" s="2943"/>
      <c r="E228" s="2943"/>
      <c r="F228" s="2943">
        <v>1520</v>
      </c>
      <c r="G228" s="2956"/>
    </row>
    <row r="229" spans="1:7" s="2777" customFormat="1" ht="14.25" customHeight="1">
      <c r="A229" s="2943" t="s">
        <v>304</v>
      </c>
      <c r="B229" s="2943" t="s">
        <v>3021</v>
      </c>
      <c r="C229" s="2943"/>
      <c r="D229" s="2943"/>
      <c r="E229" s="2943"/>
      <c r="F229" s="2943">
        <v>1520</v>
      </c>
      <c r="G229" s="2956"/>
    </row>
    <row r="230" spans="1:7" s="2777" customFormat="1" ht="14.25" customHeight="1">
      <c r="A230" s="2943" t="s">
        <v>304</v>
      </c>
      <c r="B230" s="2943" t="s">
        <v>3105</v>
      </c>
      <c r="C230" s="2943"/>
      <c r="D230" s="2943"/>
      <c r="E230" s="2943"/>
      <c r="F230" s="2943">
        <v>1820</v>
      </c>
      <c r="G230" s="2956"/>
    </row>
    <row r="231" spans="1:7" s="2777" customFormat="1" ht="14.25" customHeight="1">
      <c r="A231" s="2943" t="s">
        <v>304</v>
      </c>
      <c r="B231" s="2943" t="s">
        <v>3106</v>
      </c>
      <c r="C231" s="2943"/>
      <c r="D231" s="2943"/>
      <c r="E231" s="2943"/>
      <c r="F231" s="2943">
        <v>1760</v>
      </c>
      <c r="G231" s="2956"/>
    </row>
    <row r="232" spans="1:7" s="2777" customFormat="1" ht="14.25" customHeight="1">
      <c r="A232" s="2943" t="s">
        <v>304</v>
      </c>
      <c r="B232" s="2943" t="s">
        <v>3107</v>
      </c>
      <c r="C232" s="2943"/>
      <c r="D232" s="2943"/>
      <c r="E232" s="2943"/>
      <c r="F232" s="2943">
        <v>1840</v>
      </c>
      <c r="G232" s="2956"/>
    </row>
    <row r="233" spans="1:7" s="2777" customFormat="1" ht="14.25" customHeight="1" thickBot="1">
      <c r="A233" s="2957" t="s">
        <v>304</v>
      </c>
      <c r="B233" s="2950" t="s">
        <v>3038</v>
      </c>
      <c r="C233" s="2950"/>
      <c r="D233" s="2950"/>
      <c r="E233" s="2950"/>
      <c r="F233" s="2950">
        <v>1770</v>
      </c>
      <c r="G233" s="2958"/>
    </row>
    <row r="234" spans="1:7" s="2777" customFormat="1" ht="14.25" customHeight="1">
      <c r="A234" s="2948" t="s">
        <v>305</v>
      </c>
      <c r="B234" s="2939" t="s">
        <v>3108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2879</v>
      </c>
      <c r="C238" s="2943">
        <v>6920</v>
      </c>
      <c r="D238" s="2943">
        <v>6890</v>
      </c>
      <c r="E238" s="2943">
        <v>8640</v>
      </c>
      <c r="F238" s="2943">
        <v>1310</v>
      </c>
      <c r="G238" s="2943">
        <v>4230</v>
      </c>
    </row>
    <row r="239" spans="1:7" s="2777" customFormat="1" ht="14.25" customHeight="1">
      <c r="A239" s="2943" t="s">
        <v>305</v>
      </c>
      <c r="B239" s="2943" t="s">
        <v>3109</v>
      </c>
      <c r="C239" s="2943">
        <v>6780</v>
      </c>
      <c r="D239" s="2943">
        <v>6750</v>
      </c>
      <c r="E239" s="2943">
        <v>8440</v>
      </c>
      <c r="F239" s="2943">
        <v>1160</v>
      </c>
      <c r="G239" s="2943">
        <v>4140</v>
      </c>
    </row>
    <row r="240" spans="1:7" s="2777" customFormat="1" ht="14.25" customHeight="1">
      <c r="A240" s="2943" t="s">
        <v>305</v>
      </c>
      <c r="B240" s="2943" t="s">
        <v>3110</v>
      </c>
      <c r="C240" s="2943">
        <v>5420</v>
      </c>
      <c r="D240" s="2943">
        <v>5380</v>
      </c>
      <c r="E240" s="2943">
        <v>6640</v>
      </c>
      <c r="F240" s="2943">
        <v>1020</v>
      </c>
      <c r="G240" s="2943">
        <v>3300</v>
      </c>
    </row>
    <row r="241" spans="1:7" s="2777" customFormat="1" ht="14.25" customHeight="1">
      <c r="A241" s="2943" t="s">
        <v>305</v>
      </c>
      <c r="B241" s="2943" t="s">
        <v>3111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2941</v>
      </c>
      <c r="C258" s="2943">
        <v>6190</v>
      </c>
      <c r="D258" s="2943">
        <v>6160</v>
      </c>
      <c r="E258" s="2943">
        <v>7680</v>
      </c>
      <c r="F258" s="2943">
        <v>1170</v>
      </c>
      <c r="G258" s="2943">
        <v>3780</v>
      </c>
    </row>
    <row r="259" spans="1:7" s="2777" customFormat="1" ht="14.25" customHeight="1">
      <c r="A259" s="2943" t="s">
        <v>305</v>
      </c>
      <c r="B259" s="2943" t="s">
        <v>3117</v>
      </c>
      <c r="C259" s="2943">
        <v>7610</v>
      </c>
      <c r="D259" s="2943">
        <v>7570</v>
      </c>
      <c r="E259" s="2943">
        <v>9350</v>
      </c>
      <c r="F259" s="2943">
        <v>1350</v>
      </c>
      <c r="G259" s="2943">
        <v>4650</v>
      </c>
    </row>
    <row r="260" spans="1:7" s="2777" customFormat="1" ht="14.25" customHeight="1">
      <c r="A260" s="2943" t="s">
        <v>305</v>
      </c>
      <c r="B260" s="2943" t="s">
        <v>3118</v>
      </c>
      <c r="C260" s="2943">
        <v>6920</v>
      </c>
      <c r="D260" s="2943">
        <v>6880</v>
      </c>
      <c r="E260" s="2943">
        <v>8380</v>
      </c>
      <c r="F260" s="2943">
        <v>1160</v>
      </c>
      <c r="G260" s="2943">
        <v>4220</v>
      </c>
    </row>
    <row r="261" spans="1:7" s="2777" customFormat="1" ht="14.25" customHeight="1">
      <c r="A261" s="2943" t="s">
        <v>305</v>
      </c>
      <c r="B261" s="2943" t="s">
        <v>3119</v>
      </c>
      <c r="C261" s="2943">
        <v>6850</v>
      </c>
      <c r="D261" s="2943">
        <v>6810</v>
      </c>
      <c r="E261" s="2943">
        <v>8290</v>
      </c>
      <c r="F261" s="2943">
        <v>1130</v>
      </c>
      <c r="G261" s="2943">
        <v>4180</v>
      </c>
    </row>
    <row r="262" spans="1:7" s="2777" customFormat="1" ht="14.25" customHeight="1">
      <c r="A262" s="2943" t="s">
        <v>305</v>
      </c>
      <c r="B262" s="2943" t="s">
        <v>3120</v>
      </c>
      <c r="C262" s="2943">
        <v>5860</v>
      </c>
      <c r="D262" s="2943">
        <v>5820</v>
      </c>
      <c r="E262" s="2943">
        <v>7640</v>
      </c>
      <c r="F262" s="2943">
        <v>1070</v>
      </c>
      <c r="G262" s="2943">
        <v>3570</v>
      </c>
    </row>
    <row r="263" spans="1:7" s="2777" customFormat="1" ht="14.25" customHeight="1">
      <c r="A263" s="2943" t="s">
        <v>305</v>
      </c>
      <c r="B263" s="2943" t="s">
        <v>3121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3122</v>
      </c>
      <c r="C265" s="2943"/>
      <c r="D265" s="2943"/>
      <c r="E265" s="2943"/>
      <c r="F265" s="2943">
        <v>1500</v>
      </c>
      <c r="G265" s="2943"/>
    </row>
    <row r="266" spans="1:7" s="2777" customFormat="1" ht="14.25" customHeight="1">
      <c r="A266" s="2943" t="s">
        <v>305</v>
      </c>
      <c r="B266" s="2943" t="s">
        <v>3123</v>
      </c>
      <c r="C266" s="2943"/>
      <c r="D266" s="2943"/>
      <c r="E266" s="2943"/>
      <c r="F266" s="2943">
        <v>1500</v>
      </c>
      <c r="G266" s="2943"/>
    </row>
    <row r="267" spans="1:7" s="2777" customFormat="1" ht="14.25" customHeight="1">
      <c r="A267" s="2943" t="s">
        <v>305</v>
      </c>
      <c r="B267" s="2943" t="s">
        <v>3124</v>
      </c>
      <c r="C267" s="2943"/>
      <c r="D267" s="2943"/>
      <c r="E267" s="2943"/>
      <c r="F267" s="2943">
        <v>1500</v>
      </c>
      <c r="G267" s="2943"/>
    </row>
    <row r="268" spans="1:7" s="2777" customFormat="1" ht="14.25" customHeight="1">
      <c r="A268" s="2943" t="s">
        <v>305</v>
      </c>
      <c r="B268" s="2943" t="s">
        <v>3125</v>
      </c>
      <c r="C268" s="2943"/>
      <c r="D268" s="2943"/>
      <c r="E268" s="2943"/>
      <c r="F268" s="2943">
        <v>1290</v>
      </c>
      <c r="G268" s="2943"/>
    </row>
    <row r="269" spans="1:7" s="2777" customFormat="1" ht="14.25" customHeight="1">
      <c r="A269" s="2943" t="s">
        <v>305</v>
      </c>
      <c r="B269" s="2943" t="s">
        <v>3126</v>
      </c>
      <c r="C269" s="2943"/>
      <c r="D269" s="2943"/>
      <c r="E269" s="2943"/>
      <c r="F269" s="2943">
        <v>1150</v>
      </c>
      <c r="G269" s="2943"/>
    </row>
    <row r="270" spans="1:7" s="2777" customFormat="1" ht="14.25" customHeight="1">
      <c r="A270" s="2943" t="s">
        <v>305</v>
      </c>
      <c r="B270" s="2943" t="s">
        <v>3127</v>
      </c>
      <c r="C270" s="2943"/>
      <c r="D270" s="2943"/>
      <c r="E270" s="2943"/>
      <c r="F270" s="2943">
        <v>1380</v>
      </c>
      <c r="G270" s="2943"/>
    </row>
    <row r="271" spans="1:7" s="2777" customFormat="1" ht="14.25" customHeight="1">
      <c r="A271" s="2943" t="s">
        <v>305</v>
      </c>
      <c r="B271" s="2943" t="s">
        <v>3128</v>
      </c>
      <c r="C271" s="2943"/>
      <c r="D271" s="2943"/>
      <c r="E271" s="2943"/>
      <c r="F271" s="2943">
        <v>1460</v>
      </c>
      <c r="G271" s="2943"/>
    </row>
    <row r="272" spans="1:7" s="2777" customFormat="1" ht="14.25" customHeight="1">
      <c r="A272" s="2943" t="s">
        <v>305</v>
      </c>
      <c r="B272" s="2943" t="s">
        <v>3129</v>
      </c>
      <c r="C272" s="2943"/>
      <c r="D272" s="2943"/>
      <c r="E272" s="2943"/>
      <c r="F272" s="2943">
        <v>1460</v>
      </c>
      <c r="G272" s="2943"/>
    </row>
    <row r="273" spans="1:7" s="2777" customFormat="1" ht="14.25" customHeight="1">
      <c r="A273" s="2943" t="s">
        <v>305</v>
      </c>
      <c r="B273" s="2943" t="s">
        <v>3022</v>
      </c>
      <c r="C273" s="2943"/>
      <c r="D273" s="2943"/>
      <c r="E273" s="2943"/>
      <c r="F273" s="2943">
        <v>1490</v>
      </c>
      <c r="G273" s="2943"/>
    </row>
    <row r="274" spans="1:7" s="2777" customFormat="1" ht="14.25" customHeight="1">
      <c r="A274" s="2943" t="s">
        <v>305</v>
      </c>
      <c r="B274" s="2943" t="s">
        <v>3130</v>
      </c>
      <c r="C274" s="2943"/>
      <c r="D274" s="2943"/>
      <c r="E274" s="2943"/>
      <c r="F274" s="2943">
        <v>1490</v>
      </c>
      <c r="G274" s="2943"/>
    </row>
    <row r="275" spans="1:7" s="2777" customFormat="1" ht="14.25" customHeight="1">
      <c r="A275" s="2943" t="s">
        <v>305</v>
      </c>
      <c r="B275" s="2943" t="s">
        <v>3131</v>
      </c>
      <c r="C275" s="2943"/>
      <c r="D275" s="2943"/>
      <c r="E275" s="2943"/>
      <c r="F275" s="2943">
        <v>1220</v>
      </c>
      <c r="G275" s="2943"/>
    </row>
    <row r="276" spans="1:7" s="2777" customFormat="1" ht="14.25" customHeight="1" thickBot="1">
      <c r="A276" s="2951" t="s">
        <v>305</v>
      </c>
      <c r="B276" s="2953" t="s">
        <v>3132</v>
      </c>
      <c r="C276" s="2954"/>
      <c r="D276" s="2954"/>
      <c r="E276" s="2954"/>
      <c r="F276" s="2954">
        <v>1380</v>
      </c>
      <c r="G276" s="2954"/>
    </row>
    <row r="277" spans="1:7" s="2777" customFormat="1" ht="14.25" customHeight="1">
      <c r="A277" s="2948" t="s">
        <v>306</v>
      </c>
      <c r="B277" s="2939" t="s">
        <v>3133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3134</v>
      </c>
      <c r="C279" s="2943">
        <v>4760</v>
      </c>
      <c r="D279" s="2943">
        <v>4720</v>
      </c>
      <c r="E279" s="2943">
        <v>5540</v>
      </c>
      <c r="F279" s="2943">
        <v>810</v>
      </c>
      <c r="G279" s="2956">
        <v>2850</v>
      </c>
    </row>
    <row r="280" spans="1:7" s="2777" customFormat="1" ht="14.25" customHeight="1">
      <c r="A280" s="2943" t="s">
        <v>306</v>
      </c>
      <c r="B280" s="2943" t="s">
        <v>3135</v>
      </c>
      <c r="C280" s="2943">
        <v>4010</v>
      </c>
      <c r="D280" s="2943">
        <v>3950</v>
      </c>
      <c r="E280" s="2943">
        <v>4710</v>
      </c>
      <c r="F280" s="2943">
        <v>800</v>
      </c>
      <c r="G280" s="2956">
        <v>2390</v>
      </c>
    </row>
    <row r="281" spans="1:7" s="2777" customFormat="1" ht="14.25" customHeight="1">
      <c r="A281" s="2943" t="s">
        <v>306</v>
      </c>
      <c r="B281" s="2943" t="s">
        <v>3136</v>
      </c>
      <c r="C281" s="2943">
        <v>4480</v>
      </c>
      <c r="D281" s="2943">
        <v>4420</v>
      </c>
      <c r="E281" s="2943">
        <v>5230</v>
      </c>
      <c r="F281" s="2943">
        <v>870</v>
      </c>
      <c r="G281" s="2956">
        <v>2660</v>
      </c>
    </row>
    <row r="282" spans="1:7" s="2777" customFormat="1" ht="14.25" customHeight="1">
      <c r="A282" s="2943" t="s">
        <v>306</v>
      </c>
      <c r="B282" s="2943" t="s">
        <v>3137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2914</v>
      </c>
      <c r="C293" s="2943">
        <v>5320</v>
      </c>
      <c r="D293" s="2943">
        <v>5270</v>
      </c>
      <c r="E293" s="2943">
        <v>6160</v>
      </c>
      <c r="F293" s="2943">
        <v>990</v>
      </c>
      <c r="G293" s="2956">
        <v>3170</v>
      </c>
    </row>
    <row r="294" spans="1:7" s="2777" customFormat="1" ht="14.25" customHeight="1">
      <c r="A294" s="2943" t="s">
        <v>306</v>
      </c>
      <c r="B294" s="2943" t="s">
        <v>3140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3141</v>
      </c>
      <c r="C302" s="2943">
        <v>5520</v>
      </c>
      <c r="D302" s="2943">
        <v>5470</v>
      </c>
      <c r="E302" s="2943">
        <v>6410</v>
      </c>
      <c r="F302" s="2943">
        <v>950</v>
      </c>
      <c r="G302" s="2956">
        <v>3300</v>
      </c>
    </row>
    <row r="303" spans="1:7" s="2777" customFormat="1" ht="14.25" customHeight="1">
      <c r="A303" s="2943" t="s">
        <v>306</v>
      </c>
      <c r="B303" s="2943" t="s">
        <v>2953</v>
      </c>
      <c r="C303" s="2943">
        <v>5630</v>
      </c>
      <c r="D303" s="2943">
        <v>5590</v>
      </c>
      <c r="E303" s="2943">
        <v>6550</v>
      </c>
      <c r="F303" s="2943">
        <v>1010</v>
      </c>
      <c r="G303" s="2956">
        <v>3370</v>
      </c>
    </row>
    <row r="304" spans="1:7" s="2777" customFormat="1" ht="14.25" customHeight="1">
      <c r="A304" s="2943" t="s">
        <v>306</v>
      </c>
      <c r="B304" s="2943" t="s">
        <v>2960</v>
      </c>
      <c r="C304" s="2943">
        <v>5680</v>
      </c>
      <c r="D304" s="2943">
        <v>5620</v>
      </c>
      <c r="E304" s="2943">
        <v>6620</v>
      </c>
      <c r="F304" s="2943">
        <v>1050</v>
      </c>
      <c r="G304" s="2956">
        <v>3390</v>
      </c>
    </row>
    <row r="305" spans="1:7" s="2777" customFormat="1" ht="14.25" customHeight="1">
      <c r="A305" s="2943" t="s">
        <v>306</v>
      </c>
      <c r="B305" s="2943" t="s">
        <v>2966</v>
      </c>
      <c r="C305" s="2943">
        <v>5590</v>
      </c>
      <c r="D305" s="2943">
        <v>5530</v>
      </c>
      <c r="E305" s="2943">
        <v>6460</v>
      </c>
      <c r="F305" s="2943">
        <v>900</v>
      </c>
      <c r="G305" s="2956">
        <v>3340</v>
      </c>
    </row>
    <row r="306" spans="1:7" s="2777" customFormat="1" ht="14.25" customHeight="1">
      <c r="A306" s="2943" t="s">
        <v>306</v>
      </c>
      <c r="B306" s="2943" t="s">
        <v>3142</v>
      </c>
      <c r="C306" s="2943">
        <v>5560</v>
      </c>
      <c r="D306" s="2943">
        <v>5510</v>
      </c>
      <c r="E306" s="2943">
        <v>6440</v>
      </c>
      <c r="F306" s="2943">
        <v>900</v>
      </c>
      <c r="G306" s="2956">
        <v>3320</v>
      </c>
    </row>
    <row r="307" spans="1:7" s="2777" customFormat="1" ht="14.25" customHeight="1">
      <c r="A307" s="2943" t="s">
        <v>306</v>
      </c>
      <c r="B307" s="2943" t="s">
        <v>2978</v>
      </c>
      <c r="C307" s="2943">
        <v>5650</v>
      </c>
      <c r="D307" s="2943">
        <v>5600</v>
      </c>
      <c r="E307" s="2943">
        <v>6590</v>
      </c>
      <c r="F307" s="2943">
        <v>930</v>
      </c>
      <c r="G307" s="2956">
        <v>3380</v>
      </c>
    </row>
    <row r="308" spans="1:7" s="2777" customFormat="1" ht="14.25" customHeight="1">
      <c r="A308" s="2943" t="s">
        <v>306</v>
      </c>
      <c r="B308" s="2943" t="s">
        <v>3143</v>
      </c>
      <c r="C308" s="2943">
        <v>5620</v>
      </c>
      <c r="D308" s="2943">
        <v>5580</v>
      </c>
      <c r="E308" s="2943">
        <v>6540</v>
      </c>
      <c r="F308" s="2943">
        <v>910</v>
      </c>
      <c r="G308" s="2956">
        <v>3370</v>
      </c>
    </row>
    <row r="309" spans="1:7" s="2777" customFormat="1" ht="14.25" customHeight="1">
      <c r="A309" s="2943" t="s">
        <v>306</v>
      </c>
      <c r="B309" s="2943" t="s">
        <v>3144</v>
      </c>
      <c r="C309" s="2943">
        <v>5060</v>
      </c>
      <c r="D309" s="2943">
        <v>5020</v>
      </c>
      <c r="E309" s="2943">
        <v>6370</v>
      </c>
      <c r="F309" s="2943">
        <v>800</v>
      </c>
      <c r="G309" s="2956">
        <v>3020</v>
      </c>
    </row>
    <row r="310" spans="1:7" s="2777" customFormat="1" ht="14.25" customHeight="1">
      <c r="A310" s="2943" t="s">
        <v>306</v>
      </c>
      <c r="B310" s="2943" t="s">
        <v>2993</v>
      </c>
      <c r="C310" s="2943">
        <v>5150</v>
      </c>
      <c r="D310" s="2943">
        <v>5110</v>
      </c>
      <c r="E310" s="2943">
        <v>6500</v>
      </c>
      <c r="F310" s="2943">
        <v>880</v>
      </c>
      <c r="G310" s="2956">
        <v>3080</v>
      </c>
    </row>
    <row r="311" spans="1:7" s="2777" customFormat="1" ht="14.25" customHeight="1">
      <c r="A311" s="2943" t="s">
        <v>306</v>
      </c>
      <c r="B311" s="2943" t="s">
        <v>3145</v>
      </c>
      <c r="C311" s="2943">
        <v>4750</v>
      </c>
      <c r="D311" s="2943">
        <v>4710</v>
      </c>
      <c r="E311" s="2943">
        <v>5510</v>
      </c>
      <c r="F311" s="2943">
        <v>880</v>
      </c>
      <c r="G311" s="2956">
        <v>2840</v>
      </c>
    </row>
    <row r="312" spans="1:7" s="2777" customFormat="1" ht="14.25" customHeight="1">
      <c r="A312" s="2943" t="s">
        <v>306</v>
      </c>
      <c r="B312" s="2943" t="s">
        <v>3003</v>
      </c>
      <c r="C312" s="2943">
        <v>4690</v>
      </c>
      <c r="D312" s="2943">
        <v>4640</v>
      </c>
      <c r="E312" s="2943">
        <v>5420</v>
      </c>
      <c r="F312" s="2943">
        <v>800</v>
      </c>
      <c r="G312" s="2956">
        <v>2800</v>
      </c>
    </row>
    <row r="313" spans="1:7" s="2777" customFormat="1" ht="14.25" customHeight="1">
      <c r="A313" s="2943" t="s">
        <v>306</v>
      </c>
      <c r="B313" s="2943" t="s">
        <v>3008</v>
      </c>
      <c r="C313" s="2943">
        <v>4810</v>
      </c>
      <c r="D313" s="2943">
        <v>4760</v>
      </c>
      <c r="E313" s="2943">
        <v>5550</v>
      </c>
      <c r="F313" s="2943">
        <v>920</v>
      </c>
      <c r="G313" s="2956">
        <v>2870</v>
      </c>
    </row>
    <row r="314" spans="1:7" s="2777" customFormat="1" ht="14.25" customHeight="1">
      <c r="A314" s="2943" t="s">
        <v>306</v>
      </c>
      <c r="B314" s="2943" t="s">
        <v>3146</v>
      </c>
      <c r="C314" s="2943"/>
      <c r="D314" s="2943"/>
      <c r="E314" s="2943"/>
      <c r="F314" s="2943">
        <v>1020</v>
      </c>
      <c r="G314" s="2956"/>
    </row>
    <row r="315" spans="1:7" s="2777" customFormat="1" ht="14.25" customHeight="1">
      <c r="A315" s="2943" t="s">
        <v>306</v>
      </c>
      <c r="B315" s="2943" t="s">
        <v>3147</v>
      </c>
      <c r="C315" s="2943"/>
      <c r="D315" s="2943"/>
      <c r="E315" s="2943"/>
      <c r="F315" s="2943">
        <v>1050</v>
      </c>
      <c r="G315" s="2956"/>
    </row>
    <row r="316" spans="1:7" s="2777" customFormat="1" ht="14.25" customHeight="1">
      <c r="A316" s="2943" t="s">
        <v>306</v>
      </c>
      <c r="B316" s="2943" t="s">
        <v>3023</v>
      </c>
      <c r="C316" s="2943"/>
      <c r="D316" s="2943"/>
      <c r="E316" s="2943"/>
      <c r="F316" s="2943">
        <v>900</v>
      </c>
      <c r="G316" s="2956"/>
    </row>
    <row r="317" spans="1:7" s="2777" customFormat="1" ht="14.25" customHeight="1">
      <c r="A317" s="2943" t="s">
        <v>306</v>
      </c>
      <c r="B317" s="2943" t="s">
        <v>3148</v>
      </c>
      <c r="C317" s="2943"/>
      <c r="D317" s="2943"/>
      <c r="E317" s="2943"/>
      <c r="F317" s="2943">
        <v>920</v>
      </c>
      <c r="G317" s="2956"/>
    </row>
    <row r="318" spans="1:7" s="2777" customFormat="1" ht="14.25" customHeight="1">
      <c r="A318" s="2943" t="s">
        <v>306</v>
      </c>
      <c r="B318" s="2943" t="s">
        <v>3149</v>
      </c>
      <c r="C318" s="2943"/>
      <c r="D318" s="2943"/>
      <c r="E318" s="2943"/>
      <c r="F318" s="2943">
        <v>1080</v>
      </c>
      <c r="G318" s="2956"/>
    </row>
    <row r="319" spans="1:7" s="2777" customFormat="1" ht="14.25" customHeight="1">
      <c r="A319" s="2943" t="s">
        <v>306</v>
      </c>
      <c r="B319" s="2943" t="s">
        <v>3036</v>
      </c>
      <c r="C319" s="2943"/>
      <c r="D319" s="2943"/>
      <c r="E319" s="2943"/>
      <c r="F319" s="2943">
        <v>1020</v>
      </c>
      <c r="G319" s="2956"/>
    </row>
    <row r="320" spans="1:7" s="2777" customFormat="1" ht="14.25" customHeight="1">
      <c r="A320" s="2943" t="s">
        <v>306</v>
      </c>
      <c r="B320" s="2943" t="s">
        <v>3039</v>
      </c>
      <c r="C320" s="2943"/>
      <c r="D320" s="2943"/>
      <c r="E320" s="2943"/>
      <c r="F320" s="2943">
        <v>1050</v>
      </c>
      <c r="G320" s="2956"/>
    </row>
    <row r="321" spans="1:7" s="2777" customFormat="1" ht="14.25" customHeight="1">
      <c r="A321" s="2943" t="s">
        <v>306</v>
      </c>
      <c r="B321" s="2943" t="s">
        <v>3041</v>
      </c>
      <c r="C321" s="2943"/>
      <c r="D321" s="2943"/>
      <c r="E321" s="2943"/>
      <c r="F321" s="2943">
        <v>960</v>
      </c>
      <c r="G321" s="2956"/>
    </row>
    <row r="322" spans="1:7" s="2777" customFormat="1" ht="14.25" customHeight="1">
      <c r="A322" s="2943" t="s">
        <v>306</v>
      </c>
      <c r="B322" s="2943" t="s">
        <v>3043</v>
      </c>
      <c r="C322" s="2943"/>
      <c r="D322" s="2943"/>
      <c r="E322" s="2943"/>
      <c r="F322" s="2943">
        <v>960</v>
      </c>
      <c r="G322" s="2956"/>
    </row>
    <row r="323" spans="1:7" s="2777" customFormat="1" ht="14.25" customHeight="1">
      <c r="A323" s="2943" t="s">
        <v>306</v>
      </c>
      <c r="B323" s="2943" t="s">
        <v>3045</v>
      </c>
      <c r="C323" s="2943"/>
      <c r="D323" s="2943"/>
      <c r="E323" s="2943"/>
      <c r="F323" s="2943">
        <v>880</v>
      </c>
      <c r="G323" s="2956"/>
    </row>
    <row r="324" spans="1:7" s="2777" customFormat="1" ht="14.25" customHeight="1">
      <c r="A324" s="2943" t="s">
        <v>306</v>
      </c>
      <c r="B324" s="2943" t="s">
        <v>3047</v>
      </c>
      <c r="C324" s="2943"/>
      <c r="D324" s="2943"/>
      <c r="E324" s="2943"/>
      <c r="F324" s="2943">
        <v>930</v>
      </c>
      <c r="G324" s="2956"/>
    </row>
    <row r="325" spans="1:7" s="2777" customFormat="1" ht="14.25" customHeight="1">
      <c r="A325" s="2943" t="s">
        <v>306</v>
      </c>
      <c r="B325" s="2944" t="s">
        <v>3049</v>
      </c>
      <c r="C325" s="2943"/>
      <c r="D325" s="2943"/>
      <c r="E325" s="2943"/>
      <c r="F325" s="2943">
        <v>900</v>
      </c>
      <c r="G325" s="2956"/>
    </row>
    <row r="326" spans="1:7" s="2777" customFormat="1" ht="14.25" customHeight="1" thickBot="1">
      <c r="A326" s="2957" t="s">
        <v>306</v>
      </c>
      <c r="B326" s="2950" t="s">
        <v>3051</v>
      </c>
      <c r="C326" s="2950"/>
      <c r="D326" s="2950"/>
      <c r="E326" s="2950"/>
      <c r="F326" s="2950">
        <v>790</v>
      </c>
      <c r="G326" s="2958"/>
    </row>
    <row r="327" spans="1:7" s="2777" customFormat="1" ht="14.25" customHeight="1">
      <c r="A327" s="2948" t="s">
        <v>307</v>
      </c>
      <c r="B327" s="2939" t="s">
        <v>3150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3151</v>
      </c>
      <c r="C329" s="2943">
        <v>2730</v>
      </c>
      <c r="D329" s="2943">
        <v>2690</v>
      </c>
      <c r="E329" s="2943">
        <v>3100</v>
      </c>
      <c r="F329" s="2943">
        <v>660</v>
      </c>
      <c r="G329" s="2943">
        <v>1610</v>
      </c>
    </row>
    <row r="330" spans="1:7" s="2777" customFormat="1" ht="14.25" customHeight="1">
      <c r="A330" s="2943" t="s">
        <v>307</v>
      </c>
      <c r="B330" s="2943" t="s">
        <v>3152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2885</v>
      </c>
      <c r="C332" s="2943">
        <v>3520</v>
      </c>
      <c r="D332" s="2943">
        <v>3480</v>
      </c>
      <c r="E332" s="2943">
        <v>3830</v>
      </c>
      <c r="F332" s="2943">
        <v>720</v>
      </c>
      <c r="G332" s="2943">
        <v>2090</v>
      </c>
    </row>
    <row r="333" spans="1:7" s="2777" customFormat="1" ht="14.25" customHeight="1">
      <c r="A333" s="2943" t="s">
        <v>307</v>
      </c>
      <c r="B333" s="2943" t="s">
        <v>3153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2895</v>
      </c>
      <c r="C336" s="2943">
        <v>3570</v>
      </c>
      <c r="D336" s="2943">
        <v>3530</v>
      </c>
      <c r="E336" s="2943">
        <v>3880</v>
      </c>
      <c r="F336" s="2943">
        <v>770</v>
      </c>
      <c r="G336" s="2943">
        <v>2110</v>
      </c>
    </row>
    <row r="337" spans="1:10" s="2777" customFormat="1" ht="14.25" customHeight="1">
      <c r="A337" s="2943" t="s">
        <v>307</v>
      </c>
      <c r="B337" s="2943" t="s">
        <v>3154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2920</v>
      </c>
      <c r="C345" s="2943">
        <v>3190</v>
      </c>
      <c r="D345" s="2943">
        <v>3140</v>
      </c>
      <c r="E345" s="2943">
        <v>3450</v>
      </c>
      <c r="F345" s="2943">
        <v>720</v>
      </c>
      <c r="G345" s="2943">
        <v>1880</v>
      </c>
      <c r="J345" s="2777"/>
    </row>
    <row r="346" spans="1:10">
      <c r="A346" s="2943" t="s">
        <v>307</v>
      </c>
      <c r="B346" s="2943" t="s">
        <v>3157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2929</v>
      </c>
      <c r="C348" s="2943">
        <v>4000</v>
      </c>
      <c r="D348" s="2943">
        <v>3950</v>
      </c>
      <c r="E348" s="2943">
        <v>4430</v>
      </c>
      <c r="F348" s="2943">
        <v>760</v>
      </c>
      <c r="G348" s="2943">
        <v>2360</v>
      </c>
      <c r="J348" s="2777"/>
    </row>
    <row r="349" spans="1:10">
      <c r="A349" s="2943" t="s">
        <v>307</v>
      </c>
      <c r="B349" s="2943" t="s">
        <v>2934</v>
      </c>
      <c r="C349" s="2943">
        <v>3820</v>
      </c>
      <c r="D349" s="2943">
        <v>3780</v>
      </c>
      <c r="E349" s="2943">
        <v>4170</v>
      </c>
      <c r="F349" s="2943">
        <v>710</v>
      </c>
      <c r="G349" s="2943">
        <v>2260</v>
      </c>
      <c r="J349" s="2777"/>
    </row>
    <row r="350" spans="1:10">
      <c r="A350" s="2943" t="s">
        <v>307</v>
      </c>
      <c r="B350" s="2943" t="s">
        <v>3158</v>
      </c>
      <c r="C350" s="2943">
        <v>3760</v>
      </c>
      <c r="D350" s="2943">
        <v>3730</v>
      </c>
      <c r="E350" s="2943">
        <v>4100</v>
      </c>
      <c r="F350" s="2943">
        <v>800</v>
      </c>
      <c r="G350" s="2943">
        <v>2230</v>
      </c>
      <c r="J350" s="2777"/>
    </row>
    <row r="351" spans="1:10">
      <c r="A351" s="2943" t="s">
        <v>307</v>
      </c>
      <c r="B351" s="2943" t="s">
        <v>2942</v>
      </c>
      <c r="C351" s="2943">
        <v>3610</v>
      </c>
      <c r="D351" s="2943">
        <v>3580</v>
      </c>
      <c r="E351" s="2943">
        <v>3930</v>
      </c>
      <c r="F351" s="2943">
        <v>700</v>
      </c>
      <c r="G351" s="2943">
        <v>2140</v>
      </c>
      <c r="J351" s="2777"/>
    </row>
    <row r="352" spans="1:10">
      <c r="A352" s="2943" t="s">
        <v>307</v>
      </c>
      <c r="B352" s="2943" t="s">
        <v>2947</v>
      </c>
      <c r="C352" s="2943">
        <v>3670</v>
      </c>
      <c r="D352" s="2943">
        <v>3630</v>
      </c>
      <c r="E352" s="2943">
        <v>4000</v>
      </c>
      <c r="F352" s="2943">
        <v>750</v>
      </c>
      <c r="G352" s="2943">
        <v>2180</v>
      </c>
    </row>
    <row r="353" spans="1:7" s="2778" customFormat="1">
      <c r="A353" s="2943" t="s">
        <v>307</v>
      </c>
      <c r="B353" s="2943" t="s">
        <v>3159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2967</v>
      </c>
      <c r="C355" s="2943">
        <v>3650</v>
      </c>
      <c r="D355" s="2943">
        <v>3610</v>
      </c>
      <c r="E355" s="2943">
        <v>4200</v>
      </c>
      <c r="F355" s="2943">
        <v>640</v>
      </c>
      <c r="G355" s="2943">
        <v>2160</v>
      </c>
    </row>
    <row r="356" spans="1:7" s="2778" customFormat="1">
      <c r="A356" s="2943" t="s">
        <v>307</v>
      </c>
      <c r="B356" s="2943" t="s">
        <v>2974</v>
      </c>
      <c r="C356" s="2943">
        <v>3260</v>
      </c>
      <c r="D356" s="2943">
        <v>3230</v>
      </c>
      <c r="E356" s="2943">
        <v>3740</v>
      </c>
      <c r="F356" s="2943">
        <v>600</v>
      </c>
      <c r="G356" s="2943">
        <v>1930</v>
      </c>
    </row>
    <row r="357" spans="1:7" s="2778" customFormat="1" ht="11.4" thickBot="1">
      <c r="A357" s="2951" t="s">
        <v>307</v>
      </c>
      <c r="B357" s="2954" t="s">
        <v>3160</v>
      </c>
      <c r="C357" s="2954">
        <v>3690</v>
      </c>
      <c r="D357" s="2954">
        <v>3650</v>
      </c>
      <c r="E357" s="2954">
        <v>4020</v>
      </c>
      <c r="F357" s="2954">
        <v>700</v>
      </c>
      <c r="G357" s="2954">
        <v>2190</v>
      </c>
    </row>
    <row r="358" spans="1:7" s="2778" customFormat="1">
      <c r="A358" s="2948" t="s">
        <v>3161</v>
      </c>
      <c r="B358" s="2939" t="s">
        <v>3162</v>
      </c>
      <c r="C358" s="2939">
        <v>2080</v>
      </c>
      <c r="D358" s="2939">
        <v>2040</v>
      </c>
      <c r="E358" s="2939">
        <v>2010</v>
      </c>
      <c r="F358" s="2939">
        <v>530</v>
      </c>
      <c r="G358" s="2955">
        <v>1230</v>
      </c>
    </row>
    <row r="359" spans="1:7" s="2778" customFormat="1">
      <c r="A359" s="2943" t="s">
        <v>3161</v>
      </c>
      <c r="B359" s="2943" t="s">
        <v>3163</v>
      </c>
      <c r="C359" s="2943">
        <v>1850</v>
      </c>
      <c r="D359" s="2943">
        <v>1820</v>
      </c>
      <c r="E359" s="2943">
        <v>1780</v>
      </c>
      <c r="F359" s="2943">
        <v>520</v>
      </c>
      <c r="G359" s="2956">
        <v>1100</v>
      </c>
    </row>
    <row r="360" spans="1:7" s="2778" customFormat="1">
      <c r="A360" s="2943" t="s">
        <v>3161</v>
      </c>
      <c r="B360" s="2943" t="s">
        <v>3164</v>
      </c>
      <c r="C360" s="2943">
        <v>2020</v>
      </c>
      <c r="D360" s="2943">
        <v>1990</v>
      </c>
      <c r="E360" s="2943">
        <v>1950</v>
      </c>
      <c r="F360" s="2943">
        <v>500</v>
      </c>
      <c r="G360" s="2956">
        <v>1200</v>
      </c>
    </row>
    <row r="361" spans="1:7" s="2778" customFormat="1">
      <c r="A361" s="2943" t="s">
        <v>3161</v>
      </c>
      <c r="B361" s="2943" t="s">
        <v>153</v>
      </c>
      <c r="C361" s="2943">
        <v>2260</v>
      </c>
      <c r="D361" s="2943">
        <v>2220</v>
      </c>
      <c r="E361" s="2943">
        <v>2180</v>
      </c>
      <c r="F361" s="2943">
        <v>580</v>
      </c>
      <c r="G361" s="2956">
        <v>1340</v>
      </c>
    </row>
    <row r="362" spans="1:7" s="2778" customFormat="1">
      <c r="A362" s="2943" t="s">
        <v>3161</v>
      </c>
      <c r="B362" s="2943" t="s">
        <v>3165</v>
      </c>
      <c r="C362" s="2943">
        <v>2650</v>
      </c>
      <c r="D362" s="2943">
        <v>2610</v>
      </c>
      <c r="E362" s="2943">
        <v>2570</v>
      </c>
      <c r="F362" s="2943">
        <v>630</v>
      </c>
      <c r="G362" s="2956">
        <v>1570</v>
      </c>
    </row>
    <row r="363" spans="1:7" s="2778" customFormat="1">
      <c r="A363" s="2943" t="s">
        <v>3161</v>
      </c>
      <c r="B363" s="2943" t="s">
        <v>2886</v>
      </c>
      <c r="C363" s="2943">
        <v>2390</v>
      </c>
      <c r="D363" s="2943">
        <v>2360</v>
      </c>
      <c r="E363" s="2943">
        <v>2320</v>
      </c>
      <c r="F363" s="2943">
        <v>600</v>
      </c>
      <c r="G363" s="2956">
        <v>1420</v>
      </c>
    </row>
    <row r="364" spans="1:7" s="2778" customFormat="1">
      <c r="A364" s="2943" t="s">
        <v>3161</v>
      </c>
      <c r="B364" s="2943" t="s">
        <v>3166</v>
      </c>
      <c r="C364" s="2943">
        <v>2050</v>
      </c>
      <c r="D364" s="2943">
        <v>2030</v>
      </c>
      <c r="E364" s="2943">
        <v>1990</v>
      </c>
      <c r="F364" s="2943">
        <v>550</v>
      </c>
      <c r="G364" s="2956">
        <v>1220</v>
      </c>
    </row>
    <row r="365" spans="1:7" s="2778" customFormat="1">
      <c r="A365" s="2943" t="s">
        <v>3161</v>
      </c>
      <c r="B365" s="2943" t="s">
        <v>200</v>
      </c>
      <c r="C365" s="2943">
        <v>2140</v>
      </c>
      <c r="D365" s="2943">
        <v>2100</v>
      </c>
      <c r="E365" s="2943">
        <v>2060</v>
      </c>
      <c r="F365" s="2943">
        <v>540</v>
      </c>
      <c r="G365" s="2956">
        <v>1270</v>
      </c>
    </row>
    <row r="366" spans="1:7" s="2778" customFormat="1">
      <c r="A366" s="2943" t="s">
        <v>3161</v>
      </c>
      <c r="B366" s="2943" t="s">
        <v>2893</v>
      </c>
      <c r="C366" s="2943">
        <v>2410</v>
      </c>
      <c r="D366" s="2943">
        <v>2370</v>
      </c>
      <c r="E366" s="2943">
        <v>2330</v>
      </c>
      <c r="F366" s="2943">
        <v>570</v>
      </c>
      <c r="G366" s="2956">
        <v>1440</v>
      </c>
    </row>
    <row r="367" spans="1:7" s="2778" customFormat="1">
      <c r="A367" s="2943" t="s">
        <v>3161</v>
      </c>
      <c r="B367" s="2943" t="s">
        <v>3167</v>
      </c>
      <c r="C367" s="2943">
        <v>2300</v>
      </c>
      <c r="D367" s="2943">
        <v>2260</v>
      </c>
      <c r="E367" s="2943">
        <v>2220</v>
      </c>
      <c r="F367" s="2943">
        <v>560</v>
      </c>
      <c r="G367" s="2956">
        <v>1370</v>
      </c>
    </row>
    <row r="368" spans="1:7" s="2778" customFormat="1">
      <c r="A368" s="2943" t="s">
        <v>3161</v>
      </c>
      <c r="B368" s="2943" t="s">
        <v>3168</v>
      </c>
      <c r="C368" s="2943">
        <v>2430</v>
      </c>
      <c r="D368" s="2943">
        <v>2390</v>
      </c>
      <c r="E368" s="2943">
        <v>2350</v>
      </c>
      <c r="F368" s="2943">
        <v>570</v>
      </c>
      <c r="G368" s="2956">
        <v>1450</v>
      </c>
    </row>
    <row r="369" spans="1:7" s="2778" customFormat="1">
      <c r="A369" s="2943" t="s">
        <v>3161</v>
      </c>
      <c r="B369" s="2943" t="s">
        <v>214</v>
      </c>
      <c r="C369" s="2943">
        <v>2320</v>
      </c>
      <c r="D369" s="2943">
        <v>2290</v>
      </c>
      <c r="E369" s="2943">
        <v>2250</v>
      </c>
      <c r="F369" s="2943">
        <v>550</v>
      </c>
      <c r="G369" s="2956">
        <v>1380</v>
      </c>
    </row>
    <row r="370" spans="1:7" s="2778" customFormat="1">
      <c r="A370" s="2943" t="s">
        <v>3161</v>
      </c>
      <c r="B370" s="2943" t="s">
        <v>221</v>
      </c>
      <c r="C370" s="2943">
        <v>2190</v>
      </c>
      <c r="D370" s="2943">
        <v>2170</v>
      </c>
      <c r="E370" s="2943">
        <v>2130</v>
      </c>
      <c r="F370" s="2943">
        <v>530</v>
      </c>
      <c r="G370" s="2956">
        <v>1310</v>
      </c>
    </row>
    <row r="371" spans="1:7" s="2778" customFormat="1">
      <c r="A371" s="2943" t="s">
        <v>3161</v>
      </c>
      <c r="B371" s="2943" t="s">
        <v>229</v>
      </c>
      <c r="C371" s="2943">
        <v>2460</v>
      </c>
      <c r="D371" s="2943">
        <v>2420</v>
      </c>
      <c r="E371" s="2943">
        <v>2370</v>
      </c>
      <c r="F371" s="2943">
        <v>560</v>
      </c>
      <c r="G371" s="2956">
        <v>1470</v>
      </c>
    </row>
    <row r="372" spans="1:7" s="2778" customFormat="1">
      <c r="A372" s="2943" t="s">
        <v>3161</v>
      </c>
      <c r="B372" s="2943" t="s">
        <v>3169</v>
      </c>
      <c r="C372" s="2943">
        <v>2250</v>
      </c>
      <c r="D372" s="2943">
        <v>2210</v>
      </c>
      <c r="E372" s="2943">
        <v>2180</v>
      </c>
      <c r="F372" s="2943">
        <v>550</v>
      </c>
      <c r="G372" s="2956">
        <v>1340</v>
      </c>
    </row>
    <row r="373" spans="1:7" s="2778" customFormat="1">
      <c r="A373" s="2943" t="s">
        <v>3161</v>
      </c>
      <c r="B373" s="2943" t="s">
        <v>258</v>
      </c>
      <c r="C373" s="2943">
        <v>2210</v>
      </c>
      <c r="D373" s="2943">
        <v>2190</v>
      </c>
      <c r="E373" s="2943">
        <v>2150</v>
      </c>
      <c r="F373" s="2943">
        <v>530</v>
      </c>
      <c r="G373" s="2956">
        <v>1320</v>
      </c>
    </row>
    <row r="374" spans="1:7" s="2778" customFormat="1">
      <c r="A374" s="2943" t="s">
        <v>3161</v>
      </c>
      <c r="B374" s="2943" t="s">
        <v>266</v>
      </c>
      <c r="C374" s="2943">
        <v>2320</v>
      </c>
      <c r="D374" s="2943">
        <v>2280</v>
      </c>
      <c r="E374" s="2943">
        <v>2230</v>
      </c>
      <c r="F374" s="2943">
        <v>580</v>
      </c>
      <c r="G374" s="2956">
        <v>1380</v>
      </c>
    </row>
    <row r="375" spans="1:7" s="2778" customFormat="1">
      <c r="A375" s="2943" t="s">
        <v>3161</v>
      </c>
      <c r="B375" s="2943" t="s">
        <v>3170</v>
      </c>
      <c r="C375" s="2943">
        <v>2090</v>
      </c>
      <c r="D375" s="2943">
        <v>2050</v>
      </c>
      <c r="E375" s="2943">
        <v>2020</v>
      </c>
      <c r="F375" s="2943">
        <v>520</v>
      </c>
      <c r="G375" s="2956">
        <v>1240</v>
      </c>
    </row>
    <row r="376" spans="1:7" s="2778" customFormat="1">
      <c r="A376" s="2943" t="s">
        <v>3161</v>
      </c>
      <c r="B376" s="2943" t="s">
        <v>277</v>
      </c>
      <c r="C376" s="2943">
        <v>2010</v>
      </c>
      <c r="D376" s="2943">
        <v>1980</v>
      </c>
      <c r="E376" s="2943">
        <v>1940</v>
      </c>
      <c r="F376" s="2943">
        <v>540</v>
      </c>
      <c r="G376" s="2956">
        <v>1190</v>
      </c>
    </row>
    <row r="377" spans="1:7" s="2778" customFormat="1" ht="11.4" thickBot="1">
      <c r="A377" s="2951" t="s">
        <v>3161</v>
      </c>
      <c r="B377" s="2954" t="s">
        <v>2923</v>
      </c>
      <c r="C377" s="2954">
        <v>1930</v>
      </c>
      <c r="D377" s="2954">
        <v>1890</v>
      </c>
      <c r="E377" s="2954">
        <v>1860</v>
      </c>
      <c r="F377" s="2954">
        <v>530</v>
      </c>
      <c r="G377" s="2959">
        <v>1150</v>
      </c>
    </row>
    <row r="378" spans="1:7" s="2778" customFormat="1">
      <c r="A378" s="2960" t="s">
        <v>3171</v>
      </c>
      <c r="B378" s="2939" t="s">
        <v>3172</v>
      </c>
      <c r="C378" s="2939">
        <v>1520</v>
      </c>
      <c r="D378" s="2939">
        <v>1490</v>
      </c>
      <c r="E378" s="2939">
        <v>1460</v>
      </c>
      <c r="F378" s="2939">
        <v>460</v>
      </c>
      <c r="G378" s="2955">
        <v>940</v>
      </c>
    </row>
    <row r="379" spans="1:7" s="2778" customFormat="1">
      <c r="A379" s="2961" t="s">
        <v>3171</v>
      </c>
      <c r="B379" s="2943" t="s">
        <v>3173</v>
      </c>
      <c r="C379" s="2943">
        <v>1500</v>
      </c>
      <c r="D379" s="2943">
        <v>1470</v>
      </c>
      <c r="E379" s="2943">
        <v>1430</v>
      </c>
      <c r="F379" s="2943">
        <v>460</v>
      </c>
      <c r="G379" s="2956">
        <v>920</v>
      </c>
    </row>
    <row r="380" spans="1:7" s="2778" customFormat="1">
      <c r="A380" s="2961" t="s">
        <v>3171</v>
      </c>
      <c r="B380" s="2943" t="s">
        <v>3174</v>
      </c>
      <c r="C380" s="2943">
        <v>1620</v>
      </c>
      <c r="D380" s="2943">
        <v>1590</v>
      </c>
      <c r="E380" s="2943">
        <v>1560</v>
      </c>
      <c r="F380" s="2943">
        <v>480</v>
      </c>
      <c r="G380" s="2956">
        <v>1000</v>
      </c>
    </row>
    <row r="381" spans="1:7" s="2778" customFormat="1">
      <c r="A381" s="2961" t="s">
        <v>3171</v>
      </c>
      <c r="B381" s="2943" t="s">
        <v>3175</v>
      </c>
      <c r="C381" s="2943">
        <v>1460</v>
      </c>
      <c r="D381" s="2943">
        <v>1430</v>
      </c>
      <c r="E381" s="2943">
        <v>1390</v>
      </c>
      <c r="F381" s="2943">
        <v>450</v>
      </c>
      <c r="G381" s="2956">
        <v>900</v>
      </c>
    </row>
    <row r="382" spans="1:7" s="2778" customFormat="1">
      <c r="A382" s="2961" t="s">
        <v>3171</v>
      </c>
      <c r="B382" s="2943" t="s">
        <v>3176</v>
      </c>
      <c r="C382" s="2943">
        <v>1310</v>
      </c>
      <c r="D382" s="2943">
        <v>1280</v>
      </c>
      <c r="E382" s="2943">
        <v>1250</v>
      </c>
      <c r="F382" s="2943">
        <v>440</v>
      </c>
      <c r="G382" s="2956">
        <v>800</v>
      </c>
    </row>
    <row r="383" spans="1:7" s="2778" customFormat="1">
      <c r="A383" s="2961" t="s">
        <v>3171</v>
      </c>
      <c r="B383" s="2943" t="s">
        <v>3177</v>
      </c>
      <c r="C383" s="2943">
        <v>1260</v>
      </c>
      <c r="D383" s="2943">
        <v>1230</v>
      </c>
      <c r="E383" s="2943">
        <v>1200</v>
      </c>
      <c r="F383" s="2943">
        <v>420</v>
      </c>
      <c r="G383" s="2956">
        <v>770</v>
      </c>
    </row>
    <row r="384" spans="1:7" s="2778" customFormat="1" ht="11.4" thickBot="1">
      <c r="A384" s="2962" t="s">
        <v>3171</v>
      </c>
      <c r="B384" s="2950" t="s">
        <v>3178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82" t="s">
        <v>3179</v>
      </c>
      <c r="B1" s="3582"/>
    </row>
    <row r="2" spans="1:7" ht="15" thickBot="1">
      <c r="A2" s="2964"/>
      <c r="B2" s="2964"/>
    </row>
    <row r="3" spans="1:7" ht="15" thickBot="1">
      <c r="A3" s="2964"/>
      <c r="B3" s="2964"/>
      <c r="C3" s="2965" t="s">
        <v>2809</v>
      </c>
      <c r="D3" s="2965" t="s">
        <v>2865</v>
      </c>
      <c r="E3" s="2965" t="s">
        <v>2811</v>
      </c>
      <c r="F3" s="2965" t="s">
        <v>2866</v>
      </c>
      <c r="G3" s="2965" t="s">
        <v>2629</v>
      </c>
    </row>
    <row r="4" spans="1:7" ht="1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1875" defaultRowHeight="14.4"/>
  <cols>
    <col min="1" max="16384" width="13.21875" style="2809"/>
  </cols>
  <sheetData>
    <row r="1" spans="1:6">
      <c r="A1" s="3583" t="s">
        <v>3230</v>
      </c>
      <c r="B1" s="3583"/>
      <c r="C1" s="3583"/>
      <c r="D1" s="3583"/>
      <c r="E1" s="3583"/>
      <c r="F1" s="3584"/>
    </row>
    <row r="2" spans="1:6">
      <c r="A2" s="2998" t="s">
        <v>3231</v>
      </c>
    </row>
    <row r="3" spans="1:6">
      <c r="A3" s="2998" t="s">
        <v>3232</v>
      </c>
      <c r="F3" s="2999" t="s">
        <v>3233</v>
      </c>
    </row>
    <row r="4" spans="1:6">
      <c r="A4" s="3000" t="s">
        <v>672</v>
      </c>
      <c r="B4" s="3000" t="s">
        <v>673</v>
      </c>
      <c r="C4" s="3000" t="s">
        <v>21</v>
      </c>
      <c r="D4" s="3000" t="s">
        <v>674</v>
      </c>
      <c r="E4" s="3000" t="s">
        <v>3</v>
      </c>
      <c r="F4" s="3000" t="s">
        <v>3234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45722</v>
      </c>
      <c r="B1" s="2925" t="s">
        <v>3378</v>
      </c>
      <c r="C1" s="2926"/>
      <c r="D1" s="2926"/>
      <c r="E1" s="2926"/>
      <c r="F1" s="2926"/>
      <c r="G1" s="2926"/>
      <c r="H1" s="2926"/>
      <c r="I1" s="2926"/>
      <c r="J1" s="2892"/>
      <c r="K1" s="2926" t="s">
        <v>454</v>
      </c>
      <c r="L1" s="2926"/>
      <c r="M1" s="2926"/>
      <c r="N1" s="2926"/>
      <c r="O1" s="2926"/>
      <c r="P1" s="2926"/>
      <c r="Q1" s="2892"/>
      <c r="R1" s="3585" t="s">
        <v>456</v>
      </c>
      <c r="S1" s="3586"/>
      <c r="T1" s="3586"/>
      <c r="U1" s="3586"/>
      <c r="V1" s="3586"/>
      <c r="W1" s="3586"/>
      <c r="X1" s="2892"/>
      <c r="Y1" s="3585" t="s">
        <v>457</v>
      </c>
      <c r="Z1" s="3586"/>
      <c r="AA1" s="3586"/>
      <c r="AB1" s="3586"/>
      <c r="AC1" s="3586"/>
      <c r="AD1" s="3586"/>
    </row>
    <row r="2" spans="1:30" s="2009" customFormat="1" ht="15" thickBot="1">
      <c r="B2" s="2877"/>
      <c r="C2" s="2878"/>
      <c r="D2" s="2010" t="s">
        <v>2808</v>
      </c>
      <c r="E2" s="2011" t="s">
        <v>2809</v>
      </c>
      <c r="F2" s="2011" t="s">
        <v>2810</v>
      </c>
      <c r="G2" s="2011" t="s">
        <v>2811</v>
      </c>
      <c r="H2" s="2011" t="s">
        <v>2812</v>
      </c>
      <c r="I2" s="2011" t="s">
        <v>2629</v>
      </c>
      <c r="J2" s="2879"/>
      <c r="K2" s="2010" t="s">
        <v>2808</v>
      </c>
      <c r="L2" s="2011" t="s">
        <v>2809</v>
      </c>
      <c r="M2" s="2011" t="s">
        <v>2810</v>
      </c>
      <c r="N2" s="2011" t="s">
        <v>2811</v>
      </c>
      <c r="O2" s="2011" t="s">
        <v>2813</v>
      </c>
      <c r="P2" s="2011" t="s">
        <v>2629</v>
      </c>
      <c r="Q2" s="2879"/>
      <c r="R2" s="2010" t="s">
        <v>2808</v>
      </c>
      <c r="S2" s="2011" t="s">
        <v>2809</v>
      </c>
      <c r="T2" s="2011" t="s">
        <v>2810</v>
      </c>
      <c r="U2" s="2011" t="s">
        <v>2814</v>
      </c>
      <c r="V2" s="2011" t="s">
        <v>2815</v>
      </c>
      <c r="W2" s="2011" t="s">
        <v>2629</v>
      </c>
      <c r="X2" s="2879"/>
      <c r="Y2" s="2010" t="s">
        <v>2808</v>
      </c>
      <c r="Z2" s="2011" t="s">
        <v>2809</v>
      </c>
      <c r="AA2" s="2011" t="s">
        <v>2810</v>
      </c>
      <c r="AB2" s="2011" t="s">
        <v>2816</v>
      </c>
      <c r="AC2" s="2011" t="s">
        <v>2815</v>
      </c>
      <c r="AD2" s="2011" t="s">
        <v>2629</v>
      </c>
    </row>
    <row r="3" spans="1:30" s="2882" customFormat="1" ht="13.2">
      <c r="A3" s="2880" t="s">
        <v>2817</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3374</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3383</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3382</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3375</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3373</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3369</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3368</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3366</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3365</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3364</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3362</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3353</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2818</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2819</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2820</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2821</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2822</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3381</v>
      </c>
    </row>
    <row r="24" spans="1:30">
      <c r="I24" s="1404" t="s">
        <v>2823</v>
      </c>
    </row>
    <row r="26" spans="1:30" s="2008" customFormat="1" ht="13.2">
      <c r="B26" s="2925" t="s">
        <v>3379</v>
      </c>
      <c r="C26" s="2926"/>
      <c r="D26" s="2926"/>
      <c r="E26" s="2926"/>
      <c r="F26" s="2926"/>
      <c r="G26" s="2926"/>
      <c r="H26" s="2926"/>
      <c r="I26" s="2926"/>
      <c r="J26" s="2892"/>
      <c r="K26" s="2926" t="s">
        <v>2824</v>
      </c>
      <c r="L26" s="2926"/>
      <c r="M26" s="2926"/>
      <c r="N26" s="2926"/>
      <c r="O26" s="2926"/>
      <c r="P26" s="2926"/>
      <c r="Q26" s="2892"/>
      <c r="R26" s="3585" t="s">
        <v>2825</v>
      </c>
      <c r="S26" s="3586"/>
      <c r="T26" s="3586"/>
      <c r="U26" s="3586"/>
      <c r="V26" s="3586"/>
      <c r="W26" s="3586"/>
      <c r="X26" s="2892"/>
      <c r="Y26" s="3585" t="s">
        <v>2826</v>
      </c>
      <c r="Z26" s="3586"/>
      <c r="AA26" s="3586"/>
      <c r="AB26" s="3586"/>
      <c r="AC26" s="3586"/>
      <c r="AD26" s="3586"/>
    </row>
    <row r="27" spans="1:30" s="2009" customFormat="1" ht="15" thickBot="1">
      <c r="B27" s="2877"/>
      <c r="C27" s="2878"/>
      <c r="D27" s="2010" t="s">
        <v>2827</v>
      </c>
      <c r="E27" s="2011" t="s">
        <v>2828</v>
      </c>
      <c r="F27" s="2011" t="s">
        <v>2829</v>
      </c>
      <c r="G27" s="2011" t="s">
        <v>2830</v>
      </c>
      <c r="H27" s="2011"/>
      <c r="I27" s="2011" t="s">
        <v>2831</v>
      </c>
      <c r="J27" s="2879"/>
      <c r="K27" s="2010" t="s">
        <v>2827</v>
      </c>
      <c r="L27" s="2011" t="s">
        <v>2828</v>
      </c>
      <c r="M27" s="2011" t="s">
        <v>2829</v>
      </c>
      <c r="N27" s="2011" t="s">
        <v>2830</v>
      </c>
      <c r="O27" s="2011"/>
      <c r="P27" s="2011" t="s">
        <v>2831</v>
      </c>
      <c r="Q27" s="2879"/>
      <c r="R27" s="2010" t="s">
        <v>2827</v>
      </c>
      <c r="S27" s="2011" t="s">
        <v>2828</v>
      </c>
      <c r="T27" s="2011" t="s">
        <v>2829</v>
      </c>
      <c r="U27" s="2011" t="s">
        <v>2830</v>
      </c>
      <c r="V27" s="2011"/>
      <c r="W27" s="2011" t="s">
        <v>2831</v>
      </c>
      <c r="X27" s="2879"/>
      <c r="Y27" s="2010" t="s">
        <v>2827</v>
      </c>
      <c r="Z27" s="2011" t="s">
        <v>2828</v>
      </c>
      <c r="AA27" s="2011" t="s">
        <v>2829</v>
      </c>
      <c r="AB27" s="2011" t="s">
        <v>2830</v>
      </c>
      <c r="AC27" s="2011"/>
      <c r="AD27" s="2011" t="s">
        <v>2831</v>
      </c>
    </row>
    <row r="28" spans="1:30" s="2882" customFormat="1" ht="13.2">
      <c r="A28" s="2880" t="s">
        <v>2832</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3374</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3376</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3371</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3377</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3372</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3370</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3368</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3367</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3365</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3364</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3363</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3353</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2833</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2834</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2835</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2836</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2822</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90" t="s">
        <v>452</v>
      </c>
      <c r="C1" s="3590"/>
      <c r="D1" s="3590"/>
      <c r="E1" s="3590"/>
      <c r="F1" s="3590"/>
      <c r="G1" s="3586" t="s">
        <v>453</v>
      </c>
      <c r="H1" s="3586"/>
      <c r="I1" s="3586"/>
      <c r="J1" s="3586"/>
      <c r="K1" s="3586"/>
      <c r="L1" s="3586"/>
      <c r="N1" s="3586" t="s">
        <v>454</v>
      </c>
      <c r="O1" s="3586"/>
      <c r="P1" s="3586"/>
      <c r="Q1" s="3586"/>
      <c r="S1" s="3586" t="s">
        <v>455</v>
      </c>
      <c r="T1" s="3586"/>
      <c r="U1" s="3586"/>
      <c r="V1" s="3586"/>
      <c r="X1" s="3585" t="s">
        <v>456</v>
      </c>
      <c r="Y1" s="3586"/>
      <c r="Z1" s="3586"/>
      <c r="AA1" s="3586"/>
      <c r="AB1" s="3586"/>
      <c r="AD1" s="3585" t="s">
        <v>457</v>
      </c>
      <c r="AE1" s="3586"/>
      <c r="AF1" s="3586"/>
      <c r="AG1" s="3586"/>
      <c r="AH1" s="358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8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8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8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9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9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8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8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9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9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8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8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8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8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8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8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8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8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8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8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8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9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9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9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9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8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8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8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8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8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8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8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8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8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8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8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8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8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8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8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8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8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8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8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8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8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8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8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8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8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8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8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8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8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8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8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8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8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8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8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8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8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8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8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8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8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8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8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8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45722</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69" t="s">
        <v>949</v>
      </c>
      <c r="B1" s="3269"/>
      <c r="C1" s="3269"/>
      <c r="D1" s="3269"/>
    </row>
    <row r="2" spans="1:4" ht="17.399999999999999">
      <c r="A2" s="3270" t="s">
        <v>933</v>
      </c>
      <c r="B2" s="3270"/>
      <c r="C2" s="3270"/>
      <c r="D2" s="3270"/>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70" t="s">
        <v>939</v>
      </c>
      <c r="B6" s="3270"/>
      <c r="C6" s="3270"/>
      <c r="D6" s="327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71" t="s">
        <v>942</v>
      </c>
      <c r="B11" s="3263"/>
      <c r="C11" s="3263"/>
      <c r="D11" s="3263"/>
    </row>
    <row r="12" spans="1:4" ht="15.6">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943</v>
      </c>
      <c r="B16" s="3265"/>
      <c r="C16" s="3265"/>
      <c r="D16" s="3265"/>
    </row>
    <row r="17" spans="1:4" ht="144" customHeight="1">
      <c r="A17" s="3265" t="s">
        <v>944</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945</v>
      </c>
      <c r="B22" s="3267"/>
      <c r="C22" s="3267"/>
      <c r="D22" s="326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77" t="s">
        <v>956</v>
      </c>
      <c r="B15" s="3272" t="s">
        <v>109</v>
      </c>
      <c r="C15" s="3273"/>
    </row>
    <row r="16" spans="1:7" ht="14.4">
      <c r="A16" s="3278"/>
      <c r="B16" s="3272" t="s">
        <v>42</v>
      </c>
      <c r="C16" s="3273"/>
    </row>
    <row r="17" spans="1:3" ht="14.4">
      <c r="A17" s="3278"/>
      <c r="B17" s="3275" t="s">
        <v>957</v>
      </c>
      <c r="C17" s="1428" t="s">
        <v>956</v>
      </c>
    </row>
    <row r="18" spans="1:3" ht="14.4">
      <c r="A18" s="3278"/>
      <c r="B18" s="3275"/>
      <c r="C18" s="1428" t="s">
        <v>958</v>
      </c>
    </row>
    <row r="19" spans="1:3" ht="14.4">
      <c r="A19" s="3278"/>
      <c r="B19" s="3275"/>
      <c r="C19" s="1428" t="s">
        <v>959</v>
      </c>
    </row>
    <row r="20" spans="1:3" ht="14.4">
      <c r="A20" s="3279"/>
      <c r="B20" s="3274" t="s">
        <v>960</v>
      </c>
      <c r="C20" s="3273"/>
    </row>
    <row r="21" spans="1:3" ht="14.4">
      <c r="A21" s="1429" t="s">
        <v>961</v>
      </c>
      <c r="B21" s="1430"/>
      <c r="C21" s="1431"/>
    </row>
    <row r="22" spans="1:3" ht="14.4">
      <c r="A22" s="3276" t="s">
        <v>962</v>
      </c>
      <c r="B22" s="3274" t="s">
        <v>963</v>
      </c>
      <c r="C22" s="3273"/>
    </row>
    <row r="23" spans="1:3" ht="14.4">
      <c r="A23" s="3276"/>
      <c r="B23" s="3274" t="s">
        <v>964</v>
      </c>
      <c r="C23" s="3273"/>
    </row>
    <row r="24" spans="1:3" ht="14.4">
      <c r="A24" s="3276"/>
      <c r="B24" s="3274" t="s">
        <v>965</v>
      </c>
      <c r="C24" s="3273"/>
    </row>
    <row r="25" spans="1:3" ht="14.4">
      <c r="A25" s="3276"/>
      <c r="B25" s="3275" t="s">
        <v>966</v>
      </c>
      <c r="C25" s="1428" t="s">
        <v>967</v>
      </c>
    </row>
    <row r="26" spans="1:3" ht="14.4">
      <c r="A26" s="3276"/>
      <c r="B26" s="3275"/>
      <c r="C26" s="1428" t="s">
        <v>968</v>
      </c>
    </row>
    <row r="27" spans="1:3" ht="14.4">
      <c r="A27" s="3276"/>
      <c r="B27" s="3275"/>
      <c r="C27" s="1428" t="s">
        <v>969</v>
      </c>
    </row>
    <row r="28" spans="1:3" ht="14.4">
      <c r="A28" s="3276"/>
      <c r="B28" s="3275"/>
      <c r="C28" s="1428" t="s">
        <v>970</v>
      </c>
    </row>
    <row r="29" spans="1:3" ht="14.4">
      <c r="A29" s="3276"/>
      <c r="B29" s="3275"/>
      <c r="C29" s="1428" t="s">
        <v>971</v>
      </c>
    </row>
    <row r="30" spans="1:3" ht="14.4">
      <c r="A30" s="3276"/>
      <c r="B30" s="3275"/>
      <c r="C30" s="1428" t="s">
        <v>972</v>
      </c>
    </row>
    <row r="31" spans="1:3" ht="14.4">
      <c r="A31" s="3276"/>
      <c r="B31" s="3275"/>
      <c r="C31" s="1428" t="s">
        <v>973</v>
      </c>
    </row>
    <row r="32" spans="1:3" ht="14.4">
      <c r="A32" s="3276"/>
      <c r="B32" s="3275"/>
      <c r="C32" s="1428" t="s">
        <v>974</v>
      </c>
    </row>
    <row r="33" spans="1:3" ht="14.4">
      <c r="A33" s="3276"/>
      <c r="B33" s="327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45726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0" t="s">
        <v>2160</v>
      </c>
      <c r="B17" s="3280"/>
      <c r="C17" s="3280"/>
      <c r="D17" s="3280"/>
      <c r="E17" s="3280"/>
      <c r="F17" s="3280"/>
      <c r="G17" s="3280"/>
      <c r="H17" s="3280"/>
    </row>
    <row r="18" spans="1:8" ht="24" customHeight="1">
      <c r="A18" s="3281" t="s">
        <v>2161</v>
      </c>
      <c r="B18" s="3281"/>
      <c r="C18" s="3281"/>
      <c r="D18" s="2159"/>
      <c r="E18" s="3282" t="s">
        <v>2162</v>
      </c>
      <c r="F18" s="3281"/>
      <c r="G18" s="328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180</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基准地价修正</vt:lpstr>
      <vt:lpstr>信息</vt:lpstr>
      <vt:lpstr>案例比较法</vt:lpstr>
      <vt:lpstr>租金案例</vt:lpstr>
      <vt:lpstr>租金台账</vt:lpstr>
      <vt:lpstr>比较法-办公-弃用56000</vt:lpstr>
      <vt:lpstr>比较法-办公弃用48740</vt:lpstr>
      <vt:lpstr>比较法大宗案例</vt:lpstr>
      <vt:lpstr>保利佲悦大都汇</vt:lpstr>
      <vt:lpstr>丰台金茂广场</vt:lpstr>
      <vt:lpstr>华樾北京</vt:lpstr>
      <vt:lpstr>新景家园</vt:lpstr>
      <vt:lpstr>成本法 (元)</vt:lpstr>
      <vt:lpstr>假设开发法</vt:lpstr>
      <vt:lpstr>大宗案例</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'比较法-办公弃用48740'!Print_Area</vt:lpstr>
      <vt:lpstr>'比较法-办公-弃用56000'!Print_Area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'比较法-办公弃用48740'!办公层高</vt:lpstr>
      <vt:lpstr>办公层高</vt:lpstr>
      <vt:lpstr>'比较法-办公'!办公朝向</vt:lpstr>
      <vt:lpstr>'比较法-办公弃用48740'!办公朝向</vt:lpstr>
      <vt:lpstr>办公朝向</vt:lpstr>
      <vt:lpstr>'比较法-办公'!办公道路级别</vt:lpstr>
      <vt:lpstr>'比较法-办公弃用48740'!办公道路级别</vt:lpstr>
      <vt:lpstr>办公道路级别</vt:lpstr>
      <vt:lpstr>'比较法-办公'!办公公共部分装修</vt:lpstr>
      <vt:lpstr>'比较法-办公弃用48740'!办公公共部分装修</vt:lpstr>
      <vt:lpstr>办公公共部分装修</vt:lpstr>
      <vt:lpstr>'比较法-办公'!办公基础设施水平</vt:lpstr>
      <vt:lpstr>'比较法-办公弃用48740'!办公基础设施水平</vt:lpstr>
      <vt:lpstr>办公基础设施水平</vt:lpstr>
      <vt:lpstr>办公集聚程度</vt:lpstr>
      <vt:lpstr>'比较法-办公'!办公建筑结构</vt:lpstr>
      <vt:lpstr>'比较法-办公弃用48740'!办公建筑结构</vt:lpstr>
      <vt:lpstr>办公建筑结构</vt:lpstr>
      <vt:lpstr>'比较法-办公'!办公建筑类型</vt:lpstr>
      <vt:lpstr>'比较法-办公弃用48740'!办公建筑类型</vt:lpstr>
      <vt:lpstr>办公建筑类型</vt:lpstr>
      <vt:lpstr>'比较法-办公'!办公交易情况</vt:lpstr>
      <vt:lpstr>'比较法-办公弃用48740'!办公交易情况</vt:lpstr>
      <vt:lpstr>办公交易情况</vt:lpstr>
      <vt:lpstr>'比较法-办公'!办公楼层</vt:lpstr>
      <vt:lpstr>'比较法-办公弃用48740'!办公楼层</vt:lpstr>
      <vt:lpstr>办公楼层</vt:lpstr>
      <vt:lpstr>'比较法-办公'!办公内部装修</vt:lpstr>
      <vt:lpstr>'比较法-办公弃用48740'!办公内部装修</vt:lpstr>
      <vt:lpstr>办公内部装修</vt:lpstr>
      <vt:lpstr>'比较法-办公'!办公物业管理</vt:lpstr>
      <vt:lpstr>'比较法-办公弃用48740'!办公物业管理</vt:lpstr>
      <vt:lpstr>办公物业管理</vt:lpstr>
      <vt:lpstr>'比较法-办公'!办公用途</vt:lpstr>
      <vt:lpstr>'比较法-办公弃用48740'!办公用途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'比较法-办公弃用48740'!写字楼等级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2025-03-10T06:08:55Z</dcterms:modified>
</cp:coreProperties>
</file>