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会所" sheetId="15" r:id="rId33"/>
    <sheet name="酒店收入计算" sheetId="57" state="hidden" r:id="rId34"/>
    <sheet name="成本逼近法" sheetId="11" state="hidden" r:id="rId35"/>
    <sheet name="不动产收益法车库"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6" i="71" l="1"/>
  <c r="C25" i="71"/>
  <c r="C24"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G4" i="71"/>
  <c r="AL16" i="3"/>
  <c r="BQ16" i="3"/>
  <c r="G2" i="71"/>
  <c r="AN16" i="3"/>
  <c r="BR16" i="3"/>
  <c r="BS16" i="3"/>
  <c r="BT16" i="3"/>
  <c r="BL16" i="3"/>
  <c r="AZ16" i="3"/>
  <c r="BB17" i="3"/>
  <c r="BC17" i="3"/>
  <c r="BD17" i="3"/>
  <c r="BE17" i="3"/>
  <c r="BF17" i="3"/>
  <c r="BG17" i="3"/>
  <c r="BH17" i="3"/>
  <c r="BI17" i="3"/>
  <c r="BJ17" i="3"/>
  <c r="BK17" i="3"/>
  <c r="BA17" i="3"/>
  <c r="G5" i="71"/>
  <c r="AD17" i="3"/>
  <c r="BM17" i="3"/>
  <c r="G3" i="71"/>
  <c r="AF17" i="3"/>
  <c r="BN17" i="3"/>
  <c r="G6" i="71"/>
  <c r="AH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I7" i="6"/>
  <c r="C13" i="39"/>
  <c r="C11" i="21"/>
  <c r="D69" i="21"/>
  <c r="E69" i="21"/>
  <c r="F69" i="21"/>
  <c r="F11" i="21"/>
  <c r="AA11" i="21"/>
  <c r="C33" i="21"/>
  <c r="F33" i="21"/>
  <c r="AA33"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F19" i="6"/>
  <c r="E19" i="6"/>
  <c r="D3" i="21"/>
  <c r="B2" i="21"/>
  <c r="C10" i="12"/>
  <c r="C8" i="12"/>
  <c r="G69" i="21"/>
  <c r="E3" i="6"/>
  <c r="D19" i="6"/>
  <c r="F20" i="6"/>
  <c r="E20" i="6"/>
  <c r="D20" i="6"/>
  <c r="G21" i="6"/>
  <c r="E21" i="6"/>
  <c r="D21" i="6"/>
  <c r="E22" i="6"/>
  <c r="D22" i="6"/>
  <c r="E23"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G1" i="72"/>
  <c r="F6" i="72"/>
  <c r="F8" i="72"/>
  <c r="K8" i="1"/>
  <c r="F7" i="72"/>
  <c r="F9" i="72"/>
  <c r="C6" i="72"/>
  <c r="C1" i="65"/>
  <c r="N1" i="65"/>
  <c r="N4" i="65"/>
  <c r="C4" i="65"/>
  <c r="B39" i="1"/>
  <c r="F11" i="72"/>
  <c r="C10" i="72"/>
  <c r="C5" i="72"/>
  <c r="B43" i="1"/>
  <c r="B41" i="1"/>
  <c r="F32" i="72"/>
  <c r="C32" i="72"/>
  <c r="F33" i="72"/>
  <c r="C33" i="72"/>
  <c r="L21" i="6"/>
  <c r="BA5" i="3"/>
  <c r="E27" i="6"/>
  <c r="K21" i="6"/>
  <c r="M21" i="6"/>
  <c r="I21" i="6"/>
  <c r="H21" i="6"/>
  <c r="R21" i="6"/>
  <c r="R8" i="1"/>
  <c r="F35" i="72"/>
  <c r="B52" i="1"/>
  <c r="F34" i="72"/>
  <c r="C34" i="72"/>
  <c r="C31" i="72"/>
  <c r="K14" i="1"/>
  <c r="M14" i="1"/>
  <c r="T4" i="1"/>
  <c r="S8" i="1"/>
  <c r="K19" i="6"/>
  <c r="S6" i="1"/>
  <c r="K20" i="6"/>
  <c r="S7" i="1"/>
  <c r="A9" i="1"/>
  <c r="S9" i="1"/>
  <c r="A10" i="1"/>
  <c r="S10" i="1"/>
  <c r="A11" i="1"/>
  <c r="S11" i="1"/>
  <c r="A12" i="1"/>
  <c r="S12" i="1"/>
  <c r="A13" i="1"/>
  <c r="S13" i="1"/>
  <c r="S16" i="1"/>
  <c r="T8" i="1"/>
  <c r="M8" i="1"/>
  <c r="C14" i="72"/>
  <c r="F15" i="72"/>
  <c r="C15" i="72"/>
  <c r="F16" i="72"/>
  <c r="C16" i="72"/>
  <c r="F43" i="72"/>
  <c r="F17" i="72"/>
  <c r="C17" i="72"/>
  <c r="F18" i="72"/>
  <c r="C18" i="72"/>
  <c r="C19" i="72"/>
  <c r="F20" i="72"/>
  <c r="C20" i="72"/>
  <c r="H1" i="65"/>
  <c r="I5" i="65"/>
  <c r="B22" i="1"/>
  <c r="C2" i="65"/>
  <c r="I6" i="65"/>
  <c r="I1" i="65"/>
  <c r="E2" i="65"/>
  <c r="B40" i="1"/>
  <c r="F24" i="72"/>
  <c r="F23" i="72"/>
  <c r="C23" i="72"/>
  <c r="F26" i="72"/>
  <c r="C26" i="72"/>
  <c r="F21" i="72"/>
  <c r="C24" i="72"/>
  <c r="C27" i="72"/>
  <c r="F28" i="72"/>
  <c r="C42" i="1"/>
  <c r="C28" i="72"/>
  <c r="C29" i="72"/>
  <c r="F36" i="72"/>
  <c r="C36" i="72"/>
  <c r="F13" i="72"/>
  <c r="C13" i="72"/>
  <c r="F37" i="72"/>
  <c r="C37" i="72"/>
  <c r="F38" i="72"/>
  <c r="C38" i="72"/>
  <c r="C30" i="72"/>
  <c r="C39" i="72"/>
  <c r="F42" i="72"/>
  <c r="F40" i="72"/>
  <c r="G19" i="4"/>
  <c r="F8" i="1"/>
  <c r="L48" i="72"/>
  <c r="M47" i="72"/>
  <c r="J50" i="72"/>
  <c r="J51" i="72"/>
  <c r="J53" i="72"/>
  <c r="F1" i="72"/>
  <c r="AE8" i="1"/>
  <c r="F41" i="72"/>
  <c r="C40" i="72"/>
  <c r="E10" i="12"/>
  <c r="C43" i="72"/>
  <c r="E8" i="12"/>
  <c r="G1" i="15"/>
  <c r="E19" i="4"/>
  <c r="F7" i="1"/>
  <c r="L48" i="15"/>
  <c r="M47" i="15"/>
  <c r="J50" i="15"/>
  <c r="J51" i="15"/>
  <c r="J53" i="15"/>
  <c r="F1" i="15"/>
  <c r="AE7" i="1"/>
  <c r="M6" i="72"/>
  <c r="M8" i="72"/>
  <c r="M7" i="72"/>
  <c r="M9" i="72"/>
  <c r="J6" i="72"/>
  <c r="M11" i="72"/>
  <c r="J10" i="72"/>
  <c r="J5" i="72"/>
  <c r="J26" i="72"/>
  <c r="J29" i="72"/>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B2" i="72"/>
  <c r="B3"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D10" i="12"/>
  <c r="C43" i="15"/>
  <c r="D8" i="12"/>
  <c r="D14" i="9"/>
  <c r="I40" i="39"/>
  <c r="G40" i="39"/>
  <c r="E40" i="39"/>
  <c r="G48" i="39"/>
  <c r="E48" i="39"/>
  <c r="I9" i="39"/>
  <c r="G9" i="39"/>
  <c r="E9" i="39"/>
  <c r="I7" i="39"/>
  <c r="G7" i="39"/>
  <c r="E7" i="3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M6" i="1"/>
  <c r="O6" i="1"/>
  <c r="P6" i="1"/>
  <c r="O8" i="1"/>
  <c r="P8" i="1"/>
  <c r="K9" i="1"/>
  <c r="M9" i="1"/>
  <c r="O9" i="1"/>
  <c r="P9" i="1"/>
  <c r="K10" i="1"/>
  <c r="M10" i="1"/>
  <c r="O10" i="1"/>
  <c r="P10" i="1"/>
  <c r="K11" i="1"/>
  <c r="M11" i="1"/>
  <c r="O11" i="1"/>
  <c r="P11" i="1"/>
  <c r="O12" i="1"/>
  <c r="P12" i="1"/>
  <c r="O13" i="1"/>
  <c r="P13" i="1"/>
  <c r="P16" i="1"/>
  <c r="C13" i="12"/>
  <c r="F14" i="12"/>
  <c r="C14" i="12"/>
  <c r="F15" i="12"/>
  <c r="C15" i="12"/>
  <c r="D16" i="12"/>
  <c r="E16" i="12"/>
  <c r="C16" i="12"/>
  <c r="F17" i="12"/>
  <c r="C17" i="12"/>
  <c r="C18"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R49" i="39"/>
  <c r="H12" i="39"/>
  <c r="AB12" i="39"/>
  <c r="H9" i="39"/>
  <c r="AB9" i="39"/>
  <c r="AB15" i="39"/>
  <c r="AB31" i="39"/>
  <c r="AB33" i="39"/>
  <c r="AB38" i="39"/>
  <c r="AB43" i="39"/>
  <c r="AB45" i="39"/>
  <c r="T49" i="39"/>
  <c r="J12" i="39"/>
  <c r="AC12" i="39"/>
  <c r="AC17" i="39"/>
  <c r="J9" i="39"/>
  <c r="AC9" i="39"/>
  <c r="AC19" i="39"/>
  <c r="AC21" i="39"/>
  <c r="J31" i="39"/>
  <c r="AC31" i="39"/>
  <c r="AC37" i="39"/>
  <c r="AC38" i="39"/>
  <c r="AC44" i="39"/>
  <c r="AC46"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D19" i="12"/>
  <c r="C19" i="12"/>
  <c r="E5" i="6"/>
  <c r="D21" i="12"/>
  <c r="C21" i="12"/>
  <c r="E6" i="6"/>
  <c r="D22" i="12"/>
  <c r="C22" i="12"/>
  <c r="C20" i="12"/>
  <c r="C23" i="12"/>
  <c r="C24" i="12"/>
  <c r="F26" i="12"/>
  <c r="C28" i="12"/>
  <c r="C26" i="12"/>
  <c r="F29" i="12"/>
  <c r="C29" i="12"/>
  <c r="C31" i="12"/>
  <c r="C30" i="12"/>
  <c r="Q16" i="1"/>
  <c r="F33" i="12"/>
  <c r="C35" i="12"/>
  <c r="C33" i="12"/>
  <c r="C25" i="12"/>
  <c r="C27" i="12"/>
  <c r="D26" i="12"/>
  <c r="C32" i="12"/>
  <c r="D30" i="12"/>
  <c r="C34" i="12"/>
  <c r="D33" i="12"/>
  <c r="C36" i="12"/>
  <c r="B2" i="12"/>
  <c r="D19" i="9"/>
  <c r="D18" i="9"/>
  <c r="G19" i="9"/>
  <c r="C24" i="9"/>
  <c r="C32" i="9"/>
  <c r="C42" i="9"/>
  <c r="D63" i="9"/>
  <c r="D73" i="9"/>
  <c r="N73"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K102" i="46"/>
  <c r="K103" i="46"/>
  <c r="K106" i="46"/>
  <c r="J102" i="46"/>
  <c r="J106" i="46"/>
  <c r="H7" i="37"/>
  <c r="Q62" i="44"/>
  <c r="Q76" i="44"/>
  <c r="J7" i="37"/>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U12" i="39"/>
  <c r="F12" i="40"/>
  <c r="AA12" i="40"/>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C34" i="9"/>
  <c r="C33" i="9"/>
  <c r="O43" i="9"/>
  <c r="C35" i="9"/>
  <c r="F42" i="9"/>
  <c r="C44" i="9"/>
  <c r="G14" i="66"/>
  <c r="B6" i="66"/>
  <c r="D14" i="66"/>
  <c r="F14" i="66"/>
  <c r="R5" i="54"/>
  <c r="B48" i="63"/>
  <c r="M38" i="9"/>
  <c r="K27" i="9"/>
  <c r="E42" i="9"/>
  <c r="N68"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<sst xmlns="http://schemas.openxmlformats.org/spreadsheetml/2006/main" count="7817" uniqueCount="3295">
  <si>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</si>
  <si>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</si>
  <si>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</si>
  <si>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</si>
  <si>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</si>
  <si>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</si>
  <si>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</si>
  <si>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</si>
  <si>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</si>
  <si>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</si>
  <si>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</si>
  <si>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</si>
  <si>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</si>
  <si>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</si>
  <si>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</si>
  <si>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</si>
  <si>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</si>
  <si>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</si>
  <si>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</si>
  <si>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</si>
  <si>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</si>
  <si>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</si>
  <si>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</si>
  <si>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</si>
  <si>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</si>
  <si>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</si>
  <si>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</si>
  <si>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</si>
  <si>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</si>
  <si>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</si>
  <si>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</si>
  <si>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</si>
  <si>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</si>
  <si>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</si>
  <si>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</si>
  <si>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</si>
  <si>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</si>
  <si>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</si>
  <si>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</si>
  <si>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</si>
  <si>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</si>
  <si>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</si>
  <si>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</si>
  <si>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</si>
  <si>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</si>
  <si>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</si>
  <si>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</si>
  <si>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</si>
  <si>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</si>
  <si>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</si>
  <si>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</si>
  <si>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</si>
  <si>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</si>
  <si>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</si>
  <si>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</si>
  <si>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</si>
  <si>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</si>
  <si>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</si>
  <si>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</si>
  <si>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</si>
  <si>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</si>
  <si>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</si>
  <si>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</si>
  <si>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</si>
  <si>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</si>
  <si>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</si>
  <si>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</si>
  <si>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</si>
  <si>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</si>
  <si>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</si>
  <si>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</si>
  <si>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</si>
  <si>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</si>
  <si>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</si>
  <si>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</si>
  <si>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</si>
  <si>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</si>
  <si>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</si>
  <si>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</si>
  <si>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</si>
  <si>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</si>
  <si>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</si>
  <si>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</si>
  <si>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</si>
  <si>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</si>
  <si>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</si>
  <si>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</si>
  <si>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</si>
  <si>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</si>
  <si>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</si>
  <si>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</si>
  <si>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</si>
  <si>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</si>
  <si>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</si>
  <si>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</si>
  <si>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</si>
  <si>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</si>
  <si>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</si>
  <si>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</si>
  <si>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</si>
  <si>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</si>
  <si>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</si>
  <si>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</si>
  <si>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</si>
  <si>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</si>
  <si>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</si>
  <si>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</si>
  <si>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</si>
  <si>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</si>
  <si>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</si>
  <si>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</si>
  <si>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</si>
  <si>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</si>
  <si>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</si>
  <si>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</si>
  <si>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</si>
  <si>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</si>
  <si>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</si>
  <si>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</si>
  <si>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</si>
  <si>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</si>
  <si>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</si>
  <si>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</si>
  <si>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</si>
  <si>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</si>
  <si>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</si>
  <si>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</si>
  <si>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</si>
  <si>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</si>
  <si>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</si>
  <si>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</si>
  <si>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</si>
  <si>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</si>
  <si>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</si>
  <si>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</si>
  <si>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</si>
  <si>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</si>
  <si>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</si>
  <si>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</si>
  <si>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</si>
  <si>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</si>
  <si>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</si>
  <si>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</si>
  <si>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</si>
  <si>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</si>
  <si>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</si>
  <si>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</si>
  <si>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</si>
  <si>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</si>
  <si>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</si>
  <si>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</si>
  <si>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</si>
  <si>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</si>
  <si>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</si>
  <si>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</si>
  <si>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</si>
  <si>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</si>
  <si>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</si>
  <si>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</si>
  <si>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</si>
  <si>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</si>
  <si>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</si>
  <si>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</si>
  <si>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</si>
  <si>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</si>
  <si>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</si>
  <si>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</si>
  <si>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</si>
  <si>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</si>
  <si>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</si>
  <si>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</si>
  <si>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</si>
  <si>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</si>
  <si>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</si>
  <si>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</si>
  <si>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</si>
  <si>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</si>
  <si>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</si>
  <si>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</si>
  <si>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</si>
  <si>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</si>
  <si>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</si>
  <si>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</si>
  <si>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</si>
  <si>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</si>
  <si>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</si>
  <si>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</si>
  <si>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</si>
  <si>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</si>
  <si>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</si>
  <si>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</si>
  <si>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</si>
  <si>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</si>
  <si>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</si>
  <si>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</si>
  <si>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</si>
  <si>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</si>
  <si>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</si>
  <si>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</si>
  <si>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</si>
  <si>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</si>
  <si>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</si>
  <si>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</si>
  <si>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</si>
  <si>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</si>
  <si>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</si>
  <si>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</si>
  <si>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</si>
  <si>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</si>
  <si>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</si>
  <si>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</si>
  <si>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</si>
  <si>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</si>
  <si>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</si>
  <si>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</si>
  <si>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</si>
  <si>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</si>
  <si>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</si>
  <si>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</si>
  <si>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</si>
  <si>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</si>
  <si>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</si>
  <si>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</si>
  <si>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</si>
  <si>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</si>
  <si>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</si>
  <si>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</si>
  <si>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</si>
  <si>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</si>
  <si>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</si>
  <si>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</si>
  <si>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</si>
  <si>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</si>
  <si>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</si>
  <si>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</si>
  <si>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</si>
  <si>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</si>
  <si>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</si>
  <si>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</si>
  <si>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</si>
  <si>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</si>
  <si>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</si>
  <si>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</si>
  <si>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</si>
  <si>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</si>
  <si>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</si>
  <si>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</si>
  <si>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</si>
  <si>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</si>
  <si>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</si>
  <si>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</si>
  <si>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</si>
  <si>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</si>
  <si>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</si>
  <si>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</si>
  <si>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</si>
  <si>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</si>
  <si>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</si>
  <si>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</si>
  <si>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</si>
  <si>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</si>
  <si>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</si>
  <si>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</si>
  <si>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</si>
  <si>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</si>
  <si>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</si>
  <si>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</si>
  <si>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</si>
  <si>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</si>
  <si>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</si>
  <si>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</si>
  <si>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</si>
  <si>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</si>
  <si>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</si>
  <si>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</si>
  <si>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</si>
  <si>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</si>
  <si>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</si>
  <si>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</si>
  <si>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</si>
  <si>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</si>
  <si>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</si>
  <si>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</si>
  <si>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</si>
  <si>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</si>
  <si>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</si>
  <si>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</si>
  <si>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</si>
  <si>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</si>
  <si>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</si>
  <si>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</si>
  <si>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</si>
  <si>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</si>
  <si>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</si>
  <si>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</si>
  <si>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</si>
  <si>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</si>
  <si>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</si>
  <si>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</si>
  <si>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</si>
  <si>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</si>
  <si>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</si>
  <si>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</si>
  <si>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</si>
  <si>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</si>
  <si>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</si>
  <si>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</si>
  <si>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</si>
  <si>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</si>
  <si>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</si>
  <si>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</si>
  <si>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</si>
  <si>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</si>
  <si>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</si>
  <si>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</si>
  <si>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</si>
  <si>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</si>
  <si>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</si>
  <si>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</si>
  <si>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</si>
  <si>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</si>
  <si>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</si>
  <si>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</si>
  <si>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</si>
  <si>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</si>
  <si>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</si>
  <si>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</si>
  <si>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</si>
  <si>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</si>
  <si>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</si>
  <si>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</si>
  <si>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</si>
  <si>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</si>
  <si>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</si>
  <si>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</si>
  <si>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</si>
  <si>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</si>
  <si>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</si>
  <si>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</si>
  <si>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</si>
  <si>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</si>
  <si>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</si>
  <si>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</si>
  <si>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</si>
  <si>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</si>
  <si>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</si>
  <si>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</si>
  <si>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</si>
  <si>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</si>
  <si>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</si>
  <si>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</si>
  <si>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</si>
  <si>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</si>
  <si>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</si>
  <si>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</si>
  <si>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</si>
  <si>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</si>
  <si>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</si>
  <si>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</si>
  <si>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</si>
  <si>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</si>
  <si>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</si>
  <si>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</si>
  <si>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</si>
  <si>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</si>
  <si>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</si>
  <si>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</si>
  <si>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</si>
  <si>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</si>
  <si>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</si>
  <si>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</si>
  <si>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</si>
  <si>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</si>
  <si>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</si>
  <si>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</si>
  <si>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</si>
  <si>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</si>
  <si>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</si>
  <si>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</si>
  <si>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</si>
  <si>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</si>
  <si>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</si>
  <si>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</si>
  <si>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</si>
  <si>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</si>
  <si>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</si>
  <si>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</si>
  <si>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</si>
  <si>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</si>
  <si>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</si>
  <si>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</si>
  <si>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</si>
  <si>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</si>
  <si>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</si>
  <si>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</si>
  <si>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</si>
  <si>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</si>
  <si>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</si>
  <si>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</si>
  <si>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</si>
  <si>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</si>
  <si>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</si>
  <si>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</si>
  <si>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</si>
  <si>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</si>
  <si>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</si>
  <si>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</si>
  <si>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</si>
  <si>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</si>
  <si>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</si>
  <si>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</si>
  <si>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</si>
  <si>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</si>
  <si>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</si>
  <si>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</si>
  <si>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</si>
  <si>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</si>
  <si>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</si>
  <si>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</si>
  <si>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</si>
  <si>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</si>
  <si>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</si>
  <si>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</si>
  <si>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</si>
  <si>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</si>
  <si>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</si>
  <si>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</si>
  <si>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</si>
  <si>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</si>
  <si>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</si>
  <si>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</si>
  <si>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</si>
  <si>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</si>
  <si>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</si>
  <si>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</si>
  <si>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</si>
  <si>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</si>
  <si>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</si>
  <si>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</si>
  <si>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</si>
  <si>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</si>
  <si>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</si>
  <si>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</si>
  <si>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</si>
  <si>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</si>
  <si>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</si>
  <si>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</si>
  <si>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</si>
  <si>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</si>
  <si>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</si>
  <si>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</si>
  <si>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</si>
  <si>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</si>
  <si>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</si>
  <si>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</si>
  <si>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</si>
  <si>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</si>
  <si>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</si>
  <si>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</si>
  <si>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</si>
  <si>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</si>
  <si>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</si>
  <si>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</si>
  <si>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</si>
  <si>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</si>
  <si>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</si>
  <si>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</si>
  <si>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</si>
  <si>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</si>
  <si>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</si>
  <si>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</si>
  <si>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</si>
  <si>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</si>
  <si>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</si>
  <si>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</si>
  <si>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</si>
  <si>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</si>
  <si>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</si>
  <si>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</si>
  <si>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</si>
  <si>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</si>
  <si>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</si>
  <si>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</si>
  <si>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</si>
  <si>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</si>
  <si>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</si>
  <si>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</si>
  <si>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</si>
  <si>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</si>
  <si>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</si>
  <si>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</si>
  <si>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</si>
  <si>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</si>
  <si>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</si>
  <si>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</si>
  <si>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</si>
  <si>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</si>
  <si>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</si>
  <si>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</si>
  <si>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</si>
  <si>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</si>
  <si>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</si>
  <si>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</si>
  <si>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</si>
  <si>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</si>
  <si>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</si>
  <si>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</si>
  <si>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</si>
  <si>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</si>
  <si>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</si>
  <si>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</si>
  <si>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</si>
  <si>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</si>
  <si>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</si>
  <si>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</si>
  <si>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</si>
  <si>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</si>
  <si>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</si>
  <si>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</si>
  <si>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</si>
  <si>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</si>
  <si>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</si>
  <si>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</si>
  <si>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</si>
  <si>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</si>
  <si>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</si>
  <si>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</si>
  <si>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</si>
  <si>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</si>
  <si>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</si>
  <si>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</si>
  <si>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</si>
  <si>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</si>
  <si>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</si>
  <si>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</si>
  <si>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</si>
  <si>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</si>
  <si>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</si>
  <si>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</si>
  <si>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</si>
  <si>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</si>
  <si>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</si>
  <si>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</si>
  <si>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</si>
  <si>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</si>
  <si>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</si>
  <si>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</si>
  <si>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</si>
  <si>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</si>
  <si>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</si>
  <si>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</si>
  <si>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</si>
  <si>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</si>
  <si>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</si>
  <si>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</si>
  <si>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</si>
  <si>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</si>
  <si>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</si>
  <si>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</si>
  <si>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</si>
  <si>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</si>
  <si>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</si>
  <si>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</si>
  <si>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</si>
  <si>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</si>
  <si>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</si>
  <si>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</si>
  <si>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</si>
  <si>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</si>
  <si>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</si>
  <si>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</si>
  <si>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</si>
  <si>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</si>
  <si>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</si>
  <si>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</si>
  <si>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</si>
  <si>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</si>
  <si>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</si>
  <si>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</si>
  <si>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</si>
  <si>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</si>
  <si>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</si>
  <si>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</si>
  <si>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</si>
  <si>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</si>
  <si>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</si>
  <si>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</si>
  <si>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</si>
  <si>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</si>
  <si>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</si>
  <si>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</si>
  <si>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</si>
  <si>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</si>
  <si>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</si>
  <si>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</si>
  <si>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</si>
  <si>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</si>
  <si>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</si>
  <si>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</si>
  <si>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</si>
  <si>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</si>
  <si>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</si>
  <si>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</si>
  <si>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</si>
  <si>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</si>
  <si>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</si>
  <si>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</si>
  <si>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</si>
  <si>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</si>
  <si>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</si>
  <si>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</si>
  <si>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</si>
  <si>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</si>
  <si>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</si>
  <si>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</si>
  <si>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</si>
  <si>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</si>
  <si>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</si>
  <si>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</si>
  <si>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</si>
  <si>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</si>
  <si>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</si>
  <si>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</si>
  <si>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</si>
  <si>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</si>
  <si>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</si>
  <si>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</si>
  <si>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</si>
  <si>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</si>
  <si>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</si>
  <si>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</si>
  <si>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</si>
  <si>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</si>
  <si>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</si>
  <si>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</si>
  <si>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</si>
  <si>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</si>
  <si>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</si>
  <si>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</si>
  <si>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</si>
  <si>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</si>
  <si>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</si>
  <si>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</si>
  <si>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</si>
  <si>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</si>
  <si>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</si>
  <si>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</si>
  <si>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</si>
  <si>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</si>
  <si>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</si>
  <si>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</si>
  <si>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</si>
  <si>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</si>
  <si>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</si>
  <si>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</si>
  <si>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</si>
  <si>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</si>
  <si>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</si>
  <si>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</si>
  <si>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</si>
  <si>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</si>
  <si>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</si>
  <si>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</si>
  <si>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</si>
  <si>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</si>
  <si>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</si>
  <si>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</si>
  <si>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</si>
  <si>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</si>
  <si>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</si>
  <si>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</si>
  <si>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</si>
  <si>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</si>
  <si>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</si>
  <si>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</si>
  <si>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</si>
  <si>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</si>
  <si>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</si>
  <si>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</si>
  <si>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</si>
  <si>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</si>
  <si>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</si>
  <si>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</si>
  <si>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</si>
  <si>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</si>
  <si>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</si>
  <si>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</si>
  <si>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</si>
  <si>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</si>
  <si>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</si>
  <si>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</si>
  <si>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</si>
  <si>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</si>
  <si>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</si>
  <si>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</si>
  <si>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</si>
  <si>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</si>
  <si>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</si>
  <si>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</si>
  <si>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</si>
  <si>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</si>
  <si>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</si>
  <si>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</si>
  <si>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</si>
  <si>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</si>
  <si>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</si>
  <si>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</si>
  <si>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</si>
  <si>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</si>
  <si>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</si>
  <si>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</si>
  <si>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</si>
  <si>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</si>
  <si>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</si>
  <si>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</si>
  <si>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</si>
  <si>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</si>
  <si>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</si>
  <si>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</si>
  <si>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</si>
  <si>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</si>
  <si>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</si>
  <si>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</si>
  <si>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</si>
  <si>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</si>
  <si>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</si>
  <si>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</si>
  <si>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</si>
  <si>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</si>
  <si>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</si>
  <si>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</si>
  <si>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</si>
  <si>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</si>
  <si>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</si>
  <si>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</si>
  <si>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</si>
  <si>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</si>
  <si>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</si>
  <si>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</si>
  <si>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</si>
  <si>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</si>
  <si>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</si>
  <si>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</si>
  <si>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</si>
  <si>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</si>
  <si>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</si>
  <si>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</si>
  <si>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</si>
  <si>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</si>
  <si>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</si>
  <si>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</si>
  <si>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</si>
  <si>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</si>
  <si>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</si>
  <si>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</si>
  <si>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</si>
  <si>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</si>
  <si>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</si>
  <si>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</si>
  <si>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</si>
  <si>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</si>
  <si>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</si>
  <si>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</si>
  <si>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</si>
  <si>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</si>
  <si>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</si>
  <si>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</si>
  <si>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</si>
  <si>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</si>
  <si>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</si>
  <si>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</si>
  <si>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</si>
  <si>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</si>
  <si>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</si>
  <si>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</si>
  <si>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</si>
  <si>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</si>
  <si>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</si>
  <si>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</si>
  <si>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</si>
  <si>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</si>
  <si>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</si>
  <si>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</si>
  <si>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</si>
  <si>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</si>
  <si>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</si>
  <si>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</si>
  <si>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</si>
  <si>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</si>
  <si>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</si>
  <si>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</si>
  <si>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</si>
  <si>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</si>
  <si>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</si>
  <si>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</si>
  <si>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</si>
  <si>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</si>
  <si>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</si>
  <si>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</si>
  <si>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</si>
  <si>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</si>
  <si>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</si>
  <si>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</si>
  <si>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</si>
  <si>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</si>
  <si>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</si>
  <si>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</si>
  <si>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</si>
  <si>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</si>
  <si>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</si>
  <si>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</si>
  <si>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</si>
  <si>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</si>
  <si>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</si>
  <si>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</si>
  <si>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</si>
  <si>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</si>
  <si>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</si>
  <si>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</si>
  <si>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</si>
  <si>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</si>
  <si>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</si>
  <si>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</si>
  <si>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</si>
  <si>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</si>
  <si>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</si>
  <si>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</si>
  <si>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</si>
  <si>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</si>
  <si>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</si>
  <si>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</si>
  <si>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</si>
  <si>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</si>
  <si>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</si>
  <si>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</si>
  <si>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</si>
  <si>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</si>
  <si>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</si>
  <si>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</si>
  <si>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</si>
  <si>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</si>
  <si>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</si>
  <si>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</si>
  <si>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</si>
  <si>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</si>
  <si>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</si>
  <si>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</si>
  <si>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</si>
  <si>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</si>
  <si>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</si>
  <si>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</si>
  <si>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</si>
  <si>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</si>
  <si>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</si>
  <si>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</si>
  <si>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</si>
  <si>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</si>
  <si>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</si>
  <si>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</si>
  <si>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</si>
  <si>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</si>
  <si>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</si>
  <si>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</si>
  <si>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</si>
  <si>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</si>
  <si>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</si>
  <si>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</si>
  <si>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</si>
  <si>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</si>
  <si>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</si>
  <si>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</si>
  <si>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</si>
  <si>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</si>
  <si>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</si>
  <si>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</si>
  <si>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</si>
  <si>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</si>
  <si>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</si>
  <si>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</si>
  <si>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</si>
  <si>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</si>
  <si>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</si>
  <si>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</si>
  <si>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</si>
  <si>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</si>
  <si>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</si>
  <si>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</si>
  <si>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</si>
  <si>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</si>
  <si>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</si>
  <si>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</si>
  <si>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</si>
  <si>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</si>
  <si>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</si>
  <si>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</si>
  <si>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</si>
  <si>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</si>
  <si>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</si>
  <si>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</si>
  <si>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</si>
  <si>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</si>
  <si>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</si>
  <si>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</si>
  <si>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</si>
  <si>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</si>
  <si>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</si>
  <si>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</si>
  <si>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</si>
  <si>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</si>
  <si>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</si>
  <si>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</si>
  <si>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</si>
  <si>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</si>
  <si>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</si>
  <si>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</si>
  <si>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</si>
  <si>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</si>
  <si>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</si>
  <si>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</si>
  <si>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</si>
  <si>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</si>
  <si>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</si>
  <si>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</si>
  <si>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</si>
  <si>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</si>
  <si>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</si>
  <si>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</si>
  <si>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</si>
  <si>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</si>
  <si>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</si>
  <si>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</si>
  <si>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</si>
  <si>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</si>
  <si>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</si>
  <si>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</si>
  <si>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</si>
  <si>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</si>
  <si>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</si>
  <si>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</si>
  <si>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</si>
  <si>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</si>
  <si>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</si>
  <si>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</si>
  <si>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</si>
  <si>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</si>
  <si>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</si>
  <si>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</si>
  <si>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</si>
  <si>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</si>
  <si>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</si>
  <si>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</si>
  <si>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</si>
  <si>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</si>
  <si>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</si>
  <si>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</si>
  <si>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</si>
  <si>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</si>
  <si>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</si>
  <si>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</si>
  <si>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</si>
  <si>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</si>
  <si>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</si>
  <si>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</si>
  <si>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</si>
  <si>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</si>
  <si>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</si>
  <si>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</si>
  <si>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</si>
  <si>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</si>
  <si>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</si>
  <si>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</si>
  <si>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</si>
  <si>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</si>
  <si>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</si>
  <si>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</si>
  <si>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</si>
  <si>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</si>
  <si>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</si>
  <si>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</si>
  <si>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</si>
  <si>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</si>
  <si>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</si>
  <si>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</si>
  <si>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</si>
  <si>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</si>
  <si>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</si>
  <si>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</si>
  <si>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</si>
  <si>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</si>
  <si>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</si>
  <si>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</si>
  <si>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</si>
  <si>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</si>
  <si>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</si>
  <si>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</si>
  <si>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</si>
  <si>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</si>
  <si>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</si>
  <si>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</si>
  <si>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</si>
  <si>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</si>
  <si>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</si>
  <si>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</si>
  <si>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</si>
  <si>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</si>
  <si>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</si>
  <si>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</si>
  <si>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</si>
  <si>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</si>
  <si>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</si>
  <si>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</si>
  <si>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</si>
  <si>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</si>
  <si>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</si>
  <si>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</si>
  <si>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</si>
  <si>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</si>
  <si>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</si>
  <si>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</si>
  <si>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</si>
  <si>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</si>
  <si>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</si>
  <si>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</si>
  <si>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</si>
  <si>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</si>
  <si>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</si>
  <si>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</si>
  <si>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</si>
  <si>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</si>
  <si>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</si>
  <si>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</si>
  <si>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</si>
  <si>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</si>
  <si>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</si>
  <si>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</si>
  <si>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</si>
  <si>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</si>
  <si>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</si>
  <si>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</si>
  <si>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</si>
  <si>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</si>
  <si>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</si>
  <si>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</si>
  <si>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</si>
  <si>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</si>
  <si>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</si>
  <si>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</si>
  <si>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</si>
  <si>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</si>
  <si>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</si>
  <si>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</si>
  <si>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</si>
  <si>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</si>
  <si>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</si>
  <si>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</si>
  <si>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</si>
  <si>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</si>
  <si>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</si>
  <si>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</si>
  <si>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</si>
  <si>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</si>
  <si>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</si>
  <si>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</si>
  <si>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</si>
  <si>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</si>
  <si>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</si>
  <si>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</si>
  <si>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</si>
  <si>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</si>
  <si>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</si>
  <si>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</si>
  <si>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</si>
  <si>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</si>
  <si>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</si>
  <si>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</si>
  <si>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</si>
  <si>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</si>
  <si>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</si>
  <si>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</si>
  <si>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</si>
  <si>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</si>
  <si>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</si>
  <si>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</si>
  <si>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</si>
  <si>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</si>
  <si>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</si>
  <si>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</si>
  <si>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</si>
  <si>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</si>
  <si>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</si>
  <si>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</si>
  <si>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</si>
  <si>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</si>
  <si>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</si>
  <si>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</si>
  <si>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</si>
  <si>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</si>
  <si>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</si>
  <si>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</si>
  <si>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</si>
  <si>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</si>
  <si>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</si>
  <si>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</si>
  <si>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</si>
  <si>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</si>
  <si>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</si>
  <si>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</si>
  <si>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</si>
  <si>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</si>
  <si>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</si>
  <si>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</si>
  <si>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</si>
  <si>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</si>
  <si>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</si>
  <si>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</si>
  <si>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</si>
  <si>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</si>
  <si>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</si>
  <si>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</si>
  <si>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</si>
  <si>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</si>
  <si>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</si>
  <si>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</si>
  <si>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</si>
  <si>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</si>
  <si>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</si>
  <si>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</si>
  <si>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</si>
  <si>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</si>
  <si>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</si>
  <si>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</si>
  <si>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</si>
  <si>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</si>
  <si>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</si>
  <si>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</si>
  <si>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</si>
  <si>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</si>
  <si>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</si>
  <si>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</si>
  <si>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</si>
  <si>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</si>
  <si>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</si>
  <si>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</si>
  <si>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</si>
  <si>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</si>
  <si>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</si>
  <si>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</si>
  <si>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</si>
  <si>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</si>
  <si>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</si>
  <si>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</si>
  <si>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</si>
  <si>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</si>
  <si>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</si>
  <si>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</si>
  <si>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</si>
  <si>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</si>
  <si>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</si>
  <si>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</si>
  <si>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</si>
  <si>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</si>
  <si>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</si>
  <si>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</si>
  <si>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</si>
  <si>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</si>
  <si>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</si>
  <si>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</si>
  <si>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</si>
  <si>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</si>
  <si>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</si>
  <si>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</si>
  <si>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</si>
  <si>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</si>
  <si>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</si>
  <si>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</si>
  <si>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</si>
  <si>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</si>
  <si>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</si>
  <si>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</si>
  <si>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</si>
  <si>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</si>
  <si>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</si>
  <si>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</si>
  <si>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</si>
  <si>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</si>
  <si>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</si>
  <si>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</si>
  <si>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</si>
  <si>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</si>
  <si>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</si>
  <si>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</si>
  <si>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</si>
  <si>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</si>
  <si>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</si>
  <si>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</si>
  <si>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</si>
  <si>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</si>
  <si>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</si>
  <si>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</si>
  <si>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</si>
  <si>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</si>
  <si>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</si>
  <si>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</si>
  <si>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</si>
  <si>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</si>
  <si>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</si>
  <si>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</si>
  <si>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</si>
  <si>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</si>
  <si>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</si>
  <si>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</si>
  <si>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</si>
  <si>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</si>
  <si>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</si>
  <si>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</si>
  <si>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</si>
  <si>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</si>
  <si>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</si>
  <si>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</si>
  <si>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</si>
  <si>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</si>
  <si>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</si>
  <si>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</si>
  <si>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</si>
  <si>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</si>
  <si>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</si>
  <si>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</si>
  <si>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</si>
  <si>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</si>
  <si>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</si>
  <si>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</si>
  <si>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</si>
  <si>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</si>
  <si>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</si>
  <si>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</si>
  <si>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</si>
  <si>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</si>
  <si>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</si>
  <si>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</si>
  <si>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</si>
  <si>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</si>
  <si>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</si>
  <si>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</si>
  <si>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</si>
  <si>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</si>
  <si>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</si>
  <si>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</si>
  <si>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</si>
  <si>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</si>
  <si>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</si>
  <si>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</si>
  <si>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</si>
  <si>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</si>
  <si>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</si>
  <si>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</si>
  <si>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</si>
  <si>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</si>
  <si>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</si>
  <si>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</si>
  <si>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</si>
  <si>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</si>
  <si>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</si>
  <si>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</si>
  <si>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</si>
  <si>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</si>
  <si>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</si>
  <si>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</si>
  <si>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</si>
  <si>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</si>
  <si>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</si>
  <si>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</si>
  <si>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</si>
  <si>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</si>
  <si>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</si>
  <si>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</si>
  <si>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</si>
  <si>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</si>
  <si>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</si>
  <si>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</si>
  <si>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</si>
  <si>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</si>
  <si>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</si>
  <si>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</si>
  <si>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</si>
  <si>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</si>
  <si>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</si>
  <si>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</si>
  <si>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</si>
  <si>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</si>
  <si>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</si>
  <si>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</si>
  <si>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</si>
  <si>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</si>
  <si>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</si>
  <si>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</si>
  <si>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</si>
  <si>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</si>
  <si>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</si>
  <si>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</si>
  <si>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</si>
  <si>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</si>
  <si>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</si>
  <si>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</si>
  <si>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</si>
  <si>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</si>
  <si>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</si>
  <si>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</si>
  <si>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</si>
  <si>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</si>
  <si>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</si>
  <si>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</si>
  <si>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</si>
  <si>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</si>
  <si>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</si>
  <si>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</si>
  <si>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</si>
  <si>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</si>
  <si>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</si>
  <si>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</si>
  <si>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</si>
  <si>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</si>
  <si>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</si>
  <si>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</si>
  <si>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</si>
  <si>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</si>
  <si>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</si>
  <si>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</si>
  <si>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</si>
  <si>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</si>
  <si>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</si>
  <si>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</si>
  <si>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</si>
  <si>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</si>
  <si>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</si>
  <si>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</si>
  <si>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</si>
  <si>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</si>
  <si>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</si>
  <si>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</si>
  <si>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</si>
  <si>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</si>
  <si>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</si>
  <si>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</si>
  <si>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</si>
  <si>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</si>
  <si>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</si>
  <si>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</si>
  <si>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</si>
  <si>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</si>
  <si>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</si>
  <si>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</si>
  <si>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</si>
  <si>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</si>
  <si>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</si>
  <si>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</si>
  <si>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</si>
  <si>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</si>
  <si>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</si>
  <si>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</si>
  <si>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</si>
  <si>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</si>
  <si>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</si>
  <si>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</si>
  <si>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</si>
  <si>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</si>
  <si>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</si>
  <si>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</si>
  <si>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</si>
  <si>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</si>
  <si>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</si>
  <si>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</si>
  <si>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</si>
  <si>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</si>
  <si>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</si>
  <si>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</si>
  <si>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</si>
  <si>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</si>
  <si>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</si>
  <si>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</si>
  <si>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</si>
  <si>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</si>
  <si>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</si>
  <si>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</si>
  <si>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</si>
  <si>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</si>
  <si>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</si>
  <si>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</si>
  <si>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</si>
  <si>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</si>
  <si>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</si>
  <si>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</si>
  <si>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</si>
  <si>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</si>
  <si>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</si>
  <si>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</si>
  <si>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</si>
  <si>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</si>
  <si>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</si>
  <si>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</si>
  <si>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</si>
  <si>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</si>
  <si>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</si>
  <si>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</si>
  <si>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</si>
  <si>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</si>
  <si>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</si>
  <si>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</si>
  <si>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</si>
  <si>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</si>
  <si>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</si>
  <si>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</si>
  <si>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</si>
  <si>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</si>
  <si>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</si>
  <si>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</si>
  <si>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</si>
  <si>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</si>
  <si>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</si>
  <si>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</si>
  <si>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</si>
  <si>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</si>
  <si>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</si>
  <si>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</si>
  <si>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</si>
  <si>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</si>
  <si>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</si>
  <si>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</si>
  <si>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</si>
  <si>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</si>
  <si>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</si>
  <si>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</si>
  <si>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</si>
  <si>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</si>
  <si>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</si>
  <si>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</si>
  <si>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</si>
  <si>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</si>
  <si>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</si>
  <si>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</si>
  <si>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</si>
  <si>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</si>
  <si>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</si>
  <si>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</si>
  <si>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</si>
  <si>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</si>
  <si>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</si>
  <si>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</si>
  <si>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</si>
  <si>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</si>
  <si>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</si>
  <si>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</si>
  <si>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</si>
  <si>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</si>
  <si>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</si>
  <si>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</si>
  <si>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</si>
  <si>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</si>
  <si>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</si>
  <si>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</si>
  <si>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</si>
  <si>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</si>
  <si>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</si>
  <si>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</si>
  <si>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</si>
  <si>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</si>
  <si>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</si>
  <si>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</si>
  <si>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</si>
  <si>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</si>
  <si>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</si>
  <si>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</si>
  <si>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</si>
  <si>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</si>
  <si>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</si>
  <si>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</si>
  <si>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</si>
  <si>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</si>
  <si>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</si>
  <si>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</si>
  <si>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</si>
  <si>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</si>
  <si>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</si>
  <si>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</si>
  <si>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</si>
  <si>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</si>
  <si>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</si>
  <si>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</si>
  <si>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</si>
  <si>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</si>
  <si>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</si>
  <si>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</si>
  <si>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</si>
  <si>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</si>
  <si>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</si>
  <si>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</si>
  <si>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</si>
  <si>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</si>
  <si>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</si>
  <si>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</si>
  <si>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</si>
  <si>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</si>
  <si>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</si>
  <si>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</si>
  <si>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</si>
  <si>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</si>
  <si>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</si>
  <si>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</si>
  <si>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</si>
  <si>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</si>
  <si>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</si>
  <si>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</si>
  <si>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</si>
  <si>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</si>
  <si>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</si>
  <si>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</si>
  <si>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</si>
  <si>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</si>
  <si>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</si>
  <si>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</si>
  <si>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</si>
  <si>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</si>
  <si>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</si>
  <si>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</si>
  <si>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</si>
  <si>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</si>
  <si>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</si>
  <si>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</si>
  <si>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</si>
  <si>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</si>
  <si>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</si>
  <si>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</si>
  <si>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</si>
  <si>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</si>
  <si>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</si>
  <si>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</si>
  <si>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</si>
  <si>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</si>
  <si>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</si>
  <si>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</si>
  <si>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</si>
  <si>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</si>
  <si>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</si>
  <si>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</si>
  <si>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</si>
  <si>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</si>
  <si>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</si>
  <si>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</si>
  <si>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</si>
  <si>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</si>
  <si>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</si>
  <si>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</si>
  <si>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</si>
  <si>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</si>
  <si>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</si>
  <si>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</si>
  <si>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</si>
  <si>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</si>
  <si>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</si>
  <si>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</si>
  <si>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</si>
  <si>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</si>
  <si>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</si>
  <si>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</si>
  <si>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</si>
  <si>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</si>
  <si>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</si>
  <si>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</si>
  <si>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</si>
  <si>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</si>
  <si>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</si>
  <si>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</si>
  <si>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</si>
  <si>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</si>
  <si>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</si>
  <si>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</si>
  <si>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</si>
  <si>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</si>
  <si>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</si>
  <si>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</si>
  <si>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</si>
  <si>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</si>
  <si>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</si>
  <si>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</si>
  <si>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</si>
  <si>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</si>
  <si>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</si>
  <si>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</si>
  <si>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</si>
  <si>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</si>
  <si>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</si>
  <si>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</si>
  <si>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</si>
  <si>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</si>
  <si>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</si>
  <si>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</si>
  <si>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</si>
  <si>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</si>
  <si>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</si>
  <si>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</si>
  <si>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</si>
  <si>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</si>
  <si>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</si>
  <si>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</si>
  <si>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</si>
  <si>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</si>
  <si>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</si>
  <si>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</si>
  <si>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</si>
  <si>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</si>
  <si>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</si>
  <si>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</si>
  <si>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</si>
  <si>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</si>
  <si>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</si>
  <si>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</si>
  <si>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</si>
  <si>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</si>
  <si>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</si>
  <si>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</si>
  <si>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</si>
  <si>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</si>
  <si>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</si>
  <si>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</si>
  <si>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</si>
  <si>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</si>
  <si>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</si>
  <si>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</si>
  <si>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</si>
  <si>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</si>
  <si>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</si>
  <si>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</si>
  <si>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</si>
  <si>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</si>
  <si>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</si>
  <si>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</si>
  <si>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</si>
  <si>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</si>
  <si>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</si>
  <si>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</si>
  <si>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</si>
  <si>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</si>
  <si>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</si>
  <si>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</si>
  <si>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</si>
  <si>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</si>
  <si>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</si>
  <si>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</si>
  <si>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</si>
  <si>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</si>
  <si>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</si>
  <si>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</si>
  <si>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</si>
  <si>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</si>
  <si>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</si>
  <si>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</si>
  <si>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</si>
  <si>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</si>
  <si>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</si>
  <si>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</si>
  <si>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</si>
  <si>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</si>
  <si>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</si>
  <si>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</si>
  <si>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</si>
  <si>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</si>
  <si>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</si>
  <si>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</si>
  <si>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</si>
  <si>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</si>
  <si>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</si>
  <si>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</si>
  <si>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</si>
  <si>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</si>
  <si>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</si>
  <si>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</si>
  <si>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</si>
  <si>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</si>
  <si>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</si>
  <si>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</si>
  <si>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</si>
  <si>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</si>
  <si>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</si>
  <si>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</si>
  <si>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</si>
  <si>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</si>
  <si>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</si>
  <si>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</si>
  <si>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</si>
  <si>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</si>
  <si>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</si>
  <si>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</si>
  <si>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</si>
  <si>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</si>
  <si>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</si>
  <si>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</si>
  <si>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</si>
  <si>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</si>
  <si>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</si>
  <si>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</si>
  <si>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</si>
  <si>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</si>
  <si>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</si>
  <si>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</si>
  <si>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</si>
  <si>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</si>
  <si>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</si>
  <si>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</si>
  <si>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</si>
  <si>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</si>
  <si>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</si>
  <si>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</si>
  <si>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</si>
  <si>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</si>
  <si>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</si>
  <si>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</si>
  <si>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</si>
  <si>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</si>
  <si>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</si>
  <si>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</si>
  <si>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</si>
  <si>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</si>
  <si>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</si>
  <si>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</si>
  <si>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</si>
  <si>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</si>
  <si>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</si>
  <si>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</si>
  <si>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</si>
  <si>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</si>
  <si>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</si>
  <si>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</si>
  <si>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</si>
  <si>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</si>
  <si>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</si>
  <si>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</si>
  <si>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</si>
  <si>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</si>
  <si>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</si>
  <si>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</si>
  <si>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</si>
  <si>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</si>
  <si>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</si>
  <si>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</si>
  <si>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</si>
  <si>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</si>
  <si>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</si>
  <si>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</si>
  <si>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</si>
  <si>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</si>
  <si>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</si>
  <si>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</si>
  <si>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</si>
  <si>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</si>
  <si>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</si>
  <si>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</si>
  <si>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</si>
  <si>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</si>
  <si>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</si>
  <si>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</si>
  <si>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</si>
  <si>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</si>
  <si>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</si>
  <si>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</si>
  <si>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</si>
  <si>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</si>
  <si>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</si>
  <si>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</si>
  <si>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</si>
  <si>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</si>
  <si>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</si>
  <si>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</si>
  <si>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</si>
  <si>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</si>
  <si>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</si>
  <si>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</si>
  <si>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</si>
  <si>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</si>
  <si>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</si>
  <si>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</si>
  <si>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</si>
  <si>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</si>
  <si>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</si>
  <si>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</si>
  <si>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</si>
  <si>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</si>
  <si>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</si>
  <si>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</si>
  <si>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</si>
  <si>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</si>
  <si>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</si>
  <si>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</si>
  <si>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</si>
  <si>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</si>
  <si>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</si>
  <si>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</si>
  <si>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</si>
  <si>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</si>
  <si>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</si>
  <si>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</si>
  <si>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</si>
  <si>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</si>
  <si>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</si>
  <si>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</si>
  <si>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</si>
  <si>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</si>
  <si>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</si>
  <si>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</si>
  <si>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</si>
  <si>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</si>
  <si>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</si>
  <si>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</si>
  <si>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</si>
  <si>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</si>
  <si>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</si>
  <si>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</si>
  <si>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</si>
  <si>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</si>
  <si>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</si>
  <si>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</si>
  <si>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</si>
  <si>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</si>
  <si>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</si>
  <si>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</si>
  <si>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</si>
  <si>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</si>
  <si>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</si>
  <si>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</si>
  <si>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</si>
  <si>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</si>
  <si>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</si>
  <si>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</si>
  <si>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</si>
  <si>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</si>
  <si>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</si>
  <si>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</si>
  <si>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</si>
  <si>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</si>
  <si>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</si>
  <si>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</si>
  <si>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</si>
  <si>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</si>
  <si>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</si>
  <si>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</si>
  <si>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</si>
  <si>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</si>
  <si>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</si>
  <si>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</si>
  <si>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</si>
  <si>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</si>
  <si>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</si>
  <si>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</si>
  <si>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</si>
  <si>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</si>
  <si>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</si>
  <si>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</si>
  <si>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</si>
  <si>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</si>
  <si>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</si>
  <si>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</si>
  <si>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</si>
  <si>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</si>
  <si>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</si>
  <si>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</si>
  <si>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</si>
  <si>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</si>
  <si>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</si>
  <si>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</si>
  <si>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</si>
  <si>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</si>
  <si>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</si>
  <si>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</si>
  <si>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</si>
  <si>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</si>
  <si>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</si>
  <si>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</si>
  <si>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</si>
  <si>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</si>
  <si>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</si>
  <si>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</si>
  <si>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</si>
  <si>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</si>
  <si>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</si>
  <si>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</si>
  <si>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</si>
  <si>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</si>
  <si>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</si>
  <si>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</si>
  <si>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</si>
  <si>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</si>
  <si>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</si>
  <si>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</si>
  <si>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</si>
  <si>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</si>
  <si>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</si>
  <si>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</si>
  <si>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</si>
  <si>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</si>
  <si>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</si>
  <si>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</si>
  <si>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</si>
  <si>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</si>
  <si>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</si>
  <si>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</si>
  <si>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</si>
  <si>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</si>
  <si>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</si>
  <si>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</si>
  <si>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</si>
  <si>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</si>
  <si>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</si>
  <si>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</si>
  <si>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</si>
  <si>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</si>
  <si>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</si>
  <si>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</si>
  <si>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</si>
  <si>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</si>
  <si>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</si>
  <si>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</si>
  <si>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</si>
  <si>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</si>
  <si>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</si>
  <si>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</si>
  <si>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</si>
  <si>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</si>
  <si>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</si>
  <si>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</si>
  <si>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</si>
  <si>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</si>
  <si>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</si>
  <si>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</si>
  <si>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</si>
  <si>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</si>
  <si>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</si>
  <si>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</si>
  <si>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</si>
  <si>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</si>
  <si>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</si>
  <si>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</si>
  <si>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</si>
  <si>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</si>
  <si>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</si>
  <si>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</si>
  <si>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</si>
  <si>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</si>
  <si>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</si>
  <si>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</si>
  <si>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</si>
  <si>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</si>
  <si>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</si>
  <si>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</si>
  <si>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</si>
  <si>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</si>
  <si>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</si>
  <si>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</si>
  <si>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</si>
  <si>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</si>
  <si>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</si>
  <si>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</si>
  <si>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</si>
  <si>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</si>
  <si>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</si>
  <si>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</si>
  <si>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</si>
  <si>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</si>
  <si>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</si>
  <si>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</si>
  <si>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</si>
  <si>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</si>
  <si>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</si>
  <si>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</si>
  <si>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</si>
  <si>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</si>
  <si>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</si>
  <si>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</si>
  <si>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</si>
  <si>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</si>
  <si>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</si>
  <si>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</si>
  <si>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</si>
  <si>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</si>
  <si>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</si>
  <si>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</si>
  <si>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</si>
  <si>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</si>
  <si>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</si>
  <si>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</si>
  <si>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</si>
  <si>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</si>
  <si>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</si>
  <si>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</si>
  <si>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</si>
  <si>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</si>
  <si>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</si>
  <si>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</si>
  <si>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</si>
  <si>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</si>
  <si>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</si>
  <si>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</si>
  <si>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</si>
  <si>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</si>
  <si>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</si>
  <si>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</si>
  <si>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</si>
  <si>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</si>
  <si>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</si>
  <si>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</si>
  <si>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</si>
  <si>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</si>
  <si>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</si>
  <si>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</si>
  <si>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</si>
  <si>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</si>
  <si>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</si>
  <si>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</si>
  <si>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</si>
  <si>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</si>
  <si>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</si>
  <si>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</si>
  <si>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</si>
  <si>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</si>
  <si>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</si>
  <si>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</si>
  <si>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</si>
  <si>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</si>
  <si>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</si>
  <si>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</si>
  <si>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</si>
  <si>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</si>
  <si>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</si>
  <si>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</si>
  <si>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</si>
  <si>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</si>
  <si>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</si>
  <si>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</si>
  <si>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</si>
  <si>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</si>
  <si>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</si>
  <si>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</si>
  <si>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</si>
  <si>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</si>
  <si>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</si>
  <si>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</si>
  <si>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</si>
  <si>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</si>
  <si>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</si>
  <si>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</si>
  <si>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</si>
  <si>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</si>
  <si>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</si>
  <si>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</si>
  <si>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</si>
  <si>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</si>
  <si>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</si>
  <si>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</si>
  <si>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</si>
  <si>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</si>
  <si>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</si>
  <si>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</si>
  <si>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</si>
  <si>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</si>
  <si>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</si>
  <si>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</si>
  <si>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</si>
  <si>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</si>
  <si>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</si>
  <si>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</si>
  <si>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</si>
  <si>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</si>
  <si>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</si>
  <si>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</si>
  <si>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</si>
  <si>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</si>
  <si>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</si>
  <si>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</si>
  <si>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</si>
  <si>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</si>
  <si>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</si>
  <si>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</si>
  <si>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</si>
  <si>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</si>
  <si>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</si>
  <si>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</si>
  <si>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</si>
  <si>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</si>
  <si>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</si>
  <si>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</si>
  <si>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</si>
  <si>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</si>
  <si>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</si>
  <si>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</si>
  <si>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</si>
  <si>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</si>
  <si>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</si>
  <si>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</si>
  <si>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</si>
  <si>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</si>
  <si>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</si>
  <si>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</si>
  <si>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</si>
  <si>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</si>
  <si>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</si>
  <si>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</si>
  <si>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</si>
  <si>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</si>
  <si>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</si>
  <si>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</si>
  <si>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</si>
  <si>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</si>
  <si>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</si>
  <si>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</si>
  <si>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</si>
  <si>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</si>
  <si>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</si>
  <si>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</si>
  <si>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</si>
  <si>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</si>
  <si>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</si>
  <si>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</si>
  <si>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</si>
  <si>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</si>
  <si>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</si>
  <si>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</si>
  <si>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</si>
  <si>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</si>
  <si>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</si>
  <si>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</si>
  <si>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</si>
  <si>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</si>
  <si>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</si>
  <si>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</si>
  <si>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</si>
  <si>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</si>
  <si>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</si>
  <si>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</si>
  <si>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</si>
  <si>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</si>
  <si>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</si>
  <si>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</si>
  <si>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</si>
  <si>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</si>
  <si>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</si>
  <si>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</si>
  <si>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</si>
  <si>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</si>
  <si>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</si>
  <si>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</si>
  <si>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</si>
  <si>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</si>
  <si>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</si>
  <si>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</si>
  <si>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</si>
  <si>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</si>
  <si>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</si>
  <si>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</si>
  <si>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</si>
  <si>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</si>
  <si>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</si>
  <si>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</si>
  <si>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</si>
  <si>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</si>
  <si>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</si>
  <si>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</si>
  <si>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</si>
  <si>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</si>
  <si>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</si>
  <si>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</si>
  <si>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</si>
  <si>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</si>
  <si>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</si>
  <si>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</si>
  <si>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</si>
  <si>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</si>
  <si>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</si>
  <si>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</si>
  <si>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</si>
  <si>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</si>
  <si>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</si>
  <si>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</si>
  <si>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</si>
  <si>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</si>
  <si>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</si>
  <si>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</si>
  <si>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</si>
  <si>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</si>
  <si>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</si>
  <si>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</si>
  <si>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</si>
  <si>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</si>
  <si>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</si>
  <si>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</si>
  <si>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</si>
  <si>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</si>
  <si>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</si>
  <si>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</si>
  <si>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</si>
  <si>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</si>
  <si>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</si>
  <si>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</si>
  <si>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</si>
  <si>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</si>
  <si>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</si>
  <si>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</si>
  <si>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</si>
  <si>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</si>
  <si>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</si>
  <si>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</si>
  <si>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</si>
  <si>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</si>
  <si>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</si>
  <si>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</si>
  <si>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</si>
  <si>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</si>
  <si>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</si>
  <si>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</si>
  <si>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</si>
  <si>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</si>
  <si>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</si>
  <si>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</si>
  <si>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</si>
  <si>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</si>
  <si>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</si>
  <si>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</si>
  <si>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</si>
  <si>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</si>
  <si>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</si>
  <si>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</si>
  <si>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</si>
  <si>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</si>
  <si>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</si>
  <si>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</si>
  <si>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</si>
  <si>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</si>
  <si>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</si>
  <si>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</si>
  <si>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</si>
  <si>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</si>
  <si>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</si>
  <si>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</si>
  <si>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</si>
  <si>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</si>
  <si>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</si>
  <si>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</si>
  <si>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</si>
  <si>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</si>
  <si>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</si>
  <si>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</si>
  <si>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</si>
  <si>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</si>
  <si>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</si>
  <si>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</si>
  <si>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</si>
  <si>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</si>
  <si>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</si>
  <si>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</si>
  <si>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</si>
  <si>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</si>
  <si>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</si>
  <si>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</si>
  <si>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</si>
  <si>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</si>
  <si>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</si>
  <si>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</si>
  <si>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</si>
  <si>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</si>
  <si>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</si>
  <si>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</si>
  <si>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</si>
  <si>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</si>
  <si>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</si>
  <si>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</si>
  <si>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</si>
  <si>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</si>
  <si>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</si>
  <si>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</si>
  <si>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</si>
  <si>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</si>
  <si>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</si>
  <si>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</si>
  <si>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</si>
  <si>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</si>
  <si>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</si>
  <si>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</si>
  <si>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</si>
  <si>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</si>
  <si>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</si>
  <si>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</si>
  <si>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</si>
  <si>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</si>
  <si>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</si>
  <si>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</si>
  <si>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</si>
  <si>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</si>
  <si>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</si>
  <si>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</si>
  <si>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</si>
  <si>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</si>
  <si>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</si>
  <si>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</si>
  <si>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</si>
  <si>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</si>
  <si>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</si>
  <si>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</si>
  <si>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</si>
  <si>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</si>
  <si>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</si>
  <si>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</si>
  <si>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</si>
  <si>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</si>
  <si>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</si>
  <si>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</si>
  <si>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</si>
  <si>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</si>
  <si>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</si>
  <si>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</si>
  <si>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</si>
  <si>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</si>
  <si>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</si>
  <si>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</si>
  <si>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</si>
  <si>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</si>
  <si>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</si>
  <si>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</si>
  <si>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</si>
  <si>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</si>
  <si>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</si>
  <si>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</si>
  <si>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</si>
  <si>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</si>
  <si>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</si>
  <si>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</si>
  <si>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</si>
  <si>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</si>
  <si>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</si>
  <si>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</si>
  <si>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</si>
  <si>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</si>
  <si>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</si>
  <si>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</si>
  <si>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</si>
  <si>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</si>
  <si>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</si>
  <si>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</si>
  <si>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</si>
  <si>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</si>
  <si>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</si>
  <si>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</si>
  <si>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</si>
  <si>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</si>
  <si>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</si>
  <si>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</si>
  <si>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</si>
  <si>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</si>
  <si>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</si>
  <si>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</si>
  <si>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</si>
  <si>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</si>
  <si>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</si>
  <si>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</si>
  <si>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</si>
  <si>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</si>
  <si>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</si>
  <si>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</si>
  <si>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</si>
  <si>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</si>
  <si>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</si>
  <si>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</si>
  <si>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</si>
  <si>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</si>
  <si>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</si>
  <si>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</si>
  <si>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</si>
  <si>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</si>
  <si>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</si>
  <si>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</si>
  <si>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</si>
  <si>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</si>
  <si>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</si>
  <si>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</si>
  <si>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</si>
  <si>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</si>
  <si>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</si>
  <si>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</si>
  <si>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</si>
  <si>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</si>
  <si>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</si>
  <si>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</si>
  <si>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</si>
  <si>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</si>
  <si>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</si>
  <si>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</si>
  <si>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</si>
  <si>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</si>
  <si>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</si>
  <si>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</si>
  <si>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</si>
  <si>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</si>
  <si>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</si>
  <si>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</si>
  <si>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</si>
  <si>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</si>
  <si>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</si>
  <si>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</si>
  <si>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</si>
  <si>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</si>
  <si>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</si>
  <si>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</si>
  <si>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</si>
  <si>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</si>
  <si>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</si>
  <si>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</si>
  <si>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</si>
  <si>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</si>
  <si>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</si>
  <si>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</si>
  <si>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</si>
  <si>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</si>
  <si>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</si>
  <si>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</si>
  <si>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</si>
  <si>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</si>
  <si>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</si>
  <si>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</si>
  <si>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</si>
  <si>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</si>
  <si>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</si>
  <si>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</si>
  <si>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</si>
  <si>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</si>
  <si>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</si>
  <si>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</si>
  <si>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</si>
  <si>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</si>
  <si>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</si>
  <si>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</si>
  <si>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</si>
  <si>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</si>
  <si>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</si>
  <si>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</si>
  <si>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</si>
  <si>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</si>
  <si>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</si>
  <si>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</si>
  <si>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</si>
  <si>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</si>
  <si>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</si>
  <si>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</si>
  <si>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</si>
  <si>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</si>
  <si>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</si>
  <si>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</si>
  <si>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</si>
  <si>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</si>
  <si>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</si>
  <si>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</si>
  <si>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</si>
  <si>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</si>
  <si>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</si>
  <si>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</si>
  <si>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</si>
  <si>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</si>
  <si>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</si>
  <si>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</si>
  <si>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</si>
  <si>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</si>
  <si>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</si>
  <si>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</si>
  <si>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</si>
  <si>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</si>
  <si>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</si>
  <si>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</si>
  <si>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</si>
  <si>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</si>
  <si>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</si>
  <si>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</si>
  <si>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</si>
  <si>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</si>
  <si>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</si>
  <si>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</si>
  <si>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</si>
  <si>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</si>
  <si>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</si>
  <si>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</si>
  <si>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</si>
  <si>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</si>
  <si>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</si>
  <si>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</si>
  <si>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</si>
  <si>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</si>
  <si>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</si>
  <si>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</si>
  <si>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</si>
  <si>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</si>
  <si>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</si>
  <si>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</si>
  <si>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</si>
  <si>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</si>
  <si>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</si>
  <si>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</si>
  <si>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</si>
  <si>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</si>
  <si>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</si>
  <si>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</si>
  <si>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</si>
  <si>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</si>
  <si>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</si>
  <si>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</si>
  <si>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</si>
  <si>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</si>
  <si>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</si>
  <si>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</si>
  <si>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</si>
  <si>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</si>
  <si>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</si>
  <si>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</si>
  <si>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</si>
  <si>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</si>
  <si>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</si>
  <si>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</si>
  <si>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</si>
  <si>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</si>
  <si>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</si>
  <si>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</si>
  <si>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</si>
  <si>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</si>
  <si>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</si>
  <si>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</si>
  <si>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</si>
  <si>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</si>
  <si>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</si>
  <si>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</si>
  <si>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</si>
  <si>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</si>
  <si>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</si>
  <si>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</si>
  <si>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</si>
  <si>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</si>
  <si>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</si>
  <si>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</si>
  <si>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</si>
  <si>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</si>
  <si>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</si>
  <si>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</si>
  <si>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</si>
  <si>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</si>
  <si>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</si>
  <si>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</si>
  <si>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</si>
  <si>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</si>
  <si>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</si>
  <si>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</si>
  <si>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</si>
  <si>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</si>
  <si>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</si>
  <si>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</si>
  <si>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</si>
  <si>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</si>
  <si>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</si>
  <si>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</si>
  <si>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</si>
  <si>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</si>
  <si>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</si>
  <si>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</si>
  <si>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</si>
  <si>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</si>
  <si>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</si>
  <si>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</si>
  <si>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</si>
  <si>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</si>
  <si>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</si>
  <si>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</si>
  <si>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</si>
  <si>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</si>
  <si>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</si>
  <si>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</si>
  <si>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</si>
  <si>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</si>
  <si>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</si>
  <si>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</si>
  <si>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</si>
  <si>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</si>
  <si>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</si>
  <si>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</si>
  <si>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</si>
  <si>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</si>
  <si>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</si>
  <si>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</si>
  <si>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</si>
  <si>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</si>
  <si>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</si>
  <si>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</si>
  <si>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</si>
  <si>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</si>
  <si>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</si>
  <si>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</si>
  <si>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</si>
  <si>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</si>
  <si>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</si>
  <si>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</si>
  <si>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</si>
  <si>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</si>
  <si>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</si>
  <si>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</si>
  <si>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</si>
  <si>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</si>
  <si>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</si>
  <si>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</si>
  <si>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</si>
  <si>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</si>
  <si>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</si>
  <si>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</si>
  <si>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</si>
  <si>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</si>
  <si>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</si>
  <si>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</si>
  <si>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</si>
  <si>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</si>
  <si>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</si>
  <si>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</si>
  <si>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</si>
  <si>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</si>
  <si>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</si>
  <si>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</si>
  <si>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</si>
  <si>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</si>
  <si>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</si>
  <si>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</si>
  <si>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</si>
  <si>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</si>
  <si>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</si>
  <si>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</si>
  <si>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</si>
  <si>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</si>
  <si>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</si>
  <si>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</si>
  <si>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</si>
  <si>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</si>
  <si>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</si>
  <si>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</si>
  <si>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</si>
  <si>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</si>
  <si>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</si>
  <si>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</si>
  <si>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</si>
  <si>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</si>
  <si>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</si>
  <si>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</si>
  <si>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</si>
  <si>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</si>
  <si>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</si>
  <si>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</si>
  <si>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</si>
  <si>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</si>
  <si>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</si>
  <si>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</si>
  <si>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</si>
  <si>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</si>
  <si>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</si>
  <si>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</si>
  <si>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</si>
  <si>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</si>
  <si>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</si>
  <si>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</si>
  <si>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</si>
  <si>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</si>
  <si>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</si>
  <si>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</si>
  <si>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</si>
  <si>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</si>
  <si>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</si>
  <si>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</si>
  <si>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</si>
  <si>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</si>
  <si>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</si>
  <si>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</si>
  <si>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</si>
  <si>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</si>
  <si>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</si>
  <si>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</si>
  <si>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</si>
  <si>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</si>
  <si>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</si>
  <si>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</si>
  <si>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</si>
  <si>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</si>
  <si>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</si>
  <si>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</si>
  <si>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</si>
  <si>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</si>
  <si>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</si>
  <si>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</si>
  <si>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</si>
  <si>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</si>
  <si>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</si>
  <si>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</si>
  <si>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</si>
  <si>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</si>
  <si>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</si>
  <si>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</si>
  <si>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</si>
  <si>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</si>
  <si>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</si>
  <si>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</si>
  <si>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</si>
  <si>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</si>
  <si>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</si>
  <si>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</si>
  <si>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</si>
  <si>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</si>
  <si>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</si>
  <si>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</si>
  <si>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</si>
  <si>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</si>
  <si>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</si>
  <si>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</si>
  <si>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</si>
  <si>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</si>
  <si>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</si>
  <si>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</si>
  <si>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</si>
  <si>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</si>
  <si>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</si>
  <si>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</si>
  <si>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</si>
  <si>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</si>
  <si>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</si>
  <si>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</si>
  <si>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</si>
  <si>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</si>
  <si>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</si>
  <si>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</si>
  <si>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</si>
  <si>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</si>
  <si>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</si>
  <si>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</si>
  <si>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</si>
  <si>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</si>
  <si>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</si>
  <si>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</si>
  <si>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</si>
  <si>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</si>
  <si>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</si>
  <si>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</si>
  <si>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</si>
  <si>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</si>
  <si>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</si>
  <si>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</si>
  <si>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</si>
  <si>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</si>
  <si>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</si>
  <si>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</si>
  <si>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</si>
  <si>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</si>
  <si>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</si>
  <si>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</si>
  <si>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</si>
  <si>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</si>
  <si>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</si>
  <si>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</si>
  <si>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</si>
  <si>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</si>
  <si>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</si>
  <si>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</si>
  <si>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</si>
  <si>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</si>
  <si>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</si>
  <si>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</si>
  <si>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</si>
  <si>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</si>
  <si>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</si>
  <si>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</si>
  <si>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</si>
  <si>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</si>
  <si>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</si>
  <si>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</si>
  <si>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</si>
  <si>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</si>
  <si>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</si>
  <si>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</si>
  <si>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</si>
  <si>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</si>
  <si>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</si>
  <si>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</si>
  <si>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</si>
  <si>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</si>
  <si>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</si>
  <si>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</si>
  <si>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</si>
  <si>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</si>
  <si>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</si>
  <si>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</si>
  <si>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</si>
  <si>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</si>
  <si>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</si>
  <si>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</si>
  <si>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</si>
  <si>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</si>
  <si>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</si>
  <si>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</si>
  <si>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</si>
  <si>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</si>
  <si>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</si>
  <si>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</si>
  <si>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</si>
  <si>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</si>
  <si>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</si>
  <si>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</si>
  <si>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</si>
  <si>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</si>
  <si>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</si>
  <si>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</si>
  <si>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</si>
  <si>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</si>
  <si>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</si>
  <si>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</si>
  <si>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</si>
  <si>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</si>
  <si>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</si>
  <si>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</si>
  <si>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</si>
  <si>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</si>
  <si>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</si>
  <si>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</si>
  <si>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</si>
  <si>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</si>
  <si>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</si>
  <si>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</si>
  <si>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</si>
  <si>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</si>
  <si>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</si>
  <si>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</si>
  <si>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</si>
  <si>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</si>
  <si>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</si>
  <si>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</si>
  <si>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</si>
  <si>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</si>
  <si>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</si>
  <si>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</si>
  <si>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</si>
  <si>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</si>
  <si>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</si>
  <si>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</si>
  <si>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</si>
  <si>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</si>
  <si>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</si>
  <si>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</si>
  <si>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</si>
  <si>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</si>
  <si>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</si>
  <si>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</si>
  <si>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</si>
  <si>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</si>
  <si>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</si>
  <si>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</si>
  <si>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</si>
  <si>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</si>
  <si>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</si>
  <si>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</si>
  <si>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</si>
  <si>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</si>
  <si>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</si>
  <si>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</si>
  <si>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</si>
  <si>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</si>
  <si>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</si>
  <si>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</si>
  <si>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</si>
  <si>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</si>
  <si>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</si>
  <si>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</si>
  <si>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</si>
  <si>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</si>
  <si>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</si>
  <si>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</si>
  <si>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</si>
  <si>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</si>
  <si>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</si>
  <si>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</si>
  <si>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</si>
  <si>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</si>
  <si>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</si>
  <si>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</si>
  <si>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</si>
  <si>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</si>
  <si>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</si>
  <si>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</si>
  <si>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</si>
  <si>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</si>
  <si>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</si>
  <si>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</si>
  <si>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</si>
  <si>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</si>
  <si>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</si>
  <si>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</si>
  <si>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</si>
  <si>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</si>
  <si>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</si>
  <si>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</si>
  <si>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</si>
  <si>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</si>
  <si>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</si>
  <si>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</si>
  <si>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</si>
  <si>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</si>
  <si>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</si>
  <si>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</si>
  <si>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</si>
  <si>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</si>
  <si>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</si>
  <si>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</si>
  <si>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</si>
  <si>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</si>
  <si>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</si>
  <si>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</si>
  <si>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</si>
  <si>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</si>
  <si>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</si>
  <si>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</si>
  <si>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</si>
  <si>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</si>
  <si>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</si>
  <si>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</si>
  <si>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</si>
  <si>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</si>
  <si>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</si>
  <si>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</si>
  <si>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</si>
  <si>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</si>
  <si>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</si>
  <si>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</si>
  <si>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</si>
  <si>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</si>
  <si>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</si>
  <si>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</si>
  <si>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</si>
  <si>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</si>
  <si>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</si>
  <si>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</si>
  <si>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</si>
  <si>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</si>
  <si>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</si>
  <si>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</si>
  <si>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</si>
  <si>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</si>
  <si>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</si>
  <si>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</si>
  <si>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</si>
  <si>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</si>
  <si>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</si>
  <si>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</si>
  <si>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</si>
  <si>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</si>
  <si>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</si>
  <si>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</si>
  <si>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</si>
  <si>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</si>
  <si>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</si>
  <si>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</si>
  <si>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</si>
  <si>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</si>
  <si>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</si>
  <si>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</si>
  <si>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</si>
  <si>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</si>
  <si>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</si>
  <si>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</si>
  <si>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</si>
  <si>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</si>
  <si>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</si>
  <si>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</si>
  <si>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</si>
  <si>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</si>
  <si>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</si>
  <si>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</si>
  <si>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</si>
  <si>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</si>
  <si>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</si>
  <si>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</si>
  <si>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</si>
  <si>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</si>
  <si>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</si>
  <si>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</si>
  <si>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</si>
  <si>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</si>
  <si>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</si>
  <si>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</si>
  <si>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</si>
  <si>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</si>
  <si>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</si>
  <si>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</si>
  <si>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</si>
  <si>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</si>
  <si>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</si>
  <si>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</si>
  <si>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</si>
  <si>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</si>
  <si>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</si>
  <si>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</si>
  <si>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</si>
  <si>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高新区唐乐路北侧</t>
  </si>
  <si>
    <t>珠海市</t>
  </si>
  <si>
    <t>综合用地(含住宅)</t>
  </si>
  <si>
    <t>＞1且≤2.27</t>
  </si>
  <si>
    <t>挂牌</t>
  </si>
  <si>
    <t>2018-09-05</t>
  </si>
  <si>
    <t>珠海高新同创房地产开发有限公司</t>
  </si>
  <si>
    <t>高新区金鼎金峰路以南、金府路东侧</t>
  </si>
  <si>
    <t>＞1且≤3</t>
  </si>
  <si>
    <t>2018-08-29</t>
  </si>
  <si>
    <t>高新区科技创新海岸南围科技八路北、创新六路西侧</t>
  </si>
  <si>
    <t>2018-08-24</t>
  </si>
  <si>
    <t>珠海市高新建设投资有限公司</t>
  </si>
  <si>
    <t>科技创新海岸北围片区金业北路南、新湾七路东侧</t>
  </si>
  <si>
    <t>2018-08-16</t>
  </si>
  <si>
    <t>龙湖</t>
  </si>
  <si>
    <t>科技创新海岸北围片区金业北路北、新湾七路东侧</t>
  </si>
  <si>
    <t>2017-12-29</t>
  </si>
  <si>
    <t>龙湖地产</t>
  </si>
  <si>
    <t>科技创新海岸北围片区兴中路南、北站西二路东侧</t>
  </si>
  <si>
    <t>住宅用地</t>
  </si>
  <si>
    <t>深圳颐盛</t>
  </si>
  <si>
    <t>科技创新海岸北围片区兴中路南、新湾七路东侧</t>
  </si>
  <si>
    <t>华发</t>
  </si>
  <si>
    <t>科技创新海岸北围片区兴中路南、北站西一路西侧</t>
  </si>
  <si>
    <t>珠海大道北、珠海大桥东侧</t>
  </si>
  <si>
    <t>＞1且≤2.2</t>
  </si>
  <si>
    <t>2017-11-03</t>
  </si>
  <si>
    <t>鹤山市共和碧桂园房地产开发有限公司</t>
  </si>
  <si>
    <t>高新区金鼎片区金园路北侧</t>
  </si>
  <si>
    <t>＞1且≤2</t>
  </si>
  <si>
    <t>2017-07-13</t>
  </si>
  <si>
    <t>珠海市高新置业发展有限公司</t>
  </si>
  <si>
    <t>洪湾港片区环港东路西侧、港平路北侧</t>
  </si>
  <si>
    <t>2017-06-16</t>
  </si>
  <si>
    <t>珠海铁建梧桐苑置业有限公司</t>
  </si>
  <si>
    <t>科技创新海岸北围片区金业南路北、新湾七路东侧</t>
  </si>
  <si>
    <t>2017-06-02</t>
  </si>
  <si>
    <t>中山市万科坦洲房地产开发有限公司</t>
  </si>
  <si>
    <t>科技创新海岸北围片区金业南路南、新湾七路东侧</t>
  </si>
  <si>
    <t>科技创新海岸北围片区兴南路北、北站西二路东侧</t>
  </si>
  <si>
    <t>＞1且≤2.5</t>
  </si>
  <si>
    <t>黑龙江省高盛投资发展有限公司</t>
  </si>
  <si>
    <t>科技创新海岸北围片区兴南路北、新湾七路东侧</t>
  </si>
  <si>
    <t>珠海依云房地产有限公司</t>
  </si>
  <si>
    <t>科技创新海岸北围片区兴南路北、北站西一路西侧</t>
  </si>
  <si>
    <t>南京仁远投资有限公司</t>
  </si>
  <si>
    <t>科技创新海岸北围片区兴南路北、兴中路东侧</t>
  </si>
  <si>
    <t>≤2.5且＞1.0</t>
  </si>
  <si>
    <t>2016-08-26</t>
  </si>
  <si>
    <t>中山市雅景房地产开发有限公司</t>
  </si>
  <si>
    <t>科技创新海岸北围片区科创横四路南、新湾七路西侧</t>
  </si>
  <si>
    <t>≤3.0且＞1.0</t>
  </si>
  <si>
    <t>珠海格力房产有限公司</t>
  </si>
  <si>
    <t>科技创新海岸北围片区鼎兴路南、内环南路西侧</t>
  </si>
  <si>
    <t>科技创新海岸北围片区鼎兴路南、兴中路东侧</t>
  </si>
  <si>
    <t>≤2.0且＞1.0</t>
  </si>
  <si>
    <t>唐家蒙中棚、唐南路东侧</t>
  </si>
  <si>
    <t>2016-07-28</t>
  </si>
  <si>
    <t>珠海市高新房地产开发有限公司</t>
  </si>
  <si>
    <t>唐家湾情侣北路(南段)填海区</t>
  </si>
  <si>
    <t>＞1且≤1.59</t>
  </si>
  <si>
    <t>2016-04-20</t>
  </si>
  <si>
    <t>珠海港控股集团有限公司</t>
  </si>
  <si>
    <t>前山鞍莲路与翠屏路交叉口西侧</t>
  </si>
  <si>
    <t>＞1.0,≤2.5</t>
  </si>
  <si>
    <t>2015-12-17</t>
  </si>
  <si>
    <t>珠海格力电器股份有限公司</t>
  </si>
  <si>
    <t>南湾大道东侧、国防路南侧</t>
  </si>
  <si>
    <t>＞1,≤3</t>
  </si>
  <si>
    <t>2015-08-19</t>
  </si>
  <si>
    <t>鹤山市共和碧桂园房产开发有限公司</t>
  </si>
  <si>
    <t>高新区科技创新海岸南围金峰北路西、中珠渠南路南侧</t>
  </si>
  <si>
    <t>＞1,≤2</t>
  </si>
  <si>
    <t>2015-05-20</t>
  </si>
  <si>
    <t>珠海高新共创房地产开发有限公司</t>
  </si>
  <si>
    <t>上冲片区上冲车辆基地北侧</t>
  </si>
  <si>
    <t>地块一:＞1.0且≤3.4;地块二:＞1.0且≤2.2</t>
  </si>
  <si>
    <t>2015-02-28</t>
  </si>
  <si>
    <t>珠海市万科房地产有限公司</t>
  </si>
  <si>
    <t>夏湾湾六路南侧、昌盛路北侧用地</t>
  </si>
  <si>
    <t>＞1,≤3.5</t>
  </si>
  <si>
    <t>2015-01-28</t>
  </si>
  <si>
    <t>龙光地产控股有限公司</t>
  </si>
  <si>
    <t>沿河路北侧,工人村路东侧</t>
  </si>
  <si>
    <t>珠海华发投资发展有限公司</t>
  </si>
  <si>
    <t>金湾区航空新城金二路西侧、金山大道南侧</t>
  </si>
  <si>
    <t>≥1,≤2.056</t>
  </si>
  <si>
    <t>2014-12-10</t>
  </si>
  <si>
    <t>珠海市嘉业房地产开发有限公司</t>
  </si>
  <si>
    <t>珠海大道北、屏东六路东侧</t>
  </si>
  <si>
    <t>＞1、≤2.4</t>
  </si>
  <si>
    <t>2014-12-03</t>
  </si>
  <si>
    <t>珠海安邦工程有限公司</t>
  </si>
  <si>
    <t>十字门商务区湾仔片区、会展四路东侧</t>
  </si>
  <si>
    <t>＞1并且≤5.5</t>
  </si>
  <si>
    <t>2014-10-17</t>
  </si>
  <si>
    <t>珠海铧创经贸发展有限公司</t>
  </si>
  <si>
    <t>a1地块:≤2.5且＞1.0;a3、a6地块:≤3.5且＞1.0;a4地块:≤1.5且＞1.0</t>
  </si>
  <si>
    <t>珠海奥华企业管理咨询有限公司</t>
  </si>
  <si>
    <t>唐家湾情侣北路(南段)南侧、金山总部基地东侧</t>
  </si>
  <si>
    <t>＞1并且≤2.5</t>
  </si>
  <si>
    <t>2014-04-30</t>
  </si>
  <si>
    <t>珠海金山软件有限公司</t>
  </si>
  <si>
    <t>拱北九洲大道南、白石路西侧</t>
  </si>
  <si>
    <t>＞1并且≤3.5</t>
  </si>
  <si>
    <t>2014-01-17</t>
  </si>
  <si>
    <t>中国铁建投资有限公司</t>
  </si>
  <si>
    <t>上冲梅华路立交西南侧</t>
  </si>
  <si>
    <t>≤3.5且＞1.0</t>
  </si>
  <si>
    <t>2013-12-19</t>
  </si>
  <si>
    <t>珠海市海川地产有限公司</t>
  </si>
  <si>
    <t>唐家湾铜鼓角情侣北路北、唐家港东路西侧</t>
  </si>
  <si>
    <t>＞1并且≤3</t>
  </si>
  <si>
    <t>2013-10-31</t>
  </si>
  <si>
    <t>珠海华发实业股份有限公司</t>
  </si>
  <si>
    <t>十字门中央商务区湾仔片区</t>
  </si>
  <si>
    <t>s5地块:≤3.5且≥1.0;s6地块:≤4.0且≥1.0;s7:≤4.5</t>
  </si>
  <si>
    <t>2013-02-08</t>
  </si>
  <si>
    <t>珠海十字门中央商务区建设控股有限公司</t>
  </si>
  <si>
    <t>≥1并且≤3.82</t>
  </si>
  <si>
    <t>2013-01-31</t>
  </si>
  <si>
    <t>唐家湾情侣北路(南段)</t>
  </si>
  <si>
    <t>地块一、三:1.0-2.5;地块二:1.0-2.0</t>
  </si>
  <si>
    <t>2012-12-03</t>
  </si>
  <si>
    <t>广东保利房地产开发有限公司</t>
  </si>
  <si>
    <t>珠海大道北侧、珠海大桥东侧</t>
  </si>
  <si>
    <t>1-1.8</t>
  </si>
  <si>
    <t>2012-10-08</t>
  </si>
  <si>
    <t>珠海华亿投资有限公司</t>
  </si>
  <si>
    <t>唐家湾港湾大道东侧、总部南路北侧</t>
  </si>
  <si>
    <t>大于或等于1并且小于或等于2.7</t>
  </si>
  <si>
    <t>珠海华发保障房建设控股有限公司</t>
  </si>
  <si>
    <t>金鼎工业片区金杯路南、中心北路东侧</t>
  </si>
  <si>
    <t>≤2.4</t>
  </si>
  <si>
    <t>2012-05-03</t>
  </si>
  <si>
    <t>佳能珠海有限公司</t>
  </si>
  <si>
    <t>珠海市唐家湾情侣北路(南段)2011-21号地块</t>
  </si>
  <si>
    <t>s3≤1.5;sb≤3.0</t>
  </si>
  <si>
    <t>2011-10-20</t>
  </si>
  <si>
    <t>Yanlord*Real*Estate*Pte.Ltd.、Ho*Bee*Investment*Ltd.、上海由由(集团)股份有限公司</t>
  </si>
  <si>
    <t>珠海市唐家湾情侣北路(南段)2011-20号地块</t>
  </si>
  <si>
    <t>s2≤1.5;sc≤2.4;sd≤2.39</t>
  </si>
  <si>
    <t>万山海洋开发试验区桂山岛一湾(边检行政附属楼西侧)</t>
  </si>
  <si>
    <t>≤1.8</t>
  </si>
  <si>
    <t>2011-09-20</t>
  </si>
  <si>
    <t>珠海中燃石油有限公司</t>
  </si>
  <si>
    <t>2010-11-29</t>
  </si>
  <si>
    <t>南湾大道东侧、马骝洲山北侧</t>
  </si>
  <si>
    <t>2010-03-11</t>
  </si>
  <si>
    <t>中航通用飞机有限责任公司</t>
  </si>
  <si>
    <t>唐家湾情侣北路南段</t>
  </si>
  <si>
    <t>s1、s2、s6≤3.0s3≤1.5s4、s5≤2.5</t>
  </si>
  <si>
    <t>2009-12-03</t>
  </si>
  <si>
    <t>十字门商务区马骝洲及北山咀</t>
  </si>
  <si>
    <t>2009-11-05</t>
  </si>
  <si>
    <t>珠海十字门商务区建设控股有限公司(华发集团)</t>
  </si>
  <si>
    <t>前山河西岸、前山大桥南侧</t>
  </si>
  <si>
    <t>(s1、s4、*s5)≤2.0*,(s2、s3)≤3.5</t>
  </si>
  <si>
    <t>2007-09-28</t>
  </si>
  <si>
    <t>中信华南(集团)有限公司</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</si>
  <si>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</si>
  <si>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</si>
  <si>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</si>
  <si>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</si>
  <si>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</si>
  <si>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</si>
  <si>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</si>
  <si>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</si>
  <si>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</si>
  <si>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</si>
  <si>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</si>
  <si>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</si>
  <si>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</si>
  <si>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</si>
  <si>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</si>
  <si>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</si>
  <si>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</si>
  <si>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</si>
  <si>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</si>
  <si>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</si>
  <si>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</si>
  <si>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</si>
  <si>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</si>
  <si>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</si>
  <si>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住宅</t>
    <phoneticPr fontId="3" type="noConversion"/>
  </si>
  <si>
    <t>会所</t>
    <phoneticPr fontId="3" type="noConversion"/>
  </si>
  <si>
    <t>地上</t>
  </si>
  <si>
    <t>配套</t>
    <phoneticPr fontId="3" type="noConversion"/>
  </si>
  <si>
    <t>设备</t>
    <phoneticPr fontId="3" type="noConversion"/>
  </si>
  <si>
    <t>商业</t>
  </si>
  <si>
    <t>车库</t>
  </si>
  <si>
    <t>车库</t>
    <phoneticPr fontId="3" type="noConversion"/>
  </si>
  <si>
    <t>地下</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</si>
  <si>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</si>
  <si>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</si>
  <si>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</si>
  <si>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</si>
  <si>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</si>
  <si>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</si>
  <si>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</si>
  <si>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</si>
  <si>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</si>
  <si>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</si>
  <si>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</si>
  <si>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</si>
  <si>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</si>
  <si>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</si>
  <si>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</si>
  <si>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</si>
  <si>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</si>
  <si>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</si>
  <si>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</si>
  <si>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</si>
  <si>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</si>
  <si>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</si>
  <si>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</si>
  <si>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</si>
  <si>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</si>
  <si>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</si>
  <si>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</si>
  <si>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住宅</t>
    <phoneticPr fontId="7" type="noConversion"/>
  </si>
  <si>
    <t>会所</t>
  </si>
  <si>
    <t>会所</t>
    <phoneticPr fontId="7" type="noConversion"/>
  </si>
  <si>
    <t>地下车库</t>
    <phoneticPr fontId="7" type="noConversion"/>
  </si>
  <si>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</si>
  <si>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</si>
  <si>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</si>
  <si>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</si>
  <si>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</si>
  <si>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</si>
  <si>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</si>
  <si>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</si>
  <si>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</si>
  <si>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</si>
  <si>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</si>
  <si>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</si>
  <si>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</si>
  <si>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</si>
  <si>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</si>
  <si>
    <t>不动产收益法会所</t>
    <phoneticPr fontId="14" type="noConversion"/>
  </si>
  <si>
    <t>不动产收益法车库</t>
  </si>
  <si>
    <t>不动产收益法车库</t>
    <phoneticPr fontId="14" type="noConversion"/>
  </si>
  <si>
    <t>自定义</t>
  </si>
  <si>
    <t>60-70（含）</t>
  </si>
  <si>
    <t>住宅</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</si>
  <si>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</si>
  <si>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</si>
  <si>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</si>
  <si>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</si>
  <si>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</si>
  <si>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</si>
  <si>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</si>
  <si>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</si>
  <si>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</si>
  <si>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</si>
  <si>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</si>
  <si>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</si>
  <si>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</si>
  <si>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</si>
  <si>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</si>
  <si>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</si>
  <si>
    <t>六通</t>
    <phoneticPr fontId="21" type="noConversion"/>
  </si>
  <si>
    <t>估价对象周边居住用地比例较大、有海愉半岛花园、钰海帝景等居住小区，社区发展较完善，综合评价居住社区成熟度较好</t>
    <phoneticPr fontId="3" type="noConversion"/>
  </si>
  <si>
    <t>估价对象周边商业氛围较成熟，多为社区配套底商人流量较大，商业繁华度较好</t>
    <phoneticPr fontId="3" type="noConversion"/>
  </si>
  <si>
    <t>估价对象周边道路通达状况较好、公共交通通达情况一般、停车较便捷，综合评价交通便捷度较好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</si>
  <si>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</si>
  <si>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</si>
  <si>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区域自然环境好；人文环境一般；综合评价环境状况较好</t>
    <phoneticPr fontId="3" type="noConversion"/>
  </si>
  <si>
    <t>次干道——情侣南路</t>
    <phoneticPr fontId="21" type="noConversion"/>
  </si>
  <si>
    <t>单面临街</t>
  </si>
  <si>
    <t>支路</t>
  </si>
  <si>
    <t>次干道</t>
  </si>
  <si>
    <t>一般</t>
  </si>
  <si>
    <t>创新九路</t>
    <phoneticPr fontId="26" type="noConversion"/>
  </si>
  <si>
    <t>情侣南路</t>
    <phoneticPr fontId="26" type="noConversion"/>
  </si>
  <si>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</si>
  <si>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</si>
  <si>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</si>
  <si>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</si>
  <si>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</si>
  <si>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</si>
  <si>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</si>
  <si>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</si>
  <si>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</si>
  <si>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</si>
  <si>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</si>
  <si>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</si>
  <si>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</si>
  <si>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江山赋</t>
    <phoneticPr fontId="3" type="noConversion"/>
  </si>
  <si>
    <t>情侣湾1号</t>
    <phoneticPr fontId="3" type="noConversion"/>
  </si>
  <si>
    <t>仁恒滨海中心</t>
    <phoneticPr fontId="3" type="noConversion"/>
  </si>
  <si>
    <t>香洲区九洲大道中(德丰大厦附近)</t>
    <phoneticPr fontId="3" type="noConversion"/>
  </si>
  <si>
    <t>香洲区情侣南路88号</t>
    <phoneticPr fontId="3" type="noConversion"/>
  </si>
  <si>
    <t>香洲区情侣南路1号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</si>
</sst>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0"/>
      <color rgb="FFFF0000"/>
      <name val="楷体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0" borderId="0" xfId="16" applyFont="1"/>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176" fontId="278" fillId="0" borderId="2" xfId="0" applyNumberFormat="1" applyFont="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81</xdr:row>
      <xdr:rowOff>38100</xdr:rowOff>
    </xdr:from>
    <xdr:to>
      <xdr:col>5</xdr:col>
      <xdr:colOff>486531</xdr:colOff>
      <xdr:row>108</xdr:row>
      <xdr:rowOff>151614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173075"/>
          <a:ext cx="7030206" cy="4485489"/>
        </a:xfrm>
        <a:prstGeom prst="rect">
          <a:avLst/>
        </a:prstGeom>
      </xdr:spPr>
    </xdr:pic>
    <xdr:clientData/>
  </xdr:twoCellAnchor>
  <xdr:twoCellAnchor editAs="oneCell">
    <xdr:from>
      <xdr:col>0</xdr:col>
      <xdr:colOff>0</xdr:colOff>
      <xdr:row>52</xdr:row>
      <xdr:rowOff>95250</xdr:rowOff>
    </xdr:from>
    <xdr:to>
      <xdr:col>5</xdr:col>
      <xdr:colOff>485775</xdr:colOff>
      <xdr:row>80</xdr:row>
      <xdr:rowOff>1722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34400"/>
          <a:ext cx="7029450" cy="4440372"/>
        </a:xfrm>
        <a:prstGeom prst="rect">
          <a:avLst/>
        </a:prstGeom>
      </xdr:spPr>
    </xdr:pic>
    <xdr:clientData/>
  </xdr:twoCellAnchor>
  <xdr:twoCellAnchor editAs="oneCell">
    <xdr:from>
      <xdr:col>4</xdr:col>
      <xdr:colOff>590550</xdr:colOff>
      <xdr:row>54</xdr:row>
      <xdr:rowOff>95250</xdr:rowOff>
    </xdr:from>
    <xdr:to>
      <xdr:col>13</xdr:col>
      <xdr:colOff>3180355</xdr:colOff>
      <xdr:row>76</xdr:row>
      <xdr:rowOff>47186</xdr:rowOff>
    </xdr:to>
    <xdr:pic>
      <xdr:nvPicPr>
        <xdr:cNvPr id="4" name="图片 3"/>
        <xdr:cNvPicPr>
          <a:picLocks noChangeAspect="1"/>
        </xdr:cNvPicPr>
      </xdr:nvPicPr>
      <xdr:blipFill>
        <a:blip xmlns:r="http://schemas.openxmlformats.org/officeDocument/2006/relationships" r:embed="rId3"/>
        <a:stretch>
          <a:fillRect/>
        </a:stretch>
      </xdr:blipFill>
      <xdr:spPr>
        <a:xfrm>
          <a:off x="6076950" y="8858250"/>
          <a:ext cx="7961905" cy="3514286"/>
        </a:xfrm>
        <a:prstGeom prst="rect">
          <a:avLst/>
        </a:prstGeom>
      </xdr:spPr>
    </xdr:pic>
    <xdr:clientData/>
  </xdr:twoCellAnchor>
  <xdr:twoCellAnchor editAs="oneCell">
    <xdr:from>
      <xdr:col>4</xdr:col>
      <xdr:colOff>400050</xdr:colOff>
      <xdr:row>82</xdr:row>
      <xdr:rowOff>0</xdr:rowOff>
    </xdr:from>
    <xdr:to>
      <xdr:col>13</xdr:col>
      <xdr:colOff>3342236</xdr:colOff>
      <xdr:row>102</xdr:row>
      <xdr:rowOff>94834</xdr:rowOff>
    </xdr:to>
    <xdr:pic>
      <xdr:nvPicPr>
        <xdr:cNvPr id="5" name="图片 4"/>
        <xdr:cNvPicPr>
          <a:picLocks noChangeAspect="1"/>
        </xdr:cNvPicPr>
      </xdr:nvPicPr>
      <xdr:blipFill>
        <a:blip xmlns:r="http://schemas.openxmlformats.org/officeDocument/2006/relationships" r:embed="rId4"/>
        <a:stretch>
          <a:fillRect/>
        </a:stretch>
      </xdr:blipFill>
      <xdr:spPr>
        <a:xfrm>
          <a:off x="5886450" y="13296900"/>
          <a:ext cx="8314286" cy="3333334"/>
        </a:xfrm>
        <a:prstGeom prst="rect">
          <a:avLst/>
        </a:prstGeom>
      </xdr:spPr>
    </xdr:pic>
    <xdr:clientData/>
  </xdr:twoCellAnchor>
  <xdr:twoCellAnchor editAs="oneCell">
    <xdr:from>
      <xdr:col>0</xdr:col>
      <xdr:colOff>0</xdr:colOff>
      <xdr:row>109</xdr:row>
      <xdr:rowOff>123825</xdr:rowOff>
    </xdr:from>
    <xdr:to>
      <xdr:col>5</xdr:col>
      <xdr:colOff>530202</xdr:colOff>
      <xdr:row>137</xdr:row>
      <xdr:rowOff>103994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92700"/>
          <a:ext cx="7073877" cy="4514069"/>
        </a:xfrm>
        <a:prstGeom prst="rect">
          <a:avLst/>
        </a:prstGeom>
      </xdr:spPr>
    </xdr:pic>
    <xdr:clientData/>
  </xdr:twoCellAnchor>
  <xdr:twoCellAnchor editAs="oneCell">
    <xdr:from>
      <xdr:col>4</xdr:col>
      <xdr:colOff>590550</xdr:colOff>
      <xdr:row>112</xdr:row>
      <xdr:rowOff>9525</xdr:rowOff>
    </xdr:from>
    <xdr:to>
      <xdr:col>13</xdr:col>
      <xdr:colOff>3132736</xdr:colOff>
      <xdr:row>133</xdr:row>
      <xdr:rowOff>28148</xdr:rowOff>
    </xdr:to>
    <xdr:pic>
      <xdr:nvPicPr>
        <xdr:cNvPr id="7" name="图片 6"/>
        <xdr:cNvPicPr>
          <a:picLocks noChangeAspect="1"/>
        </xdr:cNvPicPr>
      </xdr:nvPicPr>
      <xdr:blipFill>
        <a:blip xmlns:r="http://schemas.openxmlformats.org/officeDocument/2006/relationships" r:embed="rId6"/>
        <a:stretch>
          <a:fillRect/>
        </a:stretch>
      </xdr:blipFill>
      <xdr:spPr>
        <a:xfrm>
          <a:off x="6076950" y="18164175"/>
          <a:ext cx="7914286" cy="3419048"/>
        </a:xfrm>
        <a:prstGeom prst="rect">
          <a:avLst/>
        </a:prstGeom>
      </xdr:spPr>
    </xdr:pic>
    <xdr:clientData/>
  </xdr:twoCellAnchor>
  <xdr:twoCellAnchor editAs="oneCell">
    <xdr:from>
      <xdr:col>0</xdr:col>
      <xdr:colOff>0</xdr:colOff>
      <xdr:row>140</xdr:row>
      <xdr:rowOff>0</xdr:rowOff>
    </xdr:from>
    <xdr:to>
      <xdr:col>5</xdr:col>
      <xdr:colOff>503945</xdr:colOff>
      <xdr:row>188</xdr:row>
      <xdr:rowOff>65696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88550"/>
          <a:ext cx="7047620" cy="7838096"/>
        </a:xfrm>
        <a:prstGeom prst="rect">
          <a:avLst/>
        </a:prstGeom>
      </xdr:spPr>
    </xdr:pic>
    <xdr:clientData/>
  </xdr:twoCellAnchor>
  <xdr:twoCellAnchor editAs="oneCell">
    <xdr:from>
      <xdr:col>6</xdr:col>
      <xdr:colOff>142875</xdr:colOff>
      <xdr:row>139</xdr:row>
      <xdr:rowOff>9525</xdr:rowOff>
    </xdr:from>
    <xdr:to>
      <xdr:col>13</xdr:col>
      <xdr:colOff>3942435</xdr:colOff>
      <xdr:row>186</xdr:row>
      <xdr:rowOff>94289</xdr:rowOff>
    </xdr:to>
    <xdr:pic>
      <xdr:nvPicPr>
        <xdr:cNvPr id="9" name="图片 8"/>
        <xdr:cNvPicPr>
          <a:picLocks noChangeAspect="1"/>
        </xdr:cNvPicPr>
      </xdr:nvPicPr>
      <xdr:blipFill>
        <a:blip xmlns:r="http://schemas.openxmlformats.org/officeDocument/2006/relationships" r:embed="rId8"/>
        <a:stretch>
          <a:fillRect/>
        </a:stretch>
      </xdr:blipFill>
      <xdr:spPr>
        <a:xfrm>
          <a:off x="7477125" y="22536150"/>
          <a:ext cx="7323810" cy="7695239"/>
        </a:xfrm>
        <a:prstGeom prst="rect">
          <a:avLst/>
        </a:prstGeom>
      </xdr:spPr>
    </xdr:pic>
    <xdr:clientData/>
  </xdr:twoCellAnchor>
  <xdr:twoCellAnchor editAs="oneCell">
    <xdr:from>
      <xdr:col>0</xdr:col>
      <xdr:colOff>114300</xdr:colOff>
      <xdr:row>189</xdr:row>
      <xdr:rowOff>104775</xdr:rowOff>
    </xdr:from>
    <xdr:to>
      <xdr:col>5</xdr:col>
      <xdr:colOff>303959</xdr:colOff>
      <xdr:row>223</xdr:row>
      <xdr:rowOff>94563</xdr:rowOff>
    </xdr:to>
    <xdr:pic>
      <xdr:nvPicPr>
        <xdr:cNvPr id="10" name="图片 9"/>
        <xdr:cNvPicPr>
          <a:picLocks noChangeAspect="1"/>
        </xdr:cNvPicPr>
      </xdr:nvPicPr>
      <xdr:blipFill>
        <a:blip xmlns:r="http://schemas.openxmlformats.org/officeDocument/2006/relationships" r:embed="rId9"/>
        <a:stretch>
          <a:fillRect/>
        </a:stretch>
      </xdr:blipFill>
      <xdr:spPr>
        <a:xfrm>
          <a:off x="114300" y="30727650"/>
          <a:ext cx="6733334" cy="5495238"/>
        </a:xfrm>
        <a:prstGeom prst="rect">
          <a:avLst/>
        </a:prstGeom>
      </xdr:spPr>
    </xdr:pic>
    <xdr:clientData/>
  </xdr:twoCellAnchor>
  <xdr:twoCellAnchor editAs="oneCell">
    <xdr:from>
      <xdr:col>5</xdr:col>
      <xdr:colOff>619125</xdr:colOff>
      <xdr:row>189</xdr:row>
      <xdr:rowOff>57150</xdr:rowOff>
    </xdr:from>
    <xdr:to>
      <xdr:col>13</xdr:col>
      <xdr:colOff>3142396</xdr:colOff>
      <xdr:row>225</xdr:row>
      <xdr:rowOff>37374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162800" y="30680025"/>
          <a:ext cx="6838096"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2654</v>
      </c>
      <c r="B1" s="2893" t="s">
        <v>2751</v>
      </c>
    </row>
    <row r="2" spans="1:55" s="2897" customFormat="1" ht="15" thickTop="1">
      <c r="A2" s="2895" t="s">
        <v>2658</v>
      </c>
      <c r="B2" s="2896" t="str">
        <f>'预评函-封皮'!B37</f>
        <v>出让国有建设用地使用权抵押价格预评估</v>
      </c>
      <c r="AX2" s="2898"/>
      <c r="AZ2" s="2898"/>
      <c r="BA2" s="2899"/>
      <c r="BC2" s="2899"/>
    </row>
    <row r="3" spans="1:55" s="2900" customFormat="1">
      <c r="A3" s="2879" t="s">
        <v>2659</v>
      </c>
      <c r="B3" s="2882">
        <f>'预评函-封皮'!B40</f>
        <v>0</v>
      </c>
    </row>
    <row r="4" spans="1:55" s="2881" customFormat="1">
      <c r="A4" s="2879" t="s">
        <v>2660</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2661</v>
      </c>
      <c r="B5" s="2902" t="str">
        <f>'预评函-封皮'!B49</f>
        <v>康正预评字号</v>
      </c>
    </row>
    <row r="6" spans="1:55" s="2903" customFormat="1" ht="15" thickTop="1">
      <c r="A6" s="2895" t="s">
        <v>2703</v>
      </c>
      <c r="B6" s="2896" t="str">
        <f>'预评函-1'!A4</f>
        <v>受贵公司委托，我公司对出让国有建设用地使用权抵押价格进行了预评估。</v>
      </c>
      <c r="AM6" s="2904"/>
    </row>
    <row r="7" spans="1:55" s="2878" customFormat="1">
      <c r="A7" s="2879" t="s">
        <v>2655</v>
      </c>
      <c r="B7" s="2880" t="str">
        <f>'预评函-1'!A6</f>
        <v>估价对象为使用的、位于出让国有建设用地使用权。根据《国有土地使用证》[]，估价对象（分摊）出让国有建设用地使用权面积为14000.08平方米。根据《建设工程规划许可证》[]、《出让合同》[]，估价对象规划建筑面积为155944.13平方米。</v>
      </c>
    </row>
    <row r="8" spans="1:55" s="2878" customFormat="1">
      <c r="A8" s="2879" t="s">
        <v>2656</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2706</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2657</v>
      </c>
      <c r="B10" s="2880" t="str">
        <f>'预评函-1'!A11</f>
        <v>2018年10月17日（评估专业人员勘察现场之日）</v>
      </c>
    </row>
    <row r="11" spans="1:55" s="2878" customFormat="1">
      <c r="A11" s="2879" t="s">
        <v>2663</v>
      </c>
      <c r="B11" s="2880" t="str">
        <f>'预评函-1'!A14</f>
        <v>根据《国有土地使用证》[]，本次评估估价对象证载（地类）用途为。</v>
      </c>
    </row>
    <row r="12" spans="1:55" s="2878" customFormat="1">
      <c r="A12" s="2879" t="s">
        <v>2664</v>
      </c>
      <c r="B12" s="2880" t="str">
        <f>'预评函-1'!A15</f>
        <v>本次评估设定用途即为证载用途。</v>
      </c>
    </row>
    <row r="13" spans="1:55" s="2878" customFormat="1">
      <c r="A13" s="2879" t="s">
        <v>2665</v>
      </c>
      <c r="B13" s="2880" t="str">
        <f>'预评函-1'!A17</f>
        <v>根据委托估价方介绍及评估专业人员现场勘查，本次评估估价对象实际土地开发程度为红线外市政基础设施达“七通”（即通路、通电、通上水、、、、）、宗地红线内场地平整。</v>
      </c>
    </row>
    <row r="14" spans="1:55" s="2878" customFormat="1">
      <c r="A14" s="2879" t="s">
        <v>2666</v>
      </c>
      <c r="B14" s="2880" t="str">
        <f>'预评函-1'!A18</f>
        <v>本次评估设定土地开发程度为红线外市政基础设施达“七通”、宗地红线内场地平整。</v>
      </c>
    </row>
    <row r="15" spans="1:55" s="2878" customFormat="1">
      <c r="A15" s="2879" t="s">
        <v>2662</v>
      </c>
      <c r="B15" s="2880" t="str">
        <f>'预评函-1'!A20</f>
        <v>根据《国有土地使用证》[]，估价对象（分摊）出让国有建设用地使用权面积为14000.08平方米。根据《建设工程规划许可证》[]、《出让合同》[]，估价对象规划建筑面积为155944.13平方米。</v>
      </c>
    </row>
    <row r="16" spans="1:55" s="2878" customFormat="1">
      <c r="A16" s="2879" t="s">
        <v>2667</v>
      </c>
      <c r="B16" s="2880" t="str">
        <f>'预评函-1'!A22</f>
        <v>本次估价对象为出让国有建设用地使用权，《国有土地使用证》[]证载土地终止日期为住宅2083年4月8日、商业2053年4月8日地下车库2063年4月8日。截至估价期日，出让国有建设用地使用权剩余土地使用年限为。</v>
      </c>
    </row>
    <row r="17" spans="1:48" s="2878" customFormat="1">
      <c r="A17" s="2879" t="s">
        <v>2668</v>
      </c>
      <c r="B17" s="2880" t="str">
        <f>'预评函-1'!A23</f>
        <v>本次评估设定估价对象剩余土地使用年限为。</v>
      </c>
    </row>
    <row r="18" spans="1:48" s="2878" customFormat="1">
      <c r="A18" s="2879" t="s">
        <v>2669</v>
      </c>
      <c r="B18" s="2880" t="str">
        <f>'预评函-1'!A25</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19" spans="1:48" s="2878" customFormat="1">
      <c r="A19" s="2879" t="s">
        <v>2670</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2671</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2672</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2673</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2674</v>
      </c>
      <c r="B23" s="2880" t="str">
        <f>'预评函-2'!K2</f>
        <v>估价期日：2018年10月17日</v>
      </c>
    </row>
    <row r="24" spans="1:48">
      <c r="A24" s="2879" t="s">
        <v>2675</v>
      </c>
      <c r="B24" s="2880" t="str">
        <f>'预评函-2'!R2</f>
        <v>估价期日的国有建设用地使用权性质：出让</v>
      </c>
    </row>
    <row r="25" spans="1:48">
      <c r="A25" s="2879" t="s">
        <v>2731</v>
      </c>
      <c r="B25" s="2880" t="str">
        <f>'预评函-2'!A3</f>
        <v>估价期日土地使用者</v>
      </c>
    </row>
    <row r="26" spans="1:48">
      <c r="A26" s="2879" t="s">
        <v>2707</v>
      </c>
      <c r="B26" s="2880" t="str">
        <f>'预评函-2'!A5</f>
        <v>中信开发</v>
      </c>
    </row>
    <row r="27" spans="1:48">
      <c r="A27" s="2879" t="s">
        <v>2732</v>
      </c>
      <c r="B27" s="2880" t="str">
        <f>'预评函-2'!B3</f>
        <v>宗地编号/不动产单元号</v>
      </c>
    </row>
    <row r="28" spans="1:48">
      <c r="A28" s="2879" t="s">
        <v>2708</v>
      </c>
      <c r="B28" s="2880" t="str">
        <f>'预评函-2'!B5</f>
        <v>11111111111</v>
      </c>
    </row>
    <row r="29" spans="1:48">
      <c r="A29" s="2879" t="s">
        <v>2734</v>
      </c>
      <c r="B29" s="2880">
        <f>'预评函-2'!C5</f>
        <v>22</v>
      </c>
    </row>
    <row r="30" spans="1:48">
      <c r="A30" s="2879" t="s">
        <v>2735</v>
      </c>
      <c r="B30" s="2880" t="str">
        <f>'预评函-2'!D3</f>
        <v>土地使用证编号/不动产权证书编号</v>
      </c>
    </row>
    <row r="31" spans="1:48">
      <c r="A31" s="2879" t="s">
        <v>2709</v>
      </c>
      <c r="B31" s="2880" t="str">
        <f>'预评函-2'!D5</f>
        <v>京国土字第111号</v>
      </c>
    </row>
    <row r="32" spans="1:48">
      <c r="A32" s="2879" t="s">
        <v>2710</v>
      </c>
      <c r="B32" s="2880">
        <f>'预评函-2'!E5</f>
        <v>0</v>
      </c>
      <c r="AV32" s="2884"/>
    </row>
    <row r="33" spans="1:2">
      <c r="A33" s="2879" t="s">
        <v>2711</v>
      </c>
      <c r="B33" s="2880">
        <f>'预评函-2'!F5</f>
        <v>258</v>
      </c>
    </row>
    <row r="34" spans="1:2">
      <c r="A34" s="2879" t="s">
        <v>2712</v>
      </c>
      <c r="B34" s="2880">
        <f>'预评函-2'!G5</f>
        <v>0</v>
      </c>
    </row>
    <row r="35" spans="1:2">
      <c r="A35" s="2879" t="s">
        <v>2713</v>
      </c>
      <c r="B35" s="2880">
        <f>'预评函-2'!H5</f>
        <v>1.5</v>
      </c>
    </row>
    <row r="36" spans="1:2">
      <c r="A36" s="2879" t="s">
        <v>2714</v>
      </c>
      <c r="B36" s="2880">
        <f>'预评函-2'!I5</f>
        <v>1.5</v>
      </c>
    </row>
    <row r="37" spans="1:2">
      <c r="A37" s="2879" t="s">
        <v>2715</v>
      </c>
      <c r="B37" s="2880">
        <f>'预评函-2'!J5</f>
        <v>1.5</v>
      </c>
    </row>
    <row r="38" spans="1:2">
      <c r="A38" s="2879" t="s">
        <v>2716</v>
      </c>
      <c r="B38" s="2880" t="str">
        <f>'预评函-2'!K5</f>
        <v>红线外七通、宗地红线内场地平整</v>
      </c>
    </row>
    <row r="39" spans="1:2">
      <c r="A39" s="2879" t="s">
        <v>2717</v>
      </c>
      <c r="B39" s="2880" t="str">
        <f>'预评函-2'!L5</f>
        <v>红线外七通、宗地红线内场地平整</v>
      </c>
    </row>
    <row r="40" spans="1:2">
      <c r="A40" s="2879" t="s">
        <v>2736</v>
      </c>
      <c r="B40" s="2880" t="str">
        <f>'预评函-2'!M3</f>
        <v>（剩余）土地使用年限/年</v>
      </c>
    </row>
    <row r="41" spans="1:2">
      <c r="A41" s="2879" t="s">
        <v>2718</v>
      </c>
      <c r="B41" s="2880">
        <f>'预评函-2'!M5</f>
        <v>0</v>
      </c>
    </row>
    <row r="42" spans="1:2">
      <c r="A42" s="2879" t="s">
        <v>2737</v>
      </c>
      <c r="B42" s="2880" t="str">
        <f>'预评函-2'!N3</f>
        <v>（分摊）出让国有建设用地使用权面积/㎡</v>
      </c>
    </row>
    <row r="43" spans="1:2">
      <c r="A43" s="2879" t="s">
        <v>2719</v>
      </c>
      <c r="B43" s="2880">
        <f>'预评函-2'!N5</f>
        <v>14000.08</v>
      </c>
    </row>
    <row r="44" spans="1:2">
      <c r="A44" s="2879" t="s">
        <v>2738</v>
      </c>
      <c r="B44" s="2880" t="str">
        <f>'预评函-2'!O3</f>
        <v>规划建筑面积/㎡</v>
      </c>
    </row>
    <row r="45" spans="1:2">
      <c r="A45" s="2879" t="s">
        <v>2720</v>
      </c>
      <c r="B45" s="2880">
        <f>'预评函-2'!O5</f>
        <v>155944.13</v>
      </c>
    </row>
    <row r="46" spans="1:2">
      <c r="A46" s="2879" t="s">
        <v>2721</v>
      </c>
      <c r="B46" s="2880">
        <f ca="1">'预评函-2'!P5</f>
        <v>275095</v>
      </c>
    </row>
    <row r="47" spans="1:2">
      <c r="A47" s="2879" t="s">
        <v>2722</v>
      </c>
      <c r="B47" s="2880">
        <f ca="1">'预评函-2'!Q5</f>
        <v>24697</v>
      </c>
    </row>
    <row r="48" spans="1:2">
      <c r="A48" s="2879" t="s">
        <v>2723</v>
      </c>
      <c r="B48" s="2880">
        <f ca="1">'预评函-2'!R5</f>
        <v>385135</v>
      </c>
    </row>
    <row r="49" spans="1:2">
      <c r="A49" s="2879" t="s">
        <v>2739</v>
      </c>
      <c r="B49" s="2880" t="str">
        <f>'预评函-2'!A6</f>
        <v>抵押价格</v>
      </c>
    </row>
    <row r="50" spans="1:2">
      <c r="A50" s="2879" t="s">
        <v>2724</v>
      </c>
      <c r="B50" s="2880">
        <f ca="1">'预评函-2'!R6</f>
        <v>385135</v>
      </c>
    </row>
    <row r="51" spans="1:2">
      <c r="A51" s="2879" t="s">
        <v>2740</v>
      </c>
      <c r="B51" s="2880" t="str">
        <f>'预评函-2'!A7</f>
        <v>——</v>
      </c>
    </row>
    <row r="52" spans="1:2">
      <c r="A52" s="2879" t="s">
        <v>2725</v>
      </c>
      <c r="B52" s="2880" t="str">
        <f>'预评函-2'!R7</f>
        <v>——</v>
      </c>
    </row>
    <row r="53" spans="1:2">
      <c r="A53" s="2879" t="s">
        <v>2741</v>
      </c>
      <c r="B53" s="2880">
        <f>'预评函-2'!A8</f>
        <v>0</v>
      </c>
    </row>
    <row r="54" spans="1:2" s="2894" customFormat="1" ht="15" thickBot="1">
      <c r="A54" s="2901" t="s">
        <v>2726</v>
      </c>
      <c r="B54" s="2902" t="str">
        <f>'预评函-2'!R8</f>
        <v>——</v>
      </c>
    </row>
    <row r="55" spans="1:2" ht="15" thickTop="1">
      <c r="A55" s="2890" t="s">
        <v>2676</v>
      </c>
      <c r="B55" s="2891" t="str">
        <f>'预评函-3'!A2</f>
        <v>1.权利限制：根据估价对象《不动产权证书》原件、《国有土地使用权》复印件，截至估价期日，估价对象抵押权未见登记。未设定租赁等其他他项权利。</v>
      </c>
    </row>
    <row r="56" spans="1:2">
      <c r="A56" s="2879" t="s">
        <v>2677</v>
      </c>
      <c r="B56" s="2880" t="str">
        <f>'预评函-3'!A3</f>
        <v>2.基础设施条件：估价对象实际开发程度为红线外七通、宗地红线内场地平整；本次评估设定开发程度为红线外七通、宗地红线内场地平整。</v>
      </c>
    </row>
    <row r="57" spans="1:2">
      <c r="A57" s="2879" t="s">
        <v>2678</v>
      </c>
      <c r="B57" s="2880" t="str">
        <f>'预评函-3'!A4</f>
        <v>3.估价规划限制条件：详见《建设工程规划许可证》[]、《出让合同》[]。</v>
      </c>
    </row>
    <row r="58" spans="1:2" s="2894" customFormat="1" ht="15" thickBot="1">
      <c r="A58" s="2901" t="s">
        <v>2727</v>
      </c>
      <c r="B58" s="2902" t="str">
        <f>'预评函-3'!A5</f>
        <v>4.影响价格的其他限定条件：无。</v>
      </c>
    </row>
    <row r="59" spans="1:2" ht="15" thickTop="1">
      <c r="A59" s="2890" t="s">
        <v>2679</v>
      </c>
      <c r="B59" s="2891" t="str">
        <f>'预评函-3'!A8</f>
        <v>2.本《评估意见函》仅供金融机构进行内部审核使用，不做其他目的之用。</v>
      </c>
    </row>
    <row r="60" spans="1:2">
      <c r="A60" s="2879" t="s">
        <v>2680</v>
      </c>
      <c r="B60" s="2880" t="str">
        <f>'预评函-3'!A9</f>
        <v>3.抵押双方在办理抵押登记手续时，应使用本公司出具的正式《土地估价报告》，特提请报告使用者注意。</v>
      </c>
    </row>
    <row r="61" spans="1:2">
      <c r="A61" s="2879" t="s">
        <v>2682</v>
      </c>
      <c r="B61" s="2880" t="str">
        <f>'预评函-3'!A10</f>
        <v>4.估价师所知悉的法定优先受偿款情况为：</v>
      </c>
    </row>
    <row r="62" spans="1:2">
      <c r="A62" s="2879" t="s">
        <v>2681</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2683</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2684</v>
      </c>
      <c r="B64" s="2885" t="str">
        <f>'预评函-3'!A13</f>
        <v>（3）。</v>
      </c>
    </row>
    <row r="65" spans="1:2">
      <c r="A65" s="2879" t="s">
        <v>2685</v>
      </c>
      <c r="B65" s="2886" t="str">
        <f>'预评函-3'!A14</f>
        <v>综上，本次评估不存在估价师知悉的法定优先受偿款</v>
      </c>
    </row>
    <row r="66" spans="1:2">
      <c r="A66" s="2879" t="s">
        <v>2686</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2687</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2690</v>
      </c>
      <c r="B68" s="2905">
        <f>'预评函-3'!D30</f>
        <v>42558</v>
      </c>
    </row>
    <row r="69" spans="1:2" ht="15" thickTop="1">
      <c r="A69" s="2890" t="s">
        <v>2688</v>
      </c>
      <c r="B69" s="2891" t="str">
        <f>'预评函-3'!A20</f>
        <v>土地估价师</v>
      </c>
    </row>
    <row r="70" spans="1:2">
      <c r="A70" s="2879" t="s">
        <v>2688</v>
      </c>
      <c r="B70" s="2886">
        <f>'预评函-3'!B20</f>
        <v>0</v>
      </c>
    </row>
    <row r="71" spans="1:2">
      <c r="A71" s="2879" t="s">
        <v>2689</v>
      </c>
      <c r="B71" s="2880" t="str">
        <f>'预评函-3'!A21</f>
        <v>土地估价师</v>
      </c>
    </row>
    <row r="72" spans="1:2" s="2894" customFormat="1" ht="15" thickBot="1">
      <c r="A72" s="2901" t="s">
        <v>2689</v>
      </c>
      <c r="B72" s="2907">
        <f>'预评函-3'!B21</f>
        <v>0</v>
      </c>
    </row>
    <row r="73" spans="1:2" ht="15" thickTop="1">
      <c r="A73" s="2890" t="s">
        <v>2748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2749</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2785</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253" t="str">
        <f>IF(B10="北京市","北京市",C10)&amp;F10&amp;B16&amp;"国有建设用地使用权"&amp;B9&amp;"预评估"</f>
        <v>出让国有建设用地使用权抵押价格预评估</v>
      </c>
      <c r="C1" s="3254"/>
      <c r="D1" s="3254"/>
      <c r="E1" s="3254"/>
      <c r="F1" s="3254"/>
      <c r="G1" s="3254"/>
      <c r="H1" s="3254"/>
      <c r="I1" s="3255"/>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1939</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1940</v>
      </c>
      <c r="B3" s="1662">
        <v>43390</v>
      </c>
      <c r="C3" s="1663" t="s">
        <v>1996</v>
      </c>
      <c r="D3" s="1662">
        <v>43390</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2886</v>
      </c>
      <c r="C4" s="1846">
        <f>SUMIF(土地估价师,B4,估价师及机构信息!E3:E24)</f>
        <v>0</v>
      </c>
      <c r="D4" s="1843" t="s">
        <v>2886</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2704</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2980</v>
      </c>
      <c r="C8" s="1671"/>
      <c r="D8" s="3259" t="s">
        <v>1945</v>
      </c>
      <c r="E8" s="1844" t="s">
        <v>2981</v>
      </c>
      <c r="F8" s="1672"/>
      <c r="G8" s="1660"/>
      <c r="H8" s="1660"/>
      <c r="I8" s="1707"/>
      <c r="J8" s="1694"/>
      <c r="K8" s="1774"/>
      <c r="L8" s="1723"/>
      <c r="M8" s="1723"/>
      <c r="N8" s="1694"/>
      <c r="O8" s="1695"/>
      <c r="P8" s="1694"/>
      <c r="Q8" s="1694"/>
      <c r="R8" s="1694"/>
      <c r="S8" s="1694"/>
      <c r="T8" s="1694"/>
      <c r="U8" s="1694"/>
    </row>
    <row r="9" spans="1:21" ht="15" thickBot="1">
      <c r="A9" s="1673" t="s">
        <v>1944</v>
      </c>
      <c r="B9" s="1674" t="s">
        <v>2981</v>
      </c>
      <c r="C9" s="1675"/>
      <c r="D9" s="3260"/>
      <c r="E9" s="1674"/>
      <c r="F9" s="1747"/>
      <c r="G9" s="1742"/>
      <c r="H9" s="1742"/>
      <c r="I9" s="1743"/>
      <c r="J9" s="1694"/>
      <c r="K9" s="1774"/>
      <c r="L9" s="1723"/>
      <c r="M9" s="1723"/>
      <c r="N9" s="1694"/>
      <c r="O9" s="1695"/>
      <c r="P9" s="1694"/>
      <c r="Q9" s="1694"/>
      <c r="R9" s="1694"/>
      <c r="S9" s="1694"/>
      <c r="T9" s="1694"/>
      <c r="U9" s="1694"/>
    </row>
    <row r="10" spans="1:21" ht="15" thickTop="1">
      <c r="A10" s="1744" t="s">
        <v>2000</v>
      </c>
      <c r="B10" s="1719" t="s">
        <v>2982</v>
      </c>
      <c r="C10" s="1676"/>
      <c r="D10" s="1667"/>
      <c r="E10" s="1677" t="s">
        <v>1947</v>
      </c>
      <c r="F10" s="1678"/>
      <c r="G10" s="1745"/>
      <c r="H10" s="1746"/>
      <c r="I10" s="1667"/>
      <c r="J10" s="1694"/>
      <c r="K10" s="1774"/>
      <c r="L10" s="1723"/>
      <c r="M10" s="1723"/>
      <c r="N10" s="1694"/>
      <c r="O10" s="1695"/>
      <c r="P10" s="1694"/>
      <c r="Q10" s="1694"/>
      <c r="R10" s="1694"/>
      <c r="S10" s="1694"/>
      <c r="T10" s="1694"/>
      <c r="U10" s="1694"/>
    </row>
    <row r="11" spans="1:21">
      <c r="A11" s="1697" t="s">
        <v>2001</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56"/>
      <c r="C12" s="3257"/>
      <c r="D12" s="3258"/>
      <c r="E12" s="1699" t="s">
        <v>2062</v>
      </c>
      <c r="F12" s="3274" t="s">
        <v>2887</v>
      </c>
      <c r="G12" s="3275"/>
      <c r="H12" s="3275"/>
      <c r="I12" s="3276"/>
      <c r="J12" s="1694"/>
      <c r="K12" s="1774"/>
      <c r="L12" s="1723"/>
      <c r="M12" s="1723"/>
      <c r="N12" s="1694"/>
      <c r="O12" s="1695"/>
      <c r="P12" s="1694"/>
      <c r="Q12" s="1694"/>
      <c r="R12" s="1694"/>
      <c r="S12" s="1694"/>
      <c r="T12" s="1694"/>
      <c r="U12" s="1694"/>
    </row>
    <row r="13" spans="1:21">
      <c r="A13" s="1687" t="s">
        <v>2060</v>
      </c>
      <c r="B13" s="3256"/>
      <c r="C13" s="3257"/>
      <c r="D13" s="3258"/>
      <c r="E13" s="1699" t="s">
        <v>2062</v>
      </c>
      <c r="F13" s="3274" t="s">
        <v>2888</v>
      </c>
      <c r="G13" s="3275"/>
      <c r="H13" s="3275"/>
      <c r="I13" s="3276"/>
      <c r="J13" s="1694"/>
      <c r="K13" s="1774"/>
      <c r="L13" s="1723"/>
      <c r="M13" s="1723"/>
      <c r="N13" s="1694"/>
      <c r="O13" s="1695"/>
      <c r="P13" s="1694"/>
      <c r="Q13" s="1694"/>
      <c r="R13" s="1694"/>
      <c r="S13" s="1694"/>
      <c r="T13" s="1694"/>
      <c r="U13" s="1694"/>
    </row>
    <row r="14" spans="1:21">
      <c r="A14" s="1661" t="s">
        <v>2063</v>
      </c>
      <c r="B14" s="1699"/>
      <c r="C14" s="1845" t="s">
        <v>2984</v>
      </c>
      <c r="D14" s="1733" t="str">
        <f>IF(C14="不一致","是否符合证载地类范围","")</f>
        <v/>
      </c>
      <c r="E14" s="1699"/>
      <c r="F14" s="1790" t="s">
        <v>2986</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2985</v>
      </c>
      <c r="C16" s="1699" t="s">
        <v>1949</v>
      </c>
      <c r="D16" s="2647" t="s">
        <v>1950</v>
      </c>
      <c r="E16" s="1722" t="s">
        <v>3190</v>
      </c>
      <c r="F16" s="1722"/>
      <c r="G16" s="1722" t="s">
        <v>35</v>
      </c>
      <c r="H16" s="1722"/>
      <c r="I16" s="1686" t="s">
        <v>1955</v>
      </c>
      <c r="J16" s="1694"/>
      <c r="K16" s="2457" t="str">
        <f>IF(D17="","",D16&amp;TEXT(D17,"yyyy年m月d日;;"))</f>
        <v>住宅2083年4月8日</v>
      </c>
      <c r="L16" s="1699" t="str">
        <f>IF(OR(K16="",M16=""),"","、")</f>
        <v>、</v>
      </c>
      <c r="M16" s="2457" t="str">
        <f>IF(E17="","",E16&amp;TEXT(E17,"yyyy年m月d日;;"))</f>
        <v>商业2053年4月8日</v>
      </c>
      <c r="N16" s="1699" t="str">
        <f>IF(OR(M16="",O16=""),"","、")</f>
        <v/>
      </c>
      <c r="O16" s="2457" t="str">
        <f>IF(F17="","",F16&amp;TEXT(F17,"yyyy年m月d日;;"))</f>
        <v/>
      </c>
      <c r="P16" s="1699" t="str">
        <f>IF(OR(O16="",Q16=""),"","、")</f>
        <v/>
      </c>
      <c r="Q16" s="2457" t="str">
        <f>IF(G17="","",G16&amp;TEXT(G17,"yyyy年m月d日;;"))</f>
        <v>地下车库2063年4月8日</v>
      </c>
      <c r="R16" s="1699" t="str">
        <f>IF(OR(Q16="",S16=""),"","、")</f>
        <v/>
      </c>
      <c r="S16" s="2457" t="str">
        <f>IF(H17="","",H16&amp;TEXT(H17,"yyyy年m月d日;;"))</f>
        <v/>
      </c>
      <c r="T16" s="1699" t="str">
        <f>IF(OR(S16="",U16=""),"","、")</f>
        <v/>
      </c>
      <c r="U16" s="2457" t="str">
        <f>IF(I17="","",I16&amp;TEXT(I17,"yyyy年m月d日;;"))</f>
        <v/>
      </c>
    </row>
    <row r="17" spans="1:21">
      <c r="A17" s="1763"/>
      <c r="B17" s="1682"/>
      <c r="C17" s="1683" t="s">
        <v>1956</v>
      </c>
      <c r="D17" s="1700">
        <v>66939</v>
      </c>
      <c r="E17" s="1700">
        <v>55982</v>
      </c>
      <c r="F17" s="1700"/>
      <c r="G17" s="1700">
        <v>59634</v>
      </c>
      <c r="H17" s="1700"/>
      <c r="I17" s="1700"/>
      <c r="J17" s="1694"/>
      <c r="K17" s="2456" t="str">
        <f>CONCATENATE(K16,L16,M16,N16,O16,P16,Q16,R16,S16,T16,,U16)</f>
        <v>住宅2083年4月8日、商业2053年4月8日地下车库2063年4月8日</v>
      </c>
      <c r="L17" s="1723"/>
      <c r="M17" s="1723"/>
      <c r="N17" s="1694"/>
      <c r="O17" s="1695"/>
      <c r="P17" s="1694"/>
      <c r="Q17" s="1694"/>
      <c r="R17" s="1694"/>
      <c r="S17" s="1694"/>
      <c r="T17" s="1694"/>
      <c r="U17" s="1694"/>
    </row>
    <row r="18" spans="1:21">
      <c r="A18" s="1763"/>
      <c r="B18" s="1682"/>
      <c r="C18" s="1683" t="s">
        <v>1957</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64.510000000000005</v>
      </c>
      <c r="E19" s="1685">
        <f>IF(B16="出让",IF(E17="","",ROUNDDOWN(MIN((E17-$D$3)/365,E18),2)),E18)</f>
        <v>34.49</v>
      </c>
      <c r="F19" s="1685" t="str">
        <f>IF(B16="出让",IF(F17="","",ROUNDDOWN(MIN((F17-$D$3)/365,F18),2)),F18)</f>
        <v/>
      </c>
      <c r="G19" s="1685">
        <f>IF(B16="出让",IF(G17="","",ROUNDDOWN(MIN((G17-$D$3)/365,G18),2)),G18)</f>
        <v>44.5</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71"/>
      <c r="E20" s="3272"/>
      <c r="F20" s="3272"/>
      <c r="G20" s="3272"/>
      <c r="H20" s="3272"/>
      <c r="I20" s="3273"/>
      <c r="J20" s="1694"/>
      <c r="K20" s="1774"/>
      <c r="L20" s="1723"/>
      <c r="M20" s="1723"/>
      <c r="N20" s="1694"/>
      <c r="O20" s="1695"/>
      <c r="P20" s="1694"/>
      <c r="Q20" s="1694"/>
      <c r="R20" s="1694"/>
      <c r="S20" s="1694"/>
      <c r="T20" s="1694"/>
      <c r="U20" s="1694"/>
    </row>
    <row r="21" spans="1:21">
      <c r="A21" s="1763" t="s">
        <v>1959</v>
      </c>
      <c r="B21" s="1764" t="s">
        <v>1960</v>
      </c>
      <c r="C21" s="1759">
        <f>'数据-汇总表'!E3</f>
        <v>155944.13</v>
      </c>
      <c r="D21" s="1760" t="s">
        <v>1961</v>
      </c>
      <c r="E21" s="3261" t="s">
        <v>1999</v>
      </c>
      <c r="F21" s="3262"/>
      <c r="G21" s="3262"/>
      <c r="H21" s="3262"/>
      <c r="I21" s="3263"/>
      <c r="J21" s="1694"/>
      <c r="K21" s="1774"/>
      <c r="L21" s="1723"/>
      <c r="M21" s="1723"/>
      <c r="N21" s="1694"/>
      <c r="O21" s="1695"/>
      <c r="P21" s="1694"/>
      <c r="Q21" s="1694"/>
      <c r="R21" s="1694"/>
      <c r="S21" s="1694"/>
      <c r="T21" s="1694"/>
      <c r="U21" s="1694"/>
    </row>
    <row r="22" spans="1:21">
      <c r="A22" s="3148" t="s">
        <v>951</v>
      </c>
      <c r="B22" s="1661" t="s">
        <v>1962</v>
      </c>
      <c r="C22" s="1686">
        <f>'数据-汇总表'!D3</f>
        <v>14000.08</v>
      </c>
      <c r="D22" s="1687" t="s">
        <v>1961</v>
      </c>
      <c r="E22" s="3261" t="s">
        <v>2889</v>
      </c>
      <c r="F22" s="3262"/>
      <c r="G22" s="3262"/>
      <c r="H22" s="3262"/>
      <c r="I22" s="3263"/>
      <c r="J22" s="1694"/>
      <c r="K22" s="1774"/>
      <c r="L22" s="1723"/>
      <c r="M22" s="1723"/>
      <c r="N22" s="1694"/>
      <c r="O22" s="1695"/>
      <c r="P22" s="1694"/>
      <c r="Q22" s="1694"/>
      <c r="R22" s="1694"/>
      <c r="S22" s="1694"/>
      <c r="T22" s="1694"/>
      <c r="U22" s="1694"/>
    </row>
    <row r="23" spans="1:21" ht="43.5" thickBot="1">
      <c r="A23" s="1765" t="s">
        <v>1963</v>
      </c>
      <c r="B23" s="1701" t="s">
        <v>1964</v>
      </c>
      <c r="C23" s="1702"/>
      <c r="D23" s="1703" t="s">
        <v>1965</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264" t="s">
        <v>1967</v>
      </c>
      <c r="C24" s="3265"/>
      <c r="D24" s="3266" t="s">
        <v>1968</v>
      </c>
      <c r="E24" s="3267"/>
      <c r="F24" s="1708" t="s">
        <v>1969</v>
      </c>
      <c r="G24" s="1694"/>
      <c r="H24" s="1694"/>
      <c r="I24" s="1707"/>
      <c r="J24" s="1694"/>
      <c r="K24" s="3252" t="s">
        <v>1970</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2325</v>
      </c>
      <c r="C25" s="1709" t="s">
        <v>1971</v>
      </c>
      <c r="D25" s="1710"/>
      <c r="E25" s="1711" t="s">
        <v>951</v>
      </c>
      <c r="F25" s="1712"/>
      <c r="G25" s="1694"/>
      <c r="H25" s="1694"/>
      <c r="I25" s="1707"/>
      <c r="J25" s="1694"/>
      <c r="K25" s="3252"/>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1972</v>
      </c>
      <c r="C26" s="1709" t="s">
        <v>2326</v>
      </c>
      <c r="D26" s="1660"/>
      <c r="E26" s="1660"/>
      <c r="F26" s="1688"/>
      <c r="G26" s="1694"/>
      <c r="H26" s="1694"/>
      <c r="I26" s="1707"/>
      <c r="J26" s="1694"/>
      <c r="K26" s="3252"/>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52"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3"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3"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54"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38" t="s">
        <v>2002</v>
      </c>
      <c r="B31" s="1764" t="s">
        <v>2003</v>
      </c>
      <c r="C31" s="3277" t="s">
        <v>3161</v>
      </c>
      <c r="D31" s="3278"/>
      <c r="E31" s="1694"/>
      <c r="F31" s="1694"/>
      <c r="G31" s="1694"/>
      <c r="H31" s="1694"/>
      <c r="I31" s="1707"/>
      <c r="J31" s="1694"/>
      <c r="K31" s="2459"/>
      <c r="L31" s="1694"/>
      <c r="M31" s="1694"/>
      <c r="N31" s="1694"/>
      <c r="O31" s="1694"/>
      <c r="P31" s="1694"/>
      <c r="Q31" s="1694"/>
      <c r="R31" s="1694"/>
      <c r="S31" s="1694"/>
      <c r="T31" s="1694"/>
      <c r="U31" s="1694"/>
    </row>
    <row r="32" spans="1:21">
      <c r="A32" s="3238"/>
      <c r="B32" s="1661" t="s">
        <v>2004</v>
      </c>
      <c r="C32" s="1719" t="s">
        <v>3162</v>
      </c>
      <c r="D32" s="1720"/>
      <c r="E32" s="1694"/>
      <c r="F32" s="1694"/>
      <c r="G32" s="1694"/>
      <c r="H32" s="1694"/>
      <c r="I32" s="1707"/>
      <c r="J32" s="1694"/>
      <c r="K32" s="2459"/>
      <c r="L32" s="1694"/>
      <c r="M32" s="1694"/>
      <c r="N32" s="1694"/>
      <c r="O32" s="1694"/>
      <c r="P32" s="1694"/>
      <c r="Q32" s="1694"/>
      <c r="R32" s="1694"/>
      <c r="S32" s="1694"/>
      <c r="T32" s="1694"/>
      <c r="U32" s="1694"/>
    </row>
    <row r="33" spans="1:21">
      <c r="A33" s="3238"/>
      <c r="B33" s="1661" t="s">
        <v>2005</v>
      </c>
      <c r="C33" s="1721" t="s">
        <v>3163</v>
      </c>
      <c r="D33" s="1838"/>
      <c r="E33" s="1694"/>
      <c r="F33" s="1694"/>
      <c r="G33" s="1694"/>
      <c r="H33" s="1694"/>
      <c r="I33" s="1707"/>
      <c r="J33" s="1694"/>
      <c r="K33" s="2459"/>
      <c r="L33" s="1694"/>
      <c r="M33" s="1694"/>
      <c r="N33" s="1694"/>
      <c r="O33" s="1694"/>
      <c r="P33" s="1694"/>
      <c r="Q33" s="1694"/>
      <c r="R33" s="1694"/>
      <c r="S33" s="1694"/>
      <c r="T33" s="1694"/>
      <c r="U33" s="1694"/>
    </row>
    <row r="34" spans="1:21">
      <c r="A34" s="3239"/>
      <c r="B34" s="1661" t="s">
        <v>2006</v>
      </c>
      <c r="C34" s="3240"/>
      <c r="D34" s="3241"/>
      <c r="E34" s="1694"/>
      <c r="F34" s="1694"/>
      <c r="G34" s="1694"/>
      <c r="H34" s="1694"/>
      <c r="I34" s="1707"/>
      <c r="J34" s="1694"/>
      <c r="K34" s="2459"/>
      <c r="L34" s="1694"/>
      <c r="M34" s="1694"/>
      <c r="N34" s="1694"/>
      <c r="O34" s="1694"/>
      <c r="P34" s="1694"/>
      <c r="Q34" s="1694"/>
      <c r="R34" s="1694"/>
      <c r="S34" s="1694"/>
      <c r="T34" s="1694"/>
      <c r="U34" s="1694"/>
    </row>
    <row r="35" spans="1:21">
      <c r="A35" s="3242" t="s">
        <v>846</v>
      </c>
      <c r="B35" s="1722" t="s">
        <v>3164</v>
      </c>
      <c r="C35" s="1776" t="str">
        <f>IF(B35="场地平整","——","具体情况：")</f>
        <v>——</v>
      </c>
      <c r="D35" s="3244"/>
      <c r="E35" s="3245"/>
      <c r="F35" s="3245"/>
      <c r="G35" s="3245"/>
      <c r="H35" s="3245"/>
      <c r="I35" s="3246"/>
      <c r="J35" s="1694"/>
      <c r="K35" s="1775"/>
      <c r="L35" s="1723"/>
      <c r="M35" s="1723"/>
      <c r="N35" s="1694"/>
      <c r="O35" s="1695"/>
      <c r="P35" s="1694"/>
      <c r="Q35" s="1694"/>
      <c r="R35" s="1694"/>
      <c r="S35" s="1694"/>
      <c r="T35" s="1694"/>
      <c r="U35" s="1694"/>
    </row>
    <row r="36" spans="1:21">
      <c r="A36" s="3238"/>
      <c r="B36" s="3247" t="s">
        <v>2055</v>
      </c>
      <c r="C36" s="3248"/>
      <c r="D36" s="1792" t="s">
        <v>3165</v>
      </c>
      <c r="E36" s="3249"/>
      <c r="F36" s="3249"/>
      <c r="G36" s="1687" t="str">
        <f>IF(B35="场地未平整","估价结果处理","")</f>
        <v/>
      </c>
      <c r="H36" s="3250"/>
      <c r="I36" s="3250"/>
      <c r="J36" s="1694"/>
      <c r="K36" s="1775"/>
      <c r="L36" s="1723"/>
      <c r="M36" s="1723"/>
      <c r="N36" s="1694"/>
      <c r="O36" s="1695"/>
      <c r="P36" s="1694"/>
      <c r="Q36" s="1694"/>
      <c r="R36" s="1694"/>
      <c r="S36" s="1694"/>
      <c r="T36" s="1694"/>
      <c r="U36" s="1694"/>
    </row>
    <row r="37" spans="1:21" ht="28.5">
      <c r="A37" s="3238"/>
      <c r="B37" s="326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38"/>
      <c r="B38" s="3269"/>
      <c r="C38" s="1669" t="s">
        <v>849</v>
      </c>
      <c r="D38" s="1791">
        <f>ROUNDDOWN(MIN(('数据-取费表'!$B$2-D37)/365,D34),1)</f>
        <v>118.8</v>
      </c>
      <c r="E38" s="1727" t="s">
        <v>850</v>
      </c>
      <c r="F38" s="1694"/>
      <c r="G38" s="1694"/>
      <c r="H38" s="1694"/>
      <c r="I38" s="1707"/>
      <c r="J38" s="1694"/>
      <c r="K38" s="1775"/>
      <c r="L38" s="1694"/>
      <c r="M38" s="1694"/>
      <c r="N38" s="1694"/>
      <c r="O38" s="1694"/>
      <c r="P38" s="1694"/>
      <c r="Q38" s="1694"/>
      <c r="R38" s="1694"/>
      <c r="S38" s="1694"/>
      <c r="T38" s="1694"/>
      <c r="U38" s="1694"/>
    </row>
    <row r="39" spans="1:21">
      <c r="A39" s="3239"/>
      <c r="B39" s="327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3166</v>
      </c>
      <c r="C40" s="1690" t="s">
        <v>3167</v>
      </c>
      <c r="D40" s="1690" t="s">
        <v>3168</v>
      </c>
      <c r="E40" s="1690"/>
      <c r="F40" s="1690"/>
      <c r="G40" s="1690"/>
      <c r="H40" s="1690"/>
      <c r="I40" s="1707"/>
      <c r="J40" s="1694"/>
      <c r="K40" s="1730">
        <f>COUNTIF(B40:H40,"——")</f>
        <v>0</v>
      </c>
      <c r="L40" s="1699" t="s">
        <v>1979</v>
      </c>
      <c r="M40" s="1696" t="s">
        <v>1980</v>
      </c>
      <c r="N40" s="1696" t="s">
        <v>1981</v>
      </c>
      <c r="O40" s="1696" t="s">
        <v>1982</v>
      </c>
      <c r="P40" s="1696" t="s">
        <v>1983</v>
      </c>
      <c r="Q40" s="1696" t="s">
        <v>1984</v>
      </c>
      <c r="R40" s="1696" t="s">
        <v>1985</v>
      </c>
      <c r="S40" s="3251" t="s">
        <v>1986</v>
      </c>
      <c r="T40" s="1731" t="str">
        <f>NUMBERSTRING(7-K40,1)&amp;"通"</f>
        <v>七通</v>
      </c>
      <c r="U40" s="1694"/>
    </row>
    <row r="41" spans="1:21">
      <c r="A41" s="1663"/>
      <c r="B41" s="3243" t="s">
        <v>1720</v>
      </c>
      <c r="C41" s="3243"/>
      <c r="D41" s="3243"/>
      <c r="E41" s="3243"/>
      <c r="F41" s="1732">
        <f>C10</f>
        <v>0</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51"/>
      <c r="T41" s="1733" t="str">
        <f>IF(T40="一通",L41,IF(T40="二通",M41,IF(T40="三通",N41,IF(T40="四通",O41,IF(T40="五通",P41,IF(T40="六通",Q41,R41))))))</f>
        <v>通路、通电、通上水、、、、</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2890</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I13" activeCellId="4" sqref="AL16 AH17 AD17 K14 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14000.08</v>
      </c>
      <c r="B3" s="22">
        <f>IF(C3="否",G5-AT5,G5)</f>
        <v>155944.12999999998</v>
      </c>
      <c r="C3" s="23" t="s">
        <v>3163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159896.10999999999</v>
      </c>
      <c r="H5" s="27">
        <f t="shared" ref="H5:AT5" si="0">SUM(H13:H641)</f>
        <v>147405.65</v>
      </c>
      <c r="I5" s="27">
        <f t="shared" si="0"/>
        <v>105477.65</v>
      </c>
      <c r="J5" s="27">
        <f t="shared" si="0"/>
        <v>0</v>
      </c>
      <c r="K5" s="27">
        <f t="shared" si="0"/>
        <v>2906.04</v>
      </c>
      <c r="L5" s="27">
        <f t="shared" si="0"/>
        <v>0</v>
      </c>
      <c r="M5" s="27">
        <f t="shared" si="0"/>
        <v>39021.96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8538.48</v>
      </c>
      <c r="AD5" s="27">
        <f t="shared" si="0"/>
        <v>808.44</v>
      </c>
      <c r="AE5" s="27">
        <f t="shared" si="0"/>
        <v>0</v>
      </c>
      <c r="AF5" s="27">
        <f t="shared" si="0"/>
        <v>2037.24</v>
      </c>
      <c r="AG5" s="27">
        <f t="shared" si="0"/>
        <v>0</v>
      </c>
      <c r="AH5" s="27">
        <f t="shared" si="0"/>
        <v>300.76</v>
      </c>
      <c r="AI5" s="27">
        <f t="shared" si="0"/>
        <v>0</v>
      </c>
      <c r="AJ5" s="27">
        <f t="shared" si="0"/>
        <v>0</v>
      </c>
      <c r="AK5" s="27">
        <f t="shared" si="0"/>
        <v>0</v>
      </c>
      <c r="AL5" s="27">
        <f t="shared" si="0"/>
        <v>3656.42</v>
      </c>
      <c r="AM5" s="27">
        <f t="shared" si="0"/>
        <v>0</v>
      </c>
      <c r="AN5" s="27">
        <f t="shared" si="0"/>
        <v>1735.62</v>
      </c>
      <c r="AO5" s="27">
        <f t="shared" si="0"/>
        <v>0</v>
      </c>
      <c r="AP5" s="27">
        <f t="shared" si="0"/>
        <v>0</v>
      </c>
      <c r="AQ5" s="27">
        <f t="shared" si="0"/>
        <v>0</v>
      </c>
      <c r="AR5" s="27">
        <f t="shared" si="0"/>
        <v>0</v>
      </c>
      <c r="AS5" s="27">
        <f t="shared" si="0"/>
        <v>0</v>
      </c>
      <c r="AT5" s="27">
        <f t="shared" si="0"/>
        <v>3951.98</v>
      </c>
      <c r="AU5" s="988"/>
      <c r="AV5" s="26" t="s">
        <v>167</v>
      </c>
      <c r="AW5" s="989"/>
      <c r="AX5" s="989"/>
      <c r="AY5" s="28" t="s">
        <v>3</v>
      </c>
      <c r="AZ5" s="29">
        <f t="shared" ref="AZ5:BT5" si="1">SUM(AZ13:AZ641)</f>
        <v>155944.13</v>
      </c>
      <c r="BA5" s="29">
        <f t="shared" si="1"/>
        <v>147405.65</v>
      </c>
      <c r="BB5" s="29">
        <f t="shared" si="1"/>
        <v>105477.65</v>
      </c>
      <c r="BC5" s="29">
        <f t="shared" si="1"/>
        <v>2906.04</v>
      </c>
      <c r="BD5" s="29">
        <f t="shared" si="1"/>
        <v>39021.96</v>
      </c>
      <c r="BE5" s="29">
        <f t="shared" si="1"/>
        <v>0</v>
      </c>
      <c r="BF5" s="29">
        <f t="shared" si="1"/>
        <v>0</v>
      </c>
      <c r="BG5" s="29">
        <f t="shared" si="1"/>
        <v>0</v>
      </c>
      <c r="BH5" s="29">
        <f t="shared" si="1"/>
        <v>0</v>
      </c>
      <c r="BI5" s="29">
        <f t="shared" si="1"/>
        <v>0</v>
      </c>
      <c r="BJ5" s="29">
        <f t="shared" si="1"/>
        <v>0</v>
      </c>
      <c r="BK5" s="29">
        <f t="shared" si="1"/>
        <v>0</v>
      </c>
      <c r="BL5" s="29">
        <f t="shared" si="1"/>
        <v>8538.48</v>
      </c>
      <c r="BM5" s="29">
        <f t="shared" si="1"/>
        <v>808.44</v>
      </c>
      <c r="BN5" s="29">
        <f t="shared" si="1"/>
        <v>2037.24</v>
      </c>
      <c r="BO5" s="29">
        <f t="shared" si="1"/>
        <v>300.76</v>
      </c>
      <c r="BP5" s="29">
        <f t="shared" si="1"/>
        <v>0</v>
      </c>
      <c r="BQ5" s="29">
        <f t="shared" si="1"/>
        <v>3656.42</v>
      </c>
      <c r="BR5" s="29">
        <f t="shared" si="1"/>
        <v>1735.62</v>
      </c>
      <c r="BS5" s="29">
        <f t="shared" si="1"/>
        <v>0</v>
      </c>
      <c r="BT5" s="30">
        <f t="shared" si="1"/>
        <v>0</v>
      </c>
    </row>
    <row r="6" spans="1:72" s="37" customFormat="1" ht="12.75">
      <c r="A6" s="26" t="s">
        <v>168</v>
      </c>
      <c r="B6" s="31"/>
      <c r="C6" s="31"/>
      <c r="D6" s="32"/>
      <c r="E6" s="27">
        <f>H6+AC6+AT6</f>
        <v>14000.089999999998</v>
      </c>
      <c r="F6" s="27" t="s">
        <v>1</v>
      </c>
      <c r="G6" s="27" t="s">
        <v>2</v>
      </c>
      <c r="H6" s="33">
        <f>SUMIF(I$12:AB$12,"总值",I6:AB6)</f>
        <v>13233.529999999999</v>
      </c>
      <c r="I6" s="27">
        <f t="shared" ref="I6:AB6" si="2">ROUND($A$3*I5/$B$3,2)</f>
        <v>9469.39</v>
      </c>
      <c r="J6" s="27">
        <f t="shared" si="2"/>
        <v>0</v>
      </c>
      <c r="K6" s="27">
        <f t="shared" si="2"/>
        <v>260.89</v>
      </c>
      <c r="L6" s="27">
        <f t="shared" si="2"/>
        <v>0</v>
      </c>
      <c r="M6" s="27">
        <f t="shared" si="2"/>
        <v>3503.25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766.56</v>
      </c>
      <c r="AD6" s="27">
        <f t="shared" ref="AD6:AS6" si="3">ROUND($A$3*AD5/$B$3,2)</f>
        <v>72.58</v>
      </c>
      <c r="AE6" s="27">
        <f t="shared" si="3"/>
        <v>0</v>
      </c>
      <c r="AF6" s="27">
        <f t="shared" si="3"/>
        <v>182.9</v>
      </c>
      <c r="AG6" s="27">
        <f t="shared" si="3"/>
        <v>0</v>
      </c>
      <c r="AH6" s="27">
        <f t="shared" si="3"/>
        <v>27</v>
      </c>
      <c r="AI6" s="27">
        <f t="shared" si="3"/>
        <v>0</v>
      </c>
      <c r="AJ6" s="27">
        <f t="shared" si="3"/>
        <v>0</v>
      </c>
      <c r="AK6" s="27">
        <f t="shared" si="3"/>
        <v>0</v>
      </c>
      <c r="AL6" s="27">
        <f t="shared" si="3"/>
        <v>328.26</v>
      </c>
      <c r="AM6" s="27">
        <f t="shared" si="3"/>
        <v>0</v>
      </c>
      <c r="AN6" s="27">
        <f t="shared" si="3"/>
        <v>155.82</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14000.08</v>
      </c>
      <c r="AZ6" s="27" t="s">
        <v>3</v>
      </c>
      <c r="BA6" s="27">
        <f>ROUND($AY$6*BA5/$AZ$5,2)</f>
        <v>13233.53</v>
      </c>
      <c r="BB6" s="27">
        <f>ROUND($AY$6*BB5/$AZ$5,2)</f>
        <v>9469.39</v>
      </c>
      <c r="BC6" s="27">
        <f t="shared" ref="BC6:BH6" si="4">ROUND($AY$6*BC5/$AZ$5,2)</f>
        <v>260.89</v>
      </c>
      <c r="BD6" s="27">
        <f t="shared" si="4"/>
        <v>3503.25</v>
      </c>
      <c r="BE6" s="27">
        <f t="shared" si="4"/>
        <v>0</v>
      </c>
      <c r="BF6" s="27">
        <f t="shared" si="4"/>
        <v>0</v>
      </c>
      <c r="BG6" s="27">
        <f t="shared" si="4"/>
        <v>0</v>
      </c>
      <c r="BH6" s="27">
        <f t="shared" si="4"/>
        <v>0</v>
      </c>
      <c r="BI6" s="27">
        <f t="shared" ref="BI6:BT6" si="5">ROUND($AY$6*BI5/$AZ$5,2)</f>
        <v>0</v>
      </c>
      <c r="BJ6" s="27">
        <f t="shared" si="5"/>
        <v>0</v>
      </c>
      <c r="BK6" s="27">
        <f t="shared" si="5"/>
        <v>0</v>
      </c>
      <c r="BL6" s="27">
        <f t="shared" si="5"/>
        <v>766.55</v>
      </c>
      <c r="BM6" s="27">
        <f t="shared" si="5"/>
        <v>72.58</v>
      </c>
      <c r="BN6" s="27">
        <f t="shared" si="5"/>
        <v>182.9</v>
      </c>
      <c r="BO6" s="27">
        <f t="shared" si="5"/>
        <v>27</v>
      </c>
      <c r="BP6" s="27">
        <f t="shared" si="5"/>
        <v>0</v>
      </c>
      <c r="BQ6" s="27">
        <f t="shared" si="5"/>
        <v>328.26</v>
      </c>
      <c r="BR6" s="27">
        <f t="shared" si="5"/>
        <v>155.82</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3187</v>
      </c>
      <c r="J9" s="51"/>
      <c r="K9" s="3020" t="s">
        <v>3187</v>
      </c>
      <c r="L9" s="51"/>
      <c r="M9" s="3020" t="s">
        <v>3193</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3190</v>
      </c>
      <c r="L10" s="51"/>
      <c r="M10" s="3022" t="s">
        <v>3191</v>
      </c>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2331</v>
      </c>
      <c r="AK10" s="2334"/>
      <c r="AL10" s="2315" t="s">
        <v>2319</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3185</v>
      </c>
      <c r="D13" s="3016" t="s">
        <v>1678</v>
      </c>
      <c r="E13" s="27">
        <f t="shared" ref="E13:E20" si="6">IF($C$3="是",ROUND($A$3*G13/$B$3,2),ROUND($A$3*(G13-AT13)/$B$3,2))</f>
        <v>9469.39</v>
      </c>
      <c r="F13" s="81"/>
      <c r="G13" s="82">
        <f t="shared" ref="G13:G20" si="7">H13+AC13+AT13</f>
        <v>109429.62999999999</v>
      </c>
      <c r="H13" s="33">
        <f t="shared" ref="H13:H20" si="8">SUMIF(I$12:AB$12,"总值",I13:AB13)</f>
        <v>105477.65</v>
      </c>
      <c r="I13" s="3019">
        <v>105477.65</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v>3951.98</v>
      </c>
      <c r="AU13" s="3025"/>
      <c r="AV13" s="17">
        <f t="shared" ref="AV13:AX20" si="10">A13</f>
        <v>0</v>
      </c>
      <c r="AW13" s="17">
        <f t="shared" si="10"/>
        <v>0</v>
      </c>
      <c r="AX13" s="17" t="str">
        <f t="shared" si="10"/>
        <v>住宅</v>
      </c>
      <c r="AY13" s="996">
        <f t="shared" ref="AY13:AY20" si="11">ROUND($AY$6*AZ13/$AZ$5,2)</f>
        <v>9469.39</v>
      </c>
      <c r="AZ13" s="27">
        <f t="shared" ref="AZ13:AZ20" si="12">BA13+BL13</f>
        <v>105477.65</v>
      </c>
      <c r="BA13" s="27">
        <f t="shared" ref="BA13:BA20" si="13">SUM(BB13:BK13)</f>
        <v>105477.65</v>
      </c>
      <c r="BB13" s="27">
        <f t="shared" ref="BB13:BB20" si="14">IF($D13="是",I13-J13,0)</f>
        <v>105477.65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t="s">
        <v>3186</v>
      </c>
      <c r="D14" s="3016" t="s">
        <v>1678</v>
      </c>
      <c r="E14" s="27">
        <f t="shared" si="6"/>
        <v>260.89</v>
      </c>
      <c r="F14" s="81"/>
      <c r="G14" s="82">
        <f t="shared" si="7"/>
        <v>2906.04</v>
      </c>
      <c r="H14" s="33">
        <f t="shared" si="8"/>
        <v>2906.04</v>
      </c>
      <c r="I14" s="3019"/>
      <c r="J14" s="3019"/>
      <c r="K14" s="3193">
        <v>2906.04</v>
      </c>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会所</v>
      </c>
      <c r="AY14" s="996">
        <f t="shared" si="11"/>
        <v>260.89</v>
      </c>
      <c r="AZ14" s="27">
        <f t="shared" si="12"/>
        <v>2906.04</v>
      </c>
      <c r="BA14" s="27">
        <f t="shared" si="13"/>
        <v>2906.04</v>
      </c>
      <c r="BB14" s="27">
        <f t="shared" si="14"/>
        <v>0</v>
      </c>
      <c r="BC14" s="27">
        <f t="shared" si="15"/>
        <v>2906.04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t="s">
        <v>3192</v>
      </c>
      <c r="D15" s="3016" t="s">
        <v>1678</v>
      </c>
      <c r="E15" s="27">
        <f t="shared" si="6"/>
        <v>3503.25</v>
      </c>
      <c r="F15" s="81"/>
      <c r="G15" s="82">
        <f t="shared" si="7"/>
        <v>39021.96</v>
      </c>
      <c r="H15" s="33">
        <f t="shared" si="8"/>
        <v>39021.96</v>
      </c>
      <c r="I15" s="3019"/>
      <c r="J15" s="3019"/>
      <c r="K15" s="3019"/>
      <c r="L15" s="3019"/>
      <c r="M15" s="3019">
        <v>39021.96</v>
      </c>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t="str">
        <f t="shared" si="10"/>
        <v>车库</v>
      </c>
      <c r="AY15" s="996">
        <f t="shared" si="11"/>
        <v>3503.25</v>
      </c>
      <c r="AZ15" s="27">
        <f t="shared" si="12"/>
        <v>39021.96</v>
      </c>
      <c r="BA15" s="27">
        <f t="shared" si="13"/>
        <v>39021.96</v>
      </c>
      <c r="BB15" s="27">
        <f t="shared" si="14"/>
        <v>0</v>
      </c>
      <c r="BC15" s="27">
        <f t="shared" si="15"/>
        <v>0</v>
      </c>
      <c r="BD15" s="27">
        <f t="shared" si="16"/>
        <v>39021.96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3189</v>
      </c>
      <c r="D16" s="3016" t="s">
        <v>1678</v>
      </c>
      <c r="E16" s="27">
        <f t="shared" si="6"/>
        <v>484.08</v>
      </c>
      <c r="F16" s="81"/>
      <c r="G16" s="82">
        <f t="shared" si="7"/>
        <v>5392.04</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5392.04</v>
      </c>
      <c r="AD16" s="3023"/>
      <c r="AE16" s="3023"/>
      <c r="AF16" s="3023"/>
      <c r="AG16" s="3023"/>
      <c r="AH16" s="3023"/>
      <c r="AI16" s="3023"/>
      <c r="AJ16" s="3023"/>
      <c r="AK16" s="3023"/>
      <c r="AL16" s="3023">
        <f>Sheet4!G4</f>
        <v>3656.42</v>
      </c>
      <c r="AM16" s="3023"/>
      <c r="AN16" s="3023">
        <f>Sheet4!G2</f>
        <v>1735.62</v>
      </c>
      <c r="AO16" s="3023"/>
      <c r="AP16" s="3023"/>
      <c r="AQ16" s="3023"/>
      <c r="AR16" s="3023"/>
      <c r="AS16" s="3023"/>
      <c r="AT16" s="3024"/>
      <c r="AU16" s="3025"/>
      <c r="AV16" s="17">
        <f t="shared" si="10"/>
        <v>0</v>
      </c>
      <c r="AW16" s="17">
        <f t="shared" si="10"/>
        <v>0</v>
      </c>
      <c r="AX16" s="17" t="str">
        <f t="shared" si="10"/>
        <v>设备</v>
      </c>
      <c r="AY16" s="996">
        <f t="shared" si="11"/>
        <v>484.08</v>
      </c>
      <c r="AZ16" s="27">
        <f t="shared" si="12"/>
        <v>5392.04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5392.04</v>
      </c>
      <c r="BM16" s="27">
        <f t="shared" si="25"/>
        <v>0</v>
      </c>
      <c r="BN16" s="27">
        <f t="shared" si="26"/>
        <v>0</v>
      </c>
      <c r="BO16" s="27">
        <f t="shared" si="27"/>
        <v>0</v>
      </c>
      <c r="BP16" s="27">
        <f t="shared" si="28"/>
        <v>0</v>
      </c>
      <c r="BQ16" s="27">
        <f t="shared" si="29"/>
        <v>3656.42</v>
      </c>
      <c r="BR16" s="27">
        <f t="shared" si="30"/>
        <v>1735.62</v>
      </c>
      <c r="BS16" s="27">
        <f t="shared" si="31"/>
        <v>0</v>
      </c>
      <c r="BT16" s="36">
        <f t="shared" si="32"/>
        <v>0</v>
      </c>
    </row>
    <row r="17" spans="1:72" s="18" customFormat="1" ht="12.75">
      <c r="A17" s="3015"/>
      <c r="B17" s="3015"/>
      <c r="C17" s="3017" t="s">
        <v>3188</v>
      </c>
      <c r="D17" s="3016" t="s">
        <v>1678</v>
      </c>
      <c r="E17" s="27">
        <f t="shared" si="6"/>
        <v>282.48</v>
      </c>
      <c r="F17" s="81"/>
      <c r="G17" s="82">
        <f t="shared" si="7"/>
        <v>3146.4400000000005</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3146.4400000000005</v>
      </c>
      <c r="AD17" s="3023">
        <f>Sheet4!G5</f>
        <v>808.44</v>
      </c>
      <c r="AE17" s="3023"/>
      <c r="AF17" s="3023">
        <f>Sheet4!G3</f>
        <v>2037.24</v>
      </c>
      <c r="AG17" s="3023"/>
      <c r="AH17" s="3023">
        <f>Sheet4!G6</f>
        <v>300.76</v>
      </c>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配套</v>
      </c>
      <c r="AY17" s="996">
        <f t="shared" si="11"/>
        <v>282.48</v>
      </c>
      <c r="AZ17" s="27">
        <f t="shared" si="12"/>
        <v>3146.4400000000005</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3146.4400000000005</v>
      </c>
      <c r="BM17" s="27">
        <f t="shared" si="25"/>
        <v>808.44</v>
      </c>
      <c r="BN17" s="27">
        <f t="shared" si="26"/>
        <v>2037.24</v>
      </c>
      <c r="BO17" s="27">
        <f t="shared" si="27"/>
        <v>300.76</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C22" sqref="C22"/>
    </sheetView>
  </sheetViews>
  <sheetFormatPr defaultRowHeight="13.5"/>
  <cols>
    <col min="2" max="2" width="16.375" customWidth="1"/>
    <col min="3" max="3" width="15.125" customWidth="1"/>
    <col min="6" max="6" width="12.875" customWidth="1"/>
  </cols>
  <sheetData>
    <row r="1" spans="1:7">
      <c r="A1" s="3194" t="s">
        <v>3194</v>
      </c>
      <c r="B1" s="3194" t="s">
        <v>3195</v>
      </c>
      <c r="C1" s="3194" t="s">
        <v>3196</v>
      </c>
      <c r="D1" s="3287" t="s">
        <v>3216</v>
      </c>
      <c r="E1" s="3288"/>
    </row>
    <row r="2" spans="1:7">
      <c r="A2" s="3194" t="s">
        <v>3197</v>
      </c>
      <c r="B2" s="3195"/>
      <c r="C2" s="3195">
        <v>3951.98</v>
      </c>
      <c r="D2" s="3195"/>
      <c r="E2" s="3195"/>
      <c r="F2" s="3192" t="s">
        <v>3215</v>
      </c>
      <c r="G2">
        <f>C4+C5+C6+C7</f>
        <v>1735.62</v>
      </c>
    </row>
    <row r="3" spans="1:7">
      <c r="A3" s="3194" t="s">
        <v>3198</v>
      </c>
      <c r="B3" s="3195"/>
      <c r="C3" s="3195">
        <v>2037.24</v>
      </c>
      <c r="D3" s="3195"/>
      <c r="E3" s="3195"/>
      <c r="F3" s="3192" t="s">
        <v>3217</v>
      </c>
      <c r="G3">
        <f>C3</f>
        <v>2037.24</v>
      </c>
    </row>
    <row r="4" spans="1:7">
      <c r="A4" s="3194" t="s">
        <v>3199</v>
      </c>
      <c r="B4" s="3195"/>
      <c r="C4" s="3195">
        <v>102.18</v>
      </c>
      <c r="D4" s="3195"/>
      <c r="E4" s="3195"/>
      <c r="F4" s="3192" t="s">
        <v>3218</v>
      </c>
      <c r="G4">
        <f>B9+E12+E15+E16+E17+B18</f>
        <v>3656.42</v>
      </c>
    </row>
    <row r="5" spans="1:7">
      <c r="A5" s="3194" t="s">
        <v>3200</v>
      </c>
      <c r="B5" s="3195"/>
      <c r="C5" s="3195">
        <v>1087.51</v>
      </c>
      <c r="D5" s="3195"/>
      <c r="E5" s="3195"/>
      <c r="F5" s="3192" t="s">
        <v>3219</v>
      </c>
      <c r="G5">
        <f>E13</f>
        <v>808.44</v>
      </c>
    </row>
    <row r="6" spans="1:7">
      <c r="A6" s="3194" t="s">
        <v>3201</v>
      </c>
      <c r="B6" s="3195"/>
      <c r="C6" s="3195">
        <v>108.58</v>
      </c>
      <c r="D6" s="3195"/>
      <c r="E6" s="3195"/>
      <c r="F6" s="3192" t="s">
        <v>3220</v>
      </c>
      <c r="G6">
        <f>E14</f>
        <v>300.76</v>
      </c>
    </row>
    <row r="7" spans="1:7">
      <c r="A7" s="3194" t="s">
        <v>3202</v>
      </c>
      <c r="B7" s="3195"/>
      <c r="C7" s="3195">
        <v>437.35</v>
      </c>
      <c r="D7" s="3195"/>
      <c r="E7" s="3195"/>
    </row>
    <row r="8" spans="1:7">
      <c r="A8" s="3194" t="s">
        <v>3203</v>
      </c>
      <c r="B8" s="3195"/>
      <c r="C8" s="3195">
        <v>39021.96</v>
      </c>
      <c r="D8" s="3195"/>
      <c r="E8" s="3195"/>
    </row>
    <row r="9" spans="1:7">
      <c r="A9" s="3194" t="s">
        <v>3204</v>
      </c>
      <c r="B9" s="3195">
        <v>3150.46</v>
      </c>
      <c r="C9" s="3195"/>
      <c r="D9" s="3195"/>
      <c r="E9" s="3195"/>
    </row>
    <row r="10" spans="1:7">
      <c r="A10" s="3194" t="s">
        <v>3205</v>
      </c>
      <c r="B10" s="3195">
        <v>105477.65</v>
      </c>
      <c r="C10" s="3195"/>
      <c r="D10" s="3195"/>
      <c r="E10" s="3195"/>
    </row>
    <row r="11" spans="1:7">
      <c r="A11" s="3194" t="s">
        <v>3206</v>
      </c>
      <c r="B11" s="3195">
        <v>2906.04</v>
      </c>
      <c r="C11" s="3195"/>
      <c r="D11" s="3195"/>
      <c r="E11" s="3195"/>
    </row>
    <row r="12" spans="1:7">
      <c r="A12" s="3281" t="s">
        <v>3207</v>
      </c>
      <c r="B12" s="3284">
        <v>1262.92</v>
      </c>
      <c r="C12" s="3284"/>
      <c r="D12" s="3194" t="s">
        <v>3208</v>
      </c>
      <c r="E12" s="3195">
        <v>36.79</v>
      </c>
    </row>
    <row r="13" spans="1:7">
      <c r="A13" s="3282"/>
      <c r="B13" s="3285"/>
      <c r="C13" s="3285"/>
      <c r="D13" s="3194" t="s">
        <v>3209</v>
      </c>
      <c r="E13" s="3195">
        <v>808.44</v>
      </c>
    </row>
    <row r="14" spans="1:7">
      <c r="A14" s="3282"/>
      <c r="B14" s="3285"/>
      <c r="C14" s="3285"/>
      <c r="D14" s="3194" t="s">
        <v>3210</v>
      </c>
      <c r="E14" s="3195">
        <v>300.76</v>
      </c>
    </row>
    <row r="15" spans="1:7">
      <c r="A15" s="3282"/>
      <c r="B15" s="3285"/>
      <c r="C15" s="3285"/>
      <c r="D15" s="3194" t="s">
        <v>3211</v>
      </c>
      <c r="E15" s="3195">
        <v>14.98</v>
      </c>
    </row>
    <row r="16" spans="1:7">
      <c r="A16" s="3282"/>
      <c r="B16" s="3285"/>
      <c r="C16" s="3285"/>
      <c r="D16" s="3194" t="s">
        <v>3212</v>
      </c>
      <c r="E16" s="3195">
        <v>60.18</v>
      </c>
    </row>
    <row r="17" spans="1:5">
      <c r="A17" s="3283"/>
      <c r="B17" s="3286"/>
      <c r="C17" s="3286"/>
      <c r="D17" s="3194" t="s">
        <v>3213</v>
      </c>
      <c r="E17" s="3195">
        <v>41.77</v>
      </c>
    </row>
    <row r="18" spans="1:5">
      <c r="A18" s="3194" t="s">
        <v>3214</v>
      </c>
      <c r="B18" s="3195">
        <v>352.24</v>
      </c>
      <c r="C18" s="3195"/>
      <c r="D18" s="3194"/>
      <c r="E18" s="3195"/>
    </row>
    <row r="19" spans="1:5">
      <c r="A19" s="3195"/>
      <c r="B19" s="3195"/>
      <c r="C19" s="3195"/>
      <c r="D19" s="3195"/>
      <c r="E19" s="3195"/>
    </row>
    <row r="22" spans="1:5">
      <c r="B22" s="3192" t="s">
        <v>3283</v>
      </c>
      <c r="C22">
        <v>109998.85</v>
      </c>
    </row>
    <row r="23" spans="1:5">
      <c r="B23" s="3192" t="s">
        <v>3284</v>
      </c>
      <c r="C23">
        <v>46746.8</v>
      </c>
    </row>
    <row r="24" spans="1:5">
      <c r="B24" s="3192" t="s">
        <v>3285</v>
      </c>
      <c r="C24">
        <f>C8</f>
        <v>39021.96</v>
      </c>
    </row>
    <row r="25" spans="1:5">
      <c r="B25" s="3192" t="s">
        <v>3286</v>
      </c>
      <c r="C25">
        <f>C3+C4+C5+C6+C7</f>
        <v>3772.86</v>
      </c>
    </row>
    <row r="26" spans="1:5">
      <c r="B26" s="3192" t="s">
        <v>3287</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8" t="s">
        <v>202</v>
      </c>
      <c r="B2" s="3298"/>
      <c r="C2" s="3298"/>
      <c r="D2" s="1976" t="s">
        <v>203</v>
      </c>
      <c r="E2" s="106" t="s">
        <v>204</v>
      </c>
      <c r="F2" s="1985"/>
      <c r="G2" s="1198"/>
      <c r="H2" s="1199"/>
      <c r="I2" s="1200" t="s">
        <v>856</v>
      </c>
      <c r="J2" s="1985"/>
      <c r="K2" s="1985"/>
      <c r="L2" s="1985"/>
    </row>
    <row r="3" spans="1:16" ht="15.75" thickBot="1">
      <c r="A3" s="3299" t="s">
        <v>205</v>
      </c>
      <c r="B3" s="3299"/>
      <c r="C3" s="3299"/>
      <c r="D3" s="107">
        <f>'数据-基础表'!AY6</f>
        <v>14000.08</v>
      </c>
      <c r="E3" s="107">
        <f>'数据-基础表'!AZ5</f>
        <v>155944.13</v>
      </c>
      <c r="F3" s="1985"/>
      <c r="G3" s="280" t="s">
        <v>857</v>
      </c>
      <c r="H3" s="275" t="s">
        <v>858</v>
      </c>
      <c r="I3" s="1977">
        <f>ROUND('数据-基础表'!B3/'数据-基础表'!A3,2)</f>
        <v>11.14</v>
      </c>
      <c r="J3" s="1985"/>
      <c r="K3" s="1985"/>
      <c r="L3" s="1985"/>
    </row>
    <row r="4" spans="1:16" ht="15">
      <c r="A4" s="3300"/>
      <c r="B4" s="3301"/>
      <c r="C4" s="3302"/>
      <c r="D4" s="108" t="s">
        <v>203</v>
      </c>
      <c r="E4" s="109" t="s">
        <v>204</v>
      </c>
      <c r="F4" s="1985"/>
      <c r="G4" s="1201"/>
      <c r="H4" s="275" t="s">
        <v>859</v>
      </c>
      <c r="I4" s="1977">
        <f>ROUND(SUMIF('数据-基础表'!I9:AS9,"地上",'数据-基础表'!I5:AS5)/'数据-基础表'!A3,2)</f>
        <v>8.08</v>
      </c>
      <c r="J4" s="1985"/>
      <c r="K4" s="1985"/>
      <c r="L4" s="1985"/>
    </row>
    <row r="5" spans="1:16">
      <c r="A5" s="110" t="s">
        <v>206</v>
      </c>
      <c r="B5" s="3303" t="s">
        <v>229</v>
      </c>
      <c r="C5" s="3303"/>
      <c r="D5" s="111">
        <f>ROUND($D$3*E5/$E$3,2)</f>
        <v>9469.39</v>
      </c>
      <c r="E5" s="112">
        <f>SUMIF('数据-基础表'!$11:$11,"住宅",'数据-基础表'!$5:$5)</f>
        <v>105477.65</v>
      </c>
      <c r="F5" s="1985"/>
      <c r="G5" s="280" t="s">
        <v>860</v>
      </c>
      <c r="H5" s="275" t="s">
        <v>858</v>
      </c>
      <c r="I5" s="1977">
        <f>ROUND(E31/D31,2)</f>
        <v>11.14</v>
      </c>
      <c r="J5" s="1985"/>
      <c r="K5" s="1985"/>
      <c r="L5" s="1985"/>
    </row>
    <row r="6" spans="1:16" ht="15" thickBot="1">
      <c r="A6" s="113"/>
      <c r="B6" s="3303" t="s">
        <v>207</v>
      </c>
      <c r="C6" s="3303"/>
      <c r="D6" s="111">
        <f>ROUND($D$3*E6/$E$3,2)</f>
        <v>4530.6899999999996</v>
      </c>
      <c r="E6" s="112">
        <f>E3-E5</f>
        <v>50466.48000000001</v>
      </c>
      <c r="F6" s="1985"/>
      <c r="G6" s="1201"/>
      <c r="H6" s="275" t="s">
        <v>859</v>
      </c>
      <c r="I6" s="1977">
        <f>ROUND(F31/D31,2)</f>
        <v>8.08</v>
      </c>
      <c r="J6" s="1985"/>
      <c r="K6" s="1985"/>
      <c r="L6" s="1985"/>
    </row>
    <row r="7" spans="1:16" ht="15">
      <c r="A7" s="3295"/>
      <c r="B7" s="3296"/>
      <c r="C7" s="3297"/>
      <c r="D7" s="108" t="s">
        <v>203</v>
      </c>
      <c r="E7" s="114" t="s">
        <v>230</v>
      </c>
      <c r="F7" s="1985"/>
      <c r="G7" s="1156" t="s">
        <v>1645</v>
      </c>
      <c r="H7" s="1157"/>
      <c r="I7" s="1847">
        <f>Sheet4!C22/D3</f>
        <v>7.8570158170524742</v>
      </c>
      <c r="J7" s="1985"/>
      <c r="K7" s="1985"/>
      <c r="L7" s="1985"/>
    </row>
    <row r="8" spans="1:16">
      <c r="A8" s="110" t="s">
        <v>208</v>
      </c>
      <c r="B8" s="115" t="s">
        <v>209</v>
      </c>
      <c r="C8" s="111" t="s">
        <v>210</v>
      </c>
      <c r="D8" s="111">
        <f t="shared" ref="D8:D15" si="0">ROUND($D$3*E8/$E$3,2)</f>
        <v>9730.2800000000007</v>
      </c>
      <c r="E8" s="116">
        <f>SUMIF('数据-基础表'!BB10:BK10,"地上",'数据-基础表'!BB5:BK5)</f>
        <v>108383.68999999999</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3503.25</v>
      </c>
      <c r="E13" s="116">
        <f>SUMPRODUCT(('数据-基础表'!BB10:BK10="地下")*('数据-基础表'!BB11:BK11="车库")*('数据-基础表'!BB5:BK5))</f>
        <v>39021.96</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13233.53</v>
      </c>
      <c r="E16" s="120">
        <f>SUM(E8:E15)</f>
        <v>147405.65</v>
      </c>
      <c r="F16" s="1985"/>
      <c r="G16" s="1987"/>
      <c r="H16" s="968" t="s">
        <v>218</v>
      </c>
      <c r="I16" s="969"/>
      <c r="J16" s="1985"/>
      <c r="K16" s="3289" t="s">
        <v>2564</v>
      </c>
      <c r="L16" s="3290"/>
      <c r="M16" s="3290"/>
      <c r="N16" s="3290"/>
      <c r="O16" s="3290"/>
      <c r="P16" s="3291"/>
    </row>
    <row r="17" spans="1:19" ht="15">
      <c r="A17" s="121" t="s">
        <v>215</v>
      </c>
      <c r="B17" s="122" t="s">
        <v>216</v>
      </c>
      <c r="C17" s="2299" t="s">
        <v>2313</v>
      </c>
      <c r="D17" s="108" t="s">
        <v>203</v>
      </c>
      <c r="E17" s="124" t="s">
        <v>204</v>
      </c>
      <c r="F17" s="125"/>
      <c r="G17" s="1366"/>
      <c r="H17" s="970" t="s">
        <v>217</v>
      </c>
      <c r="I17" s="971" t="s">
        <v>2312</v>
      </c>
      <c r="J17" s="1985"/>
      <c r="K17" s="3292" t="s">
        <v>2565</v>
      </c>
      <c r="L17" s="3293"/>
      <c r="M17" s="3294"/>
      <c r="N17" s="3292" t="s">
        <v>2566</v>
      </c>
      <c r="O17" s="3293"/>
      <c r="P17" s="3294"/>
      <c r="R17" s="2300" t="s">
        <v>2311</v>
      </c>
      <c r="S17" s="144"/>
    </row>
    <row r="18" spans="1:19" ht="15">
      <c r="A18" s="117"/>
      <c r="B18" s="128"/>
      <c r="C18" s="129"/>
      <c r="D18" s="2643"/>
      <c r="E18" s="130" t="s">
        <v>219</v>
      </c>
      <c r="F18" s="131" t="s">
        <v>220</v>
      </c>
      <c r="G18" s="1367" t="s">
        <v>221</v>
      </c>
      <c r="H18" s="972" t="s">
        <v>222</v>
      </c>
      <c r="I18" s="973" t="s">
        <v>223</v>
      </c>
      <c r="J18" s="1985"/>
      <c r="K18" s="2606" t="s">
        <v>2567</v>
      </c>
      <c r="L18" s="2607" t="s">
        <v>2568</v>
      </c>
      <c r="M18" s="2608" t="s">
        <v>2569</v>
      </c>
      <c r="N18" s="2606" t="s">
        <v>2567</v>
      </c>
      <c r="O18" s="2607" t="s">
        <v>2568</v>
      </c>
      <c r="P18" s="2608" t="s">
        <v>2569</v>
      </c>
      <c r="R18" s="2301" t="s">
        <v>2309</v>
      </c>
      <c r="S18" s="2301" t="s">
        <v>2310</v>
      </c>
    </row>
    <row r="19" spans="1:19">
      <c r="A19" s="133"/>
      <c r="B19" s="115" t="s">
        <v>224</v>
      </c>
      <c r="C19" s="3026" t="s">
        <v>3221</v>
      </c>
      <c r="D19" s="111">
        <f t="shared" ref="D19:D26" si="1">ROUND($D$3*E19/$E$3,2)</f>
        <v>9469.39</v>
      </c>
      <c r="E19" s="134">
        <f t="shared" ref="E19:E26" si="2">SUM(F19:G19)</f>
        <v>105477.65</v>
      </c>
      <c r="F19" s="135">
        <f>'数据-基础表'!I13</f>
        <v>105477.65</v>
      </c>
      <c r="G19" s="1368"/>
      <c r="H19" s="974">
        <f>ROUND($D$3*I19/$E$3,2)</f>
        <v>628.86</v>
      </c>
      <c r="I19" s="116">
        <f>IF($I$17="自定义",P19,M19)</f>
        <v>7004.77</v>
      </c>
      <c r="J19" s="1985"/>
      <c r="K19" s="2609">
        <f t="shared" ref="K19:K26" si="3">ROUND(E$28*E19/E$27,2)</f>
        <v>3858.33</v>
      </c>
      <c r="L19" s="275">
        <f t="shared" ref="L19:L26" si="4">ROUND(IF(COUNTIF(C19,"*住宅*")&gt;0,E$29*E19/E$32,0),2)</f>
        <v>3146.44</v>
      </c>
      <c r="M19" s="2610">
        <f>K19+L19</f>
        <v>7004.77</v>
      </c>
      <c r="N19" s="2611"/>
      <c r="O19" s="2612"/>
      <c r="P19" s="2613">
        <f>N19+O19</f>
        <v>0</v>
      </c>
      <c r="R19" s="275">
        <f t="shared" ref="R19:S26" si="5">D19+H19</f>
        <v>10098.25</v>
      </c>
      <c r="S19" s="2302">
        <f t="shared" si="5"/>
        <v>112482.42</v>
      </c>
    </row>
    <row r="20" spans="1:19">
      <c r="A20" s="138"/>
      <c r="B20" s="115" t="s">
        <v>225</v>
      </c>
      <c r="C20" s="3026" t="s">
        <v>3223</v>
      </c>
      <c r="D20" s="111">
        <f t="shared" si="1"/>
        <v>260.89</v>
      </c>
      <c r="E20" s="134">
        <f t="shared" si="2"/>
        <v>2906.04</v>
      </c>
      <c r="F20" s="135">
        <f>'数据-基础表'!K14</f>
        <v>2906.04</v>
      </c>
      <c r="G20" s="1368"/>
      <c r="H20" s="974">
        <f t="shared" ref="H20:H26" si="6">ROUND($D$3*I20/$E$3,2)</f>
        <v>9.5399999999999991</v>
      </c>
      <c r="I20" s="116">
        <f t="shared" ref="I20:I26" si="7">IF($I$17="自定义",P20,M20)</f>
        <v>106.3</v>
      </c>
      <c r="J20" s="1985"/>
      <c r="K20" s="2609">
        <f t="shared" si="3"/>
        <v>106.3</v>
      </c>
      <c r="L20" s="275">
        <f t="shared" si="4"/>
        <v>0</v>
      </c>
      <c r="M20" s="2610">
        <f t="shared" ref="M20:M26" si="8">K20+L20</f>
        <v>106.3</v>
      </c>
      <c r="N20" s="2611"/>
      <c r="O20" s="2612"/>
      <c r="P20" s="2613">
        <f t="shared" ref="P20:P26" si="9">N20+O20</f>
        <v>0</v>
      </c>
      <c r="R20" s="275">
        <f t="shared" si="5"/>
        <v>270.43</v>
      </c>
      <c r="S20" s="2302">
        <f t="shared" si="5"/>
        <v>3012.34</v>
      </c>
    </row>
    <row r="21" spans="1:19">
      <c r="A21" s="138"/>
      <c r="B21" s="115" t="s">
        <v>225</v>
      </c>
      <c r="C21" s="3026" t="s">
        <v>3224</v>
      </c>
      <c r="D21" s="111">
        <f t="shared" si="1"/>
        <v>3503.25</v>
      </c>
      <c r="E21" s="134">
        <f t="shared" si="2"/>
        <v>39021.96</v>
      </c>
      <c r="F21" s="135"/>
      <c r="G21" s="1368">
        <f>'数据-基础表'!M15</f>
        <v>39021.96</v>
      </c>
      <c r="H21" s="974">
        <f t="shared" si="6"/>
        <v>128.15</v>
      </c>
      <c r="I21" s="116">
        <f t="shared" si="7"/>
        <v>1427.41</v>
      </c>
      <c r="J21" s="1985"/>
      <c r="K21" s="2609">
        <f t="shared" si="3"/>
        <v>1427.41</v>
      </c>
      <c r="L21" s="275">
        <f t="shared" si="4"/>
        <v>0</v>
      </c>
      <c r="M21" s="2610">
        <f t="shared" si="8"/>
        <v>1427.41</v>
      </c>
      <c r="N21" s="2611"/>
      <c r="O21" s="2612"/>
      <c r="P21" s="2613">
        <f t="shared" si="9"/>
        <v>0</v>
      </c>
      <c r="R21" s="275">
        <f t="shared" si="5"/>
        <v>3631.4</v>
      </c>
      <c r="S21" s="2302">
        <f t="shared" si="5"/>
        <v>40449.370000000003</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13233.529999999999</v>
      </c>
      <c r="E27" s="143">
        <f>IF(SUM(E19:E26)='数据-基础表'!BA5,SUM(E19:E26),IF(F27="地上面积有误","面积有误","地下面积有误"))</f>
        <v>147405.65</v>
      </c>
      <c r="F27" s="134">
        <f>IF(SUM(F19:F26)=E8,SUM(F19:F26),"地上面积有误")</f>
        <v>108383.68999999999</v>
      </c>
      <c r="G27" s="112">
        <f>SUM(G19:G26)</f>
        <v>39021.96</v>
      </c>
      <c r="H27" s="975">
        <f>SUM(H19:H26)</f>
        <v>766.55</v>
      </c>
      <c r="I27" s="976">
        <f>SUM(I19:I26)</f>
        <v>8538.4800000000014</v>
      </c>
      <c r="J27" s="1985"/>
      <c r="K27" s="2618">
        <f>SUM(K19:K26)</f>
        <v>5392.04</v>
      </c>
      <c r="L27" s="2619">
        <f>SUM(L19:L26)</f>
        <v>3146.44</v>
      </c>
      <c r="M27" s="2620">
        <f>SUM(M19:M26)</f>
        <v>8538.4800000000014</v>
      </c>
      <c r="N27" s="2618">
        <f t="shared" ref="N27:O27" si="10">SUM(N19:N26)</f>
        <v>0</v>
      </c>
      <c r="O27" s="2619">
        <f t="shared" si="10"/>
        <v>0</v>
      </c>
      <c r="P27" s="2621">
        <f>SUM(P19:P26)</f>
        <v>0</v>
      </c>
      <c r="R27" s="2306">
        <f>IF(SUM(R19:R26)=$D$3,SUM(R19:R26),SUM(R19:R26)&amp;"误差"&amp;ROUND(SUM(R19:R26)-$D$3,2))</f>
        <v>14000.08</v>
      </c>
      <c r="S27" s="275">
        <f>IF(SUM(S19:S26)=$E$3,SUM(S19:S26),SUM(S19:S26)&amp;"误差"&amp;ROUND(SUM(S19:S26)-E3,2))</f>
        <v>155944.13</v>
      </c>
    </row>
    <row r="28" spans="1:19">
      <c r="A28" s="138"/>
      <c r="B28" s="115" t="s">
        <v>226</v>
      </c>
      <c r="C28" s="136" t="s">
        <v>227</v>
      </c>
      <c r="D28" s="111">
        <f>ROUND($D$3*E28/$E$3,2)</f>
        <v>484.08</v>
      </c>
      <c r="E28" s="134">
        <f>SUM(F28:G28)</f>
        <v>5392.04</v>
      </c>
      <c r="F28" s="144">
        <f>'数据-基础表'!BQ5+'数据-基础表'!BS5</f>
        <v>3656.42</v>
      </c>
      <c r="G28" s="145">
        <f>'数据-基础表'!BR5+'数据-基础表'!BT5</f>
        <v>1735.62</v>
      </c>
      <c r="H28" s="1985"/>
      <c r="I28" s="1985"/>
      <c r="J28" s="1985"/>
      <c r="K28" s="1985"/>
      <c r="L28" s="1985"/>
    </row>
    <row r="29" spans="1:19">
      <c r="A29" s="138"/>
      <c r="B29" s="115" t="s">
        <v>226</v>
      </c>
      <c r="C29" s="2314" t="s">
        <v>2320</v>
      </c>
      <c r="D29" s="111">
        <f>ROUND($D$3*E29/$E$3,2)</f>
        <v>282.48</v>
      </c>
      <c r="E29" s="134">
        <f>SUM(F29:G29)</f>
        <v>3146.44</v>
      </c>
      <c r="F29" s="144">
        <f>'数据-基础表'!BM5+'数据-基础表'!BO5</f>
        <v>1109.2</v>
      </c>
      <c r="G29" s="146">
        <f>'数据-基础表'!BN5+'数据-基础表'!BP5</f>
        <v>2037.24</v>
      </c>
      <c r="H29" s="1985"/>
      <c r="I29" s="1985"/>
      <c r="J29" s="1985"/>
      <c r="K29" s="1985"/>
      <c r="L29" s="1985"/>
    </row>
    <row r="30" spans="1:19">
      <c r="A30" s="138"/>
      <c r="B30" s="111"/>
      <c r="C30" s="147" t="s">
        <v>214</v>
      </c>
      <c r="D30" s="134">
        <f>SUM(D28:D29)</f>
        <v>766.56</v>
      </c>
      <c r="E30" s="134">
        <f>SUM(E28:E29)</f>
        <v>8538.48</v>
      </c>
      <c r="F30" s="134">
        <f>SUM(F28:F29)</f>
        <v>4765.62</v>
      </c>
      <c r="G30" s="112">
        <f>SUM(G28:G29)</f>
        <v>3772.8599999999997</v>
      </c>
      <c r="H30" s="1985"/>
      <c r="I30" s="1985"/>
      <c r="J30" s="1985"/>
      <c r="K30" s="1985"/>
      <c r="L30" s="1985"/>
    </row>
    <row r="31" spans="1:19" ht="32.25" customHeight="1" thickBot="1">
      <c r="A31" s="1370"/>
      <c r="B31" s="1371" t="s">
        <v>228</v>
      </c>
      <c r="C31" s="2331" t="s">
        <v>2322</v>
      </c>
      <c r="D31" s="1372">
        <f>D27+D30</f>
        <v>14000.089999999998</v>
      </c>
      <c r="E31" s="1372">
        <f>E27+E30</f>
        <v>155944.13</v>
      </c>
      <c r="F31" s="1373">
        <f>F27+F30</f>
        <v>113149.30999999998</v>
      </c>
      <c r="G31" s="1374">
        <f>G27+G30</f>
        <v>42794.82</v>
      </c>
      <c r="H31" s="1985"/>
      <c r="I31" s="1985"/>
      <c r="J31" s="1985"/>
      <c r="K31" s="1985"/>
      <c r="L31" s="1985"/>
    </row>
    <row r="32" spans="1:19">
      <c r="A32" s="1985"/>
      <c r="B32" s="2364" t="s">
        <v>2321</v>
      </c>
      <c r="C32" s="2648"/>
      <c r="D32" s="1201"/>
      <c r="E32" s="1201">
        <f>SUMIF(C19:C26,"*住宅*",E19:E26)</f>
        <v>105477.65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43390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2826</v>
      </c>
      <c r="O5" s="163" t="s">
        <v>245</v>
      </c>
      <c r="P5" s="165" t="s">
        <v>246</v>
      </c>
      <c r="Q5" s="166" t="s">
        <v>247</v>
      </c>
      <c r="R5" s="167" t="s">
        <v>248</v>
      </c>
      <c r="S5" s="2622" t="s">
        <v>2570</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2323</v>
      </c>
      <c r="AI5" s="171" t="s">
        <v>2292</v>
      </c>
      <c r="AJ5" s="171" t="s">
        <v>257</v>
      </c>
      <c r="AK5" s="159" t="s">
        <v>258</v>
      </c>
      <c r="AL5" s="159" t="s">
        <v>259</v>
      </c>
      <c r="AM5" s="172" t="s">
        <v>260</v>
      </c>
      <c r="AN5" s="2392"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66939</v>
      </c>
      <c r="F6" s="174">
        <f>SUMIF(项目基本情况!D$15:I$15,C6,项目基本情况!D$19:I$19)</f>
        <v>64.510000000000005</v>
      </c>
      <c r="G6" s="175">
        <f>IF(ISERROR(ROUND(POWER(1+H6,D6-F6)*(POWER(1+H6,F6)-1)/(POWER(1+H6,D6)-1),3)),0,ROUND(POWER(1+H6,D6-F6)*(POWER(1+H6,F6)-1)/(POWER(1+H6,D6)-1),3))</f>
        <v>0.98699999999999999</v>
      </c>
      <c r="H6" s="3027">
        <v>4.4999999999999998E-2</v>
      </c>
      <c r="I6" s="3027">
        <v>0.05</v>
      </c>
      <c r="J6" s="176">
        <v>8.5000000000000006E-2</v>
      </c>
      <c r="K6" s="179">
        <f>SUMIF('数据-汇总表'!C$19:C$33,'数据-取费表'!A6,'数据-汇总表'!E$19:E$33)</f>
        <v>105477.65</v>
      </c>
      <c r="L6" s="3028">
        <v>2600</v>
      </c>
      <c r="M6" s="177">
        <f t="shared" ref="M6:M14" si="0">ROUND(K6*L6/10000,0)</f>
        <v>27424</v>
      </c>
      <c r="N6" s="3029">
        <v>0</v>
      </c>
      <c r="O6" s="177">
        <f>IF($N$5="成新度","——",ROUND(M6*N6,0))</f>
        <v>0</v>
      </c>
      <c r="P6" s="178">
        <f>IF($N$5="成新度","——",M6-O6)</f>
        <v>27424</v>
      </c>
      <c r="Q6" s="3030">
        <v>0.15</v>
      </c>
      <c r="R6" s="179">
        <f>SUMIF('数据-汇总表'!C$19:C$33,A6,'数据-汇总表'!R$19:R$33)</f>
        <v>10098.25</v>
      </c>
      <c r="S6" s="132">
        <f>IF('数据-汇总表'!$I$17="按面积比例",SUMIF('数据-汇总表'!C$19:C$33,A6,'数据-汇总表'!K$19:K$33),SUMIF('数据-汇总表'!C$19:C$33,A6,'数据-汇总表'!N$19:N$33))</f>
        <v>3858.33</v>
      </c>
      <c r="T6" s="2235">
        <f>IF($T$4="按面积比例",IF(ISERROR(ROUND($M$14*S6/S$16,0)),"0",ROUND($M$14*S6/S$16,0)),"需自行计算录入")</f>
        <v>1003</v>
      </c>
      <c r="U6" s="180"/>
      <c r="V6" s="181"/>
      <c r="W6" s="181"/>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0.94199999999999995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会所</v>
      </c>
      <c r="B7" s="2338" t="str">
        <f t="shared" ref="B7:B13" si="1">IF(A7=0,"","经营性")</f>
        <v>经营性</v>
      </c>
      <c r="C7" s="173" t="s">
        <v>3190</v>
      </c>
      <c r="D7" s="2309">
        <f>SUMIF(项目基本情况!D$15:I$15,C7,项目基本情况!D$18:I$18)</f>
        <v>40</v>
      </c>
      <c r="E7" s="2310">
        <f>IF(B7="","",SUMIF(项目基本情况!D$15:I$15,C7,项目基本情况!D$17:I$17))</f>
        <v>55982</v>
      </c>
      <c r="F7" s="174">
        <f>SUMIF(项目基本情况!D$15:I$15,C7,项目基本情况!D$19:I$19)</f>
        <v>34.49</v>
      </c>
      <c r="G7" s="175">
        <f t="shared" ref="G7:G11" si="2">IF(ISERROR(ROUND(POWER(1+H7,D7-F7)*(POWER(1+H7,F7)-1)/(POWER(1+H7,D7)-1),3)),0,ROUND(POWER(1+H7,D7-F7)*(POWER(1+H7,F7)-1)/(POWER(1+H7,D7)-1),3))</f>
        <v>0.95399999999999996</v>
      </c>
      <c r="H7" s="3027">
        <v>5.5E-2</v>
      </c>
      <c r="I7" s="3027">
        <v>0.06</v>
      </c>
      <c r="J7" s="176">
        <v>8.5000000000000006E-2</v>
      </c>
      <c r="K7" s="179">
        <f>SUMIF('数据-汇总表'!C$19:C$33,'数据-取费表'!A7,'数据-汇总表'!E$19:E$33)</f>
        <v>2906.04</v>
      </c>
      <c r="L7" s="3028">
        <v>5000</v>
      </c>
      <c r="M7" s="177">
        <f t="shared" si="0"/>
        <v>1453</v>
      </c>
      <c r="N7" s="3029">
        <v>0</v>
      </c>
      <c r="O7" s="177">
        <f t="shared" ref="O7:O14" si="3">IF($N$5="成新度","——",ROUND(M7*N7,0))</f>
        <v>0</v>
      </c>
      <c r="P7" s="178">
        <f t="shared" ref="P7:P14" si="4">IF($N$5="成新度","——",M7-O7)</f>
        <v>1453</v>
      </c>
      <c r="Q7" s="3030">
        <v>0.15</v>
      </c>
      <c r="R7" s="179">
        <f>SUMIF('数据-汇总表'!C$19:C$33,A7,'数据-汇总表'!R$19:R$33)</f>
        <v>270.43</v>
      </c>
      <c r="S7" s="132">
        <f>IF('数据-汇总表'!$I$17="按面积比例",SUMIF('数据-汇总表'!C$19:C$33,A7,'数据-汇总表'!K$19:K$33),SUMIF('数据-汇总表'!C$19:C$33,A7,'数据-汇总表'!N$19:N$33))</f>
        <v>106.3</v>
      </c>
      <c r="T7" s="2235">
        <f t="shared" ref="T7:T13" si="5">IF($T$4="按面积比例",IF(ISERROR(ROUND($M$14*S7/S$16,0)),"0",ROUND($M$14*S7/S$16,0)),"需自行计算录入")</f>
        <v>28</v>
      </c>
      <c r="U7" s="180">
        <v>4.5</v>
      </c>
      <c r="V7" s="181">
        <v>3.5000000000000003E-2</v>
      </c>
      <c r="W7" s="181">
        <v>0.1</v>
      </c>
      <c r="X7" s="2322"/>
      <c r="Y7" s="182">
        <v>1</v>
      </c>
      <c r="Z7" s="183"/>
      <c r="AA7" s="176"/>
      <c r="AB7" s="176"/>
      <c r="AC7" s="2325"/>
      <c r="AD7" s="184"/>
      <c r="AE7" s="972">
        <f t="shared" ref="AE7:AE13" ca="1" si="6">IF(AN7="",0,SUMIF(INDIRECT("'"&amp;AN7&amp;"'"&amp;"!E:E"),$AE$5,INDIRECT("'"&amp;AN7&amp;"'"&amp;"!F:F")))</f>
        <v>31.490000000000002</v>
      </c>
      <c r="AF7" s="141"/>
      <c r="AG7" s="1213">
        <f t="shared" ref="AG7:AG13" si="7">IF(AF7="",0,AE7-AF7)</f>
        <v>0</v>
      </c>
      <c r="AH7" s="141"/>
      <c r="AI7" s="187">
        <v>365</v>
      </c>
      <c r="AJ7" s="188"/>
      <c r="AK7" s="189">
        <v>1.4999999999999999E-2</v>
      </c>
      <c r="AL7" s="190">
        <v>1.5E-3</v>
      </c>
      <c r="AM7" s="3041">
        <v>0.01</v>
      </c>
      <c r="AN7" s="2393" t="s">
        <v>3239</v>
      </c>
      <c r="AO7" s="2001"/>
      <c r="AP7" s="1204">
        <f t="shared" ref="AP7:AP13" si="8">ROUND(1-1/(1+H7)^F7,3)</f>
        <v>0.84199999999999997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3191</v>
      </c>
      <c r="D8" s="2309">
        <f>SUMIF(项目基本情况!D$15:I$15,C8,项目基本情况!D$18:I$18)</f>
        <v>50</v>
      </c>
      <c r="E8" s="2310">
        <f>IF(B8="","",SUMIF(项目基本情况!D$15:I$15,C8,项目基本情况!D$17:I$17))</f>
        <v>59634</v>
      </c>
      <c r="F8" s="174">
        <f>SUMIF(项目基本情况!D$15:I$15,C8,项目基本情况!D$19:I$19)</f>
        <v>44.5</v>
      </c>
      <c r="G8" s="175">
        <f t="shared" si="2"/>
        <v>0.96599999999999997</v>
      </c>
      <c r="H8" s="3027">
        <v>4.4999999999999998E-2</v>
      </c>
      <c r="I8" s="3027">
        <v>0.05</v>
      </c>
      <c r="J8" s="176">
        <v>8.5000000000000006E-2</v>
      </c>
      <c r="K8" s="179">
        <f>SUMIF('数据-汇总表'!C$19:C$33,'数据-取费表'!A8,'数据-汇总表'!E$19:E$33)</f>
        <v>39021.96</v>
      </c>
      <c r="L8" s="3028">
        <v>2600</v>
      </c>
      <c r="M8" s="177">
        <f>ROUND(K8*L8/10000,0)</f>
        <v>10146</v>
      </c>
      <c r="N8" s="3029">
        <v>0</v>
      </c>
      <c r="O8" s="177">
        <f t="shared" si="3"/>
        <v>0</v>
      </c>
      <c r="P8" s="178">
        <f t="shared" si="4"/>
        <v>10146</v>
      </c>
      <c r="Q8" s="3030">
        <v>0.05</v>
      </c>
      <c r="R8" s="179">
        <f>SUMIF('数据-汇总表'!C$19:C$33,A8,'数据-汇总表'!R$19:R$33)</f>
        <v>3631.4</v>
      </c>
      <c r="S8" s="132">
        <f>IF('数据-汇总表'!$I$17="按面积比例",SUMIF('数据-汇总表'!C$19:C$33,A8,'数据-汇总表'!K$19:K$33),SUMIF('数据-汇总表'!C$19:C$33,A8,'数据-汇总表'!N$19:N$33))</f>
        <v>1427.41</v>
      </c>
      <c r="T8" s="2235">
        <f t="shared" si="5"/>
        <v>371</v>
      </c>
      <c r="U8" s="180">
        <v>1</v>
      </c>
      <c r="V8" s="181">
        <v>2.5000000000000001E-2</v>
      </c>
      <c r="W8" s="181">
        <v>0.05</v>
      </c>
      <c r="X8" s="2322"/>
      <c r="Y8" s="182">
        <v>1</v>
      </c>
      <c r="Z8" s="183"/>
      <c r="AA8" s="176"/>
      <c r="AB8" s="176"/>
      <c r="AC8" s="2325"/>
      <c r="AD8" s="184"/>
      <c r="AE8" s="972">
        <f t="shared" ca="1" si="6"/>
        <v>41.5</v>
      </c>
      <c r="AF8" s="141"/>
      <c r="AG8" s="1213">
        <f t="shared" si="7"/>
        <v>0</v>
      </c>
      <c r="AH8" s="141"/>
      <c r="AI8" s="187">
        <v>365</v>
      </c>
      <c r="AJ8" s="188"/>
      <c r="AK8" s="189">
        <v>1.4999999999999999E-2</v>
      </c>
      <c r="AL8" s="190">
        <v>1.5E-3</v>
      </c>
      <c r="AM8" s="3041">
        <v>0.01</v>
      </c>
      <c r="AN8" s="2393" t="s">
        <v>3241</v>
      </c>
      <c r="AO8" s="2001"/>
      <c r="AP8" s="1204">
        <f t="shared" si="8"/>
        <v>0.85899999999999999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1679</v>
      </c>
      <c r="C14" s="2308" t="s">
        <v>2314</v>
      </c>
      <c r="D14" s="2309"/>
      <c r="E14" s="2310"/>
      <c r="F14" s="174"/>
      <c r="G14" s="175"/>
      <c r="H14" s="2311"/>
      <c r="I14" s="2311"/>
      <c r="J14" s="2311"/>
      <c r="K14" s="179">
        <f>SUMIF('数据-汇总表'!C$19:C$33,'数据-取费表'!A14,'数据-汇总表'!E$19:E$33)</f>
        <v>5392.04</v>
      </c>
      <c r="L14" s="193">
        <v>2600</v>
      </c>
      <c r="M14" s="177">
        <f t="shared" si="0"/>
        <v>1402</v>
      </c>
      <c r="N14" s="194">
        <v>0</v>
      </c>
      <c r="O14" s="177">
        <f t="shared" si="3"/>
        <v>0</v>
      </c>
      <c r="P14" s="178">
        <f t="shared" si="4"/>
        <v>1402</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1679</v>
      </c>
      <c r="C15" s="2308" t="s">
        <v>2315</v>
      </c>
      <c r="D15" s="2309"/>
      <c r="E15" s="2310"/>
      <c r="F15" s="174"/>
      <c r="G15" s="175"/>
      <c r="H15" s="2311"/>
      <c r="I15" s="2311"/>
      <c r="J15" s="2311"/>
      <c r="K15" s="179">
        <f>SUMIF('数据-汇总表'!C$19:C$33,'数据-取费表'!A15,'数据-汇总表'!E$19:E$33)</f>
        <v>3146.44</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0.98099999999999998</v>
      </c>
      <c r="H16" s="203">
        <f>ROUND(SUMPRODUCT(H6:H13,K6:K13)/SUMPRODUCT((H6:H13&gt;0)*(K6:K13)),3)</f>
        <v>4.4999999999999998E-2</v>
      </c>
      <c r="I16" s="204"/>
      <c r="J16" s="204"/>
      <c r="K16" s="205">
        <f>SUM(K6:K15)</f>
        <v>155944.13</v>
      </c>
      <c r="L16" s="206">
        <f>ROUND(M16*10000/SUM(K6:K14),0)</f>
        <v>2646</v>
      </c>
      <c r="M16" s="206">
        <f>SUM(M6:M14)</f>
        <v>40425</v>
      </c>
      <c r="N16" s="207">
        <f>ROUND(SUMPRODUCT(M6:M14,N6:N14)/M16,3)</f>
        <v>0</v>
      </c>
      <c r="O16" s="206">
        <f>SUM(O6:O14)</f>
        <v>0</v>
      </c>
      <c r="P16" s="206">
        <f>SUM(P6:P14)</f>
        <v>40425</v>
      </c>
      <c r="Q16" s="208">
        <f>ROUND(SUMPRODUCT(Q6:Q13,K6:K13)/SUMPRODUCT((Q6:Q13&gt;0)*(K6:K13)),2)</f>
        <v>0.12</v>
      </c>
      <c r="R16" s="2312">
        <f>SUM(R6:R13)</f>
        <v>14000.08</v>
      </c>
      <c r="S16" s="209">
        <f>SUM(S6:S13)</f>
        <v>5392.04</v>
      </c>
      <c r="T16" s="210">
        <f>IF(SUMIF(T6:T13,"&lt;9E307")=M14,SUMIF(T6:T13,"&lt;9E307"),"有误，请检查")</f>
        <v>1402</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0.91800000000000004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220">
        <v>3</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v>100</v>
      </c>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3191" t="s">
        <v>3184</v>
      </c>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100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v>0</v>
      </c>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2454</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2455</v>
      </c>
      <c r="B40" s="2482">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1096</v>
      </c>
      <c r="C53" s="3078" t="s">
        <v>2902</v>
      </c>
      <c r="D53" s="3079"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2904</v>
      </c>
      <c r="B54" s="186">
        <v>12</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2905</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2906</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2907</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2908</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2909</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1663</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67.5">
      <c r="A3" s="1227" t="s">
        <v>1666</v>
      </c>
      <c r="B3" s="1228" t="s">
        <v>1653</v>
      </c>
      <c r="C3" s="3199" t="s">
        <v>3263</v>
      </c>
      <c r="D3" s="2010"/>
      <c r="E3" s="1229" t="s">
        <v>1666</v>
      </c>
      <c r="F3" s="1230" t="s">
        <v>1654</v>
      </c>
      <c r="G3" s="3085" t="s">
        <v>2918</v>
      </c>
      <c r="H3" s="2009"/>
      <c r="I3" s="2009"/>
      <c r="J3" s="2009"/>
      <c r="K3" s="2009"/>
      <c r="L3" s="2009"/>
      <c r="M3" s="2009"/>
      <c r="N3" s="2009"/>
      <c r="O3" s="2009"/>
      <c r="P3" s="2009"/>
      <c r="Q3" s="2009"/>
      <c r="R3" s="2009"/>
    </row>
    <row r="4" spans="1:18" ht="54">
      <c r="A4" s="1229"/>
      <c r="B4" s="1231" t="s">
        <v>1667</v>
      </c>
      <c r="C4" s="3200" t="s">
        <v>3264</v>
      </c>
      <c r="D4" s="2010"/>
      <c r="E4" s="1232"/>
      <c r="F4" s="1233" t="s">
        <v>1668</v>
      </c>
      <c r="G4" s="3084" t="s">
        <v>2915</v>
      </c>
      <c r="H4" s="2009"/>
      <c r="I4" s="2009"/>
      <c r="J4" s="2009"/>
      <c r="K4" s="2009"/>
      <c r="L4" s="2009"/>
      <c r="M4" s="2009"/>
      <c r="N4" s="2009"/>
      <c r="O4" s="2009"/>
      <c r="P4" s="2009"/>
      <c r="Q4" s="2009"/>
      <c r="R4" s="2009"/>
    </row>
    <row r="5" spans="1:18" ht="41.25">
      <c r="A5" s="1229"/>
      <c r="B5" s="1231" t="s">
        <v>1669</v>
      </c>
      <c r="C5" s="3083" t="s">
        <v>2919</v>
      </c>
      <c r="D5" s="2010"/>
      <c r="E5" s="1232"/>
      <c r="F5" s="1231" t="s">
        <v>2544</v>
      </c>
      <c r="G5" s="3084" t="s">
        <v>2916</v>
      </c>
      <c r="H5" s="2009"/>
      <c r="I5" s="2009"/>
      <c r="J5" s="2009"/>
      <c r="K5" s="2009"/>
      <c r="L5" s="2009"/>
      <c r="M5" s="2009"/>
      <c r="N5" s="2009"/>
      <c r="O5" s="2009"/>
      <c r="P5" s="2009"/>
      <c r="Q5" s="2009"/>
      <c r="R5" s="2009"/>
    </row>
    <row r="6" spans="1:18" ht="54">
      <c r="A6" s="1229"/>
      <c r="B6" s="1231" t="s">
        <v>1655</v>
      </c>
      <c r="C6" s="3201" t="s">
        <v>3265</v>
      </c>
      <c r="D6" s="2010"/>
      <c r="E6" s="1232"/>
      <c r="F6" s="1231" t="s">
        <v>2545</v>
      </c>
      <c r="G6" s="3084" t="s">
        <v>2914</v>
      </c>
      <c r="H6" s="2009"/>
      <c r="I6" s="2009"/>
      <c r="J6" s="2009"/>
      <c r="K6" s="2009"/>
      <c r="L6" s="2009"/>
      <c r="M6" s="2009"/>
      <c r="N6" s="2009"/>
      <c r="O6" s="2009"/>
      <c r="P6" s="2009"/>
      <c r="Q6" s="2009"/>
      <c r="R6" s="2009"/>
    </row>
    <row r="7" spans="1:18" ht="41.25" thickBot="1">
      <c r="A7" s="1229"/>
      <c r="B7" s="1231" t="s">
        <v>2544</v>
      </c>
      <c r="C7" s="3201" t="s">
        <v>3266</v>
      </c>
      <c r="D7" s="2011"/>
      <c r="E7" s="1234"/>
      <c r="F7" s="1235" t="s">
        <v>1670</v>
      </c>
      <c r="G7" s="3086" t="s">
        <v>2917</v>
      </c>
      <c r="H7" s="2009"/>
      <c r="I7" s="2009"/>
      <c r="J7" s="2009"/>
      <c r="K7" s="2009"/>
      <c r="L7" s="2009"/>
      <c r="M7" s="2009"/>
      <c r="N7" s="2009"/>
      <c r="O7" s="2009"/>
      <c r="P7" s="2009"/>
      <c r="Q7" s="2009"/>
      <c r="R7" s="2009"/>
    </row>
    <row r="8" spans="1:18" ht="27">
      <c r="A8" s="1229"/>
      <c r="B8" s="1231" t="s">
        <v>2545</v>
      </c>
      <c r="C8" s="3201" t="s">
        <v>3267</v>
      </c>
      <c r="D8" s="2011"/>
      <c r="E8" s="2011"/>
      <c r="F8" s="1554"/>
      <c r="G8" s="1554"/>
      <c r="H8" s="2009"/>
      <c r="I8" s="2009"/>
      <c r="J8" s="2009"/>
      <c r="K8" s="2009"/>
      <c r="L8" s="2009"/>
      <c r="M8" s="2009"/>
      <c r="N8" s="2009"/>
      <c r="O8" s="2009"/>
      <c r="P8" s="2009"/>
      <c r="Q8" s="2009"/>
      <c r="R8" s="2009"/>
    </row>
    <row r="9" spans="1:18" ht="40.5">
      <c r="A9" s="1229"/>
      <c r="B9" s="1231" t="s">
        <v>1656</v>
      </c>
      <c r="C9" s="3200" t="s">
        <v>3268</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2" t="s">
        <v>3269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67.5">
      <c r="A15" s="2589" t="s">
        <v>1657</v>
      </c>
      <c r="B15" s="1242" t="s">
        <v>1653</v>
      </c>
      <c r="C15" s="1243" t="str">
        <f>C3</f>
        <v>估价对象周边居住用地比例较大、有海愉半岛花园、钰海帝景等居住小区，社区发展较完善，综合评价居住社区成熟度较好</v>
      </c>
      <c r="D15" s="2010"/>
      <c r="E15" s="2586" t="s">
        <v>1658</v>
      </c>
      <c r="F15" s="1242" t="s">
        <v>1673</v>
      </c>
      <c r="G15" s="1244" t="str">
        <f>G3</f>
        <v>估价对象位于XX开发区，园区建设成熟度XX，产业集聚程度XX</v>
      </c>
    </row>
    <row r="16" spans="1:18" ht="54">
      <c r="A16" s="2590"/>
      <c r="B16" s="1245" t="s">
        <v>1667</v>
      </c>
      <c r="C16" s="1246" t="str">
        <f>C4</f>
        <v>估价对象周边商业氛围较成熟，多为社区配套底商人流量较大，商业繁华度较好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54">
      <c r="A18" s="2590"/>
      <c r="B18" s="1247" t="s">
        <v>1655</v>
      </c>
      <c r="C18" s="1005" t="str">
        <f>C6</f>
        <v>估价对象周边道路通达状况较好、公共交通通达情况一般、停车较便捷，综合评价交通便捷度较好</v>
      </c>
      <c r="D18" s="2011"/>
      <c r="E18" s="2587"/>
      <c r="F18" s="1247" t="s">
        <v>1670</v>
      </c>
      <c r="G18" s="1005" t="str">
        <f>G7</f>
        <v>该园区内是否有污染型企业，绿化情况，卫生条件，整体环境状况判断</v>
      </c>
    </row>
    <row r="19" spans="1:7" ht="27">
      <c r="A19" s="2590"/>
      <c r="B19" s="1247" t="s">
        <v>1659</v>
      </c>
      <c r="C19" s="2795"/>
      <c r="D19" s="2010"/>
      <c r="E19" s="2587"/>
      <c r="F19" s="1231" t="s">
        <v>2544</v>
      </c>
      <c r="G19" s="1005" t="str">
        <f>G5</f>
        <v>估价对象所在区域公共配套设施齐备情况</v>
      </c>
    </row>
    <row r="20" spans="1:7" ht="40.5">
      <c r="A20" s="2590"/>
      <c r="B20" s="1247" t="s">
        <v>1660</v>
      </c>
      <c r="C20" s="1246" t="str">
        <f>C9</f>
        <v>区域自然环境好；人文环境一般；综合评价环境状况较好</v>
      </c>
      <c r="D20" s="2011"/>
      <c r="E20" s="2587"/>
      <c r="F20" s="1231" t="s">
        <v>2545</v>
      </c>
      <c r="G20" s="1005" t="str">
        <f>G6</f>
        <v>估价对象所在区域基础设施水平</v>
      </c>
    </row>
    <row r="21" spans="1:7" ht="27">
      <c r="A21" s="2590"/>
      <c r="B21" s="1231" t="s">
        <v>2544</v>
      </c>
      <c r="C21" s="1005" t="str">
        <f>C7</f>
        <v>估价对象所在区域公共配套设施齐备情况较好</v>
      </c>
      <c r="D21" s="2010"/>
      <c r="E21" s="2587"/>
      <c r="F21" s="1247" t="s">
        <v>1661</v>
      </c>
      <c r="G21" s="3087"/>
    </row>
    <row r="22" spans="1:7" ht="27">
      <c r="A22" s="2590"/>
      <c r="B22" s="1231" t="s">
        <v>2545</v>
      </c>
      <c r="C22" s="1005" t="str">
        <f>C8</f>
        <v>估价对象所在区域基础设施水平达六通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次干道——情侣南路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2842</v>
      </c>
      <c r="B1" s="3047">
        <f>SUM(B14:B23)</f>
        <v>155944.13</v>
      </c>
      <c r="C1" s="3048"/>
      <c r="D1" s="3048"/>
      <c r="E1" s="3048"/>
      <c r="F1" s="3048"/>
    </row>
    <row r="2" spans="1:9" ht="16.5">
      <c r="A2" s="3047" t="s">
        <v>2843</v>
      </c>
      <c r="B2" s="3047">
        <f>SUM(C14:C23)</f>
        <v>14000.08</v>
      </c>
      <c r="C2" s="3048"/>
      <c r="D2" s="3048"/>
      <c r="E2" s="3048"/>
      <c r="F2" s="3048"/>
    </row>
    <row r="3" spans="1:9" ht="16.5">
      <c r="A3" s="3047" t="s">
        <v>2844</v>
      </c>
      <c r="B3" s="3049">
        <f>项目基本情况!D3</f>
        <v>43390</v>
      </c>
      <c r="C3" s="3048"/>
      <c r="D3" s="3048"/>
      <c r="E3" s="3048"/>
      <c r="F3" s="3048"/>
    </row>
    <row r="4" spans="1:9" ht="33">
      <c r="A4" s="3047" t="s">
        <v>2845</v>
      </c>
      <c r="B4" s="3047" t="s">
        <v>2846</v>
      </c>
      <c r="C4" s="3047" t="s">
        <v>2847</v>
      </c>
      <c r="D4" s="3047" t="s">
        <v>2848</v>
      </c>
      <c r="E4" s="3048"/>
      <c r="F4" s="3048"/>
    </row>
    <row r="5" spans="1:9" ht="16.5">
      <c r="A5" s="3047" t="s">
        <v>2849</v>
      </c>
      <c r="B5" s="3047">
        <f ca="1">SUM(D14:D23)</f>
        <v>385135</v>
      </c>
      <c r="C5" s="3047">
        <f ca="1">ROUND(B5*10000/$B$1,0)</f>
        <v>24697</v>
      </c>
      <c r="D5" s="3047">
        <f ca="1">ROUND(B5*10000/$B$2,0)</f>
        <v>275095</v>
      </c>
      <c r="E5" s="3048"/>
      <c r="F5" s="3048"/>
    </row>
    <row r="6" spans="1:9" ht="16.5">
      <c r="A6" s="3047" t="s">
        <v>2850</v>
      </c>
      <c r="B6" s="3047">
        <f ca="1">SUM(G14:G23)</f>
        <v>385135</v>
      </c>
      <c r="C6" s="3047">
        <f t="shared" ref="C6:C8" ca="1" si="0">ROUND(B6*10000/$B$1,0)</f>
        <v>24697</v>
      </c>
      <c r="D6" s="3047">
        <f t="shared" ref="D6:D8" ca="1" si="1">ROUND(B6*10000/$B$2,0)</f>
        <v>275095</v>
      </c>
      <c r="E6" s="3048"/>
      <c r="F6" s="3048"/>
    </row>
    <row r="7" spans="1:9" ht="16.5">
      <c r="A7" s="3047" t="s">
        <v>2851</v>
      </c>
      <c r="B7" s="3047">
        <f>SUM(H14:H23)</f>
        <v>0</v>
      </c>
      <c r="C7" s="3047">
        <f t="shared" si="0"/>
        <v>0</v>
      </c>
      <c r="D7" s="3047">
        <f t="shared" si="1"/>
        <v>0</v>
      </c>
      <c r="E7" s="3048"/>
      <c r="F7" s="3048"/>
    </row>
    <row r="8" spans="1:9" ht="16.5">
      <c r="A8" s="3047" t="s">
        <v>2852</v>
      </c>
      <c r="B8" s="3047">
        <f>SUM(I14:I23)</f>
        <v>0</v>
      </c>
      <c r="C8" s="3047">
        <f t="shared" si="0"/>
        <v>0</v>
      </c>
      <c r="D8" s="3047">
        <f t="shared" si="1"/>
        <v>0</v>
      </c>
      <c r="E8" s="3048"/>
      <c r="F8" s="3048"/>
    </row>
    <row r="9" spans="1:9" ht="16.5">
      <c r="A9" s="3047" t="s">
        <v>2853</v>
      </c>
      <c r="B9" s="3050"/>
      <c r="C9" s="3048"/>
      <c r="D9" s="3048"/>
      <c r="E9" s="3048"/>
      <c r="F9" s="3048"/>
    </row>
    <row r="10" spans="1:9" ht="16.5">
      <c r="A10" s="3047" t="s">
        <v>2854</v>
      </c>
      <c r="B10" s="3050"/>
      <c r="C10" s="3048"/>
      <c r="D10" s="3048"/>
      <c r="E10" s="3048"/>
      <c r="F10" s="3048"/>
    </row>
    <row r="11" spans="1:9" ht="16.5">
      <c r="A11" s="3047" t="s">
        <v>2871</v>
      </c>
      <c r="B11" s="3050"/>
      <c r="C11" s="3048"/>
      <c r="D11" s="3048"/>
      <c r="E11" s="3048"/>
      <c r="F11" s="3048"/>
    </row>
    <row r="12" spans="1:9" ht="16.5">
      <c r="A12" s="3048"/>
      <c r="B12" s="3048"/>
      <c r="C12" s="3048"/>
      <c r="D12" s="3048"/>
      <c r="E12" s="3048"/>
      <c r="F12" s="3048"/>
    </row>
    <row r="13" spans="1:9" ht="33">
      <c r="A13" s="3053" t="s">
        <v>2870</v>
      </c>
      <c r="B13" s="3051" t="s">
        <v>2842</v>
      </c>
      <c r="C13" s="3051" t="s">
        <v>2843</v>
      </c>
      <c r="D13" s="3051" t="s">
        <v>2855</v>
      </c>
      <c r="E13" s="3047" t="s">
        <v>2869</v>
      </c>
      <c r="F13" s="3047" t="s">
        <v>2848</v>
      </c>
      <c r="G13" s="3051" t="s">
        <v>2856</v>
      </c>
      <c r="H13" s="3051" t="s">
        <v>2857</v>
      </c>
      <c r="I13" s="3051" t="s">
        <v>2858</v>
      </c>
    </row>
    <row r="14" spans="1:9" ht="16.5">
      <c r="A14" s="3054" t="s">
        <v>2868</v>
      </c>
      <c r="B14" s="3051">
        <f>结果表!L38</f>
        <v>155944.13</v>
      </c>
      <c r="C14" s="3051">
        <f>结果表!K38</f>
        <v>14000.08</v>
      </c>
      <c r="D14" s="3051">
        <f ca="1">结果表!C42</f>
        <v>385135</v>
      </c>
      <c r="E14" s="3051">
        <f ca="1">ROUND(D14*10000/B14,0)</f>
        <v>24697</v>
      </c>
      <c r="F14" s="3051">
        <f ca="1">ROUND(D14*10000/C14,0)</f>
        <v>275095</v>
      </c>
      <c r="G14" s="3051">
        <f ca="1">结果表!C44</f>
        <v>385135</v>
      </c>
      <c r="H14" s="3051" t="str">
        <f>结果表!C45</f>
        <v>——</v>
      </c>
      <c r="I14" s="3051" t="str">
        <f>结果表!C46</f>
        <v>——</v>
      </c>
    </row>
    <row r="15" spans="1:9" ht="16.5">
      <c r="A15" s="3054" t="s">
        <v>2859</v>
      </c>
      <c r="B15" s="3055"/>
      <c r="C15" s="3055"/>
      <c r="D15" s="3055"/>
      <c r="E15" s="3051" t="e">
        <f t="shared" ref="E15:E23" si="2">ROUND(D15*10000/B15,0)</f>
        <v>#DIV/0!</v>
      </c>
      <c r="F15" s="3051" t="e">
        <f t="shared" ref="F15:F23" si="3">ROUND(D15*10000/C15,0)</f>
        <v>#DIV/0!</v>
      </c>
      <c r="G15" s="3052"/>
      <c r="H15" s="3052"/>
      <c r="I15" s="3055"/>
    </row>
    <row r="16" spans="1:9" ht="16.5">
      <c r="A16" s="3054" t="s">
        <v>2860</v>
      </c>
      <c r="B16" s="3055"/>
      <c r="C16" s="3055"/>
      <c r="D16" s="3055"/>
      <c r="E16" s="3051" t="e">
        <f t="shared" si="2"/>
        <v>#DIV/0!</v>
      </c>
      <c r="F16" s="3051" t="e">
        <f t="shared" si="3"/>
        <v>#DIV/0!</v>
      </c>
      <c r="G16" s="3052"/>
      <c r="H16" s="3052"/>
      <c r="I16" s="3055"/>
    </row>
    <row r="17" spans="1:9" ht="16.5">
      <c r="A17" s="3054" t="s">
        <v>2861</v>
      </c>
      <c r="B17" s="3055"/>
      <c r="C17" s="3055"/>
      <c r="D17" s="3055"/>
      <c r="E17" s="3051" t="e">
        <f t="shared" si="2"/>
        <v>#DIV/0!</v>
      </c>
      <c r="F17" s="3051" t="e">
        <f t="shared" si="3"/>
        <v>#DIV/0!</v>
      </c>
      <c r="G17" s="3052"/>
      <c r="H17" s="3052"/>
      <c r="I17" s="3055"/>
    </row>
    <row r="18" spans="1:9" ht="16.5">
      <c r="A18" s="3054" t="s">
        <v>2862</v>
      </c>
      <c r="B18" s="3055"/>
      <c r="C18" s="3055"/>
      <c r="D18" s="3055"/>
      <c r="E18" s="3051" t="e">
        <f t="shared" si="2"/>
        <v>#DIV/0!</v>
      </c>
      <c r="F18" s="3051" t="e">
        <f t="shared" si="3"/>
        <v>#DIV/0!</v>
      </c>
      <c r="G18" s="3055"/>
      <c r="H18" s="3055"/>
      <c r="I18" s="3055"/>
    </row>
    <row r="19" spans="1:9" ht="16.5">
      <c r="A19" s="3054" t="s">
        <v>2863</v>
      </c>
      <c r="B19" s="3055"/>
      <c r="C19" s="3055"/>
      <c r="D19" s="3055"/>
      <c r="E19" s="3051" t="e">
        <f t="shared" si="2"/>
        <v>#DIV/0!</v>
      </c>
      <c r="F19" s="3051" t="e">
        <f t="shared" si="3"/>
        <v>#DIV/0!</v>
      </c>
      <c r="G19" s="3055"/>
      <c r="H19" s="3055"/>
      <c r="I19" s="3055"/>
    </row>
    <row r="20" spans="1:9" ht="16.5">
      <c r="A20" s="3054" t="s">
        <v>2864</v>
      </c>
      <c r="B20" s="3055"/>
      <c r="C20" s="3055"/>
      <c r="D20" s="3055"/>
      <c r="E20" s="3051" t="e">
        <f t="shared" si="2"/>
        <v>#DIV/0!</v>
      </c>
      <c r="F20" s="3051" t="e">
        <f t="shared" si="3"/>
        <v>#DIV/0!</v>
      </c>
      <c r="G20" s="3055"/>
      <c r="H20" s="3055"/>
      <c r="I20" s="3055"/>
    </row>
    <row r="21" spans="1:9" ht="16.5">
      <c r="A21" s="3054" t="s">
        <v>2865</v>
      </c>
      <c r="B21" s="3055"/>
      <c r="C21" s="3055"/>
      <c r="D21" s="3055"/>
      <c r="E21" s="3051" t="e">
        <f t="shared" si="2"/>
        <v>#DIV/0!</v>
      </c>
      <c r="F21" s="3051" t="e">
        <f t="shared" si="3"/>
        <v>#DIV/0!</v>
      </c>
      <c r="G21" s="3055"/>
      <c r="H21" s="3055"/>
      <c r="I21" s="3055"/>
    </row>
    <row r="22" spans="1:9" ht="16.5">
      <c r="A22" s="3054" t="s">
        <v>2866</v>
      </c>
      <c r="B22" s="3055"/>
      <c r="C22" s="3055"/>
      <c r="D22" s="3055"/>
      <c r="E22" s="3051" t="e">
        <f t="shared" si="2"/>
        <v>#DIV/0!</v>
      </c>
      <c r="F22" s="3051" t="e">
        <f t="shared" si="3"/>
        <v>#DIV/0!</v>
      </c>
      <c r="G22" s="3055"/>
      <c r="H22" s="3055"/>
      <c r="I22" s="3055"/>
    </row>
    <row r="23" spans="1:9" ht="16.5">
      <c r="A23" s="3054" t="s">
        <v>2867</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t="s">
        <v>3233</v>
      </c>
      <c r="E1" s="1806" t="s">
        <v>2058</v>
      </c>
      <c r="F1" s="1808" t="s">
        <v>3234</v>
      </c>
      <c r="G1" s="311"/>
      <c r="H1" s="311"/>
      <c r="I1" s="311"/>
      <c r="J1" s="2030"/>
      <c r="K1" s="2030"/>
      <c r="L1" s="2030"/>
      <c r="M1" s="2030"/>
      <c r="N1" s="2030"/>
      <c r="O1" s="2030"/>
      <c r="P1" s="2030"/>
      <c r="Q1" s="2030"/>
      <c r="R1" s="2030"/>
      <c r="S1" s="2030"/>
      <c r="T1" s="2030"/>
      <c r="U1" s="2030"/>
      <c r="V1" s="2030"/>
    </row>
    <row r="2" spans="1:22" ht="21.75" customHeight="1" thickBot="1">
      <c r="A2" s="3342" t="str">
        <f>项目基本情况!K2</f>
        <v>出让国有建设用地使用权</v>
      </c>
      <c r="B2" s="3343"/>
      <c r="C2" s="3344"/>
      <c r="D2" s="3344"/>
      <c r="E2" s="3344"/>
      <c r="F2" s="3344"/>
      <c r="G2" s="3343"/>
      <c r="H2" s="3343"/>
      <c r="I2" s="3345"/>
      <c r="J2" s="2031"/>
      <c r="K2" s="2030"/>
      <c r="L2" s="2030"/>
      <c r="M2" s="2030"/>
      <c r="N2" s="2030"/>
      <c r="O2" s="2030"/>
      <c r="P2" s="2030"/>
      <c r="Q2" s="2030"/>
      <c r="R2" s="2030"/>
      <c r="S2" s="2030"/>
      <c r="T2" s="2030"/>
      <c r="U2" s="2030"/>
      <c r="V2" s="2030"/>
    </row>
    <row r="3" spans="1:22" ht="14.25">
      <c r="A3" s="3335" t="s">
        <v>297</v>
      </c>
      <c r="B3" s="3336"/>
      <c r="C3" s="3336"/>
      <c r="D3" s="3336"/>
      <c r="E3" s="3336"/>
      <c r="F3" s="3336"/>
      <c r="G3" s="3336"/>
      <c r="H3" s="3336"/>
      <c r="I3" s="3336"/>
      <c r="J3" s="2031"/>
      <c r="K3" s="2030"/>
      <c r="L3" s="2030"/>
      <c r="M3" s="2030"/>
      <c r="N3" s="2030"/>
      <c r="O3" s="2030"/>
      <c r="P3" s="2030"/>
      <c r="Q3" s="2030"/>
      <c r="R3" s="2030"/>
      <c r="S3" s="2030"/>
      <c r="T3" s="2030"/>
      <c r="U3" s="2030"/>
      <c r="V3" s="2030"/>
    </row>
    <row r="4" spans="1:22" ht="14.25">
      <c r="A4" s="258" t="s">
        <v>298</v>
      </c>
      <c r="B4" s="259" t="s">
        <v>299</v>
      </c>
      <c r="C4" s="260" t="s">
        <v>3235</v>
      </c>
      <c r="D4" s="260" t="s">
        <v>3236</v>
      </c>
      <c r="E4" s="3307" t="s">
        <v>300</v>
      </c>
      <c r="F4" s="3308"/>
      <c r="G4" s="3308"/>
      <c r="H4" s="3308"/>
      <c r="I4" s="333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6" t="s">
        <v>301</v>
      </c>
      <c r="B5" s="3332">
        <v>25</v>
      </c>
      <c r="C5" s="3330"/>
      <c r="D5" s="3334"/>
      <c r="E5" s="261" t="s">
        <v>302</v>
      </c>
      <c r="F5" s="262"/>
      <c r="G5" s="262"/>
      <c r="H5" s="262"/>
      <c r="I5" s="263"/>
      <c r="J5" s="2031"/>
      <c r="K5" s="2030"/>
      <c r="L5" s="2030"/>
      <c r="M5" s="2030"/>
      <c r="N5" s="2030"/>
      <c r="O5" s="2030"/>
      <c r="P5" s="2030"/>
      <c r="Q5" s="2030"/>
      <c r="R5" s="2030"/>
      <c r="S5" s="2030"/>
      <c r="T5" s="2030"/>
      <c r="U5" s="2030"/>
      <c r="V5" s="2030"/>
    </row>
    <row r="6" spans="1:22" ht="14.25">
      <c r="A6" s="3306"/>
      <c r="B6" s="3332"/>
      <c r="C6" s="3333"/>
      <c r="D6" s="3334"/>
      <c r="E6" s="261" t="s">
        <v>303</v>
      </c>
      <c r="F6" s="262"/>
      <c r="G6" s="262"/>
      <c r="H6" s="262"/>
      <c r="I6" s="263"/>
      <c r="J6" s="2031"/>
      <c r="K6" s="2030"/>
      <c r="L6" s="2030"/>
      <c r="M6" s="2030"/>
      <c r="N6" s="2030"/>
      <c r="O6" s="2030"/>
      <c r="P6" s="2030"/>
      <c r="Q6" s="2030"/>
      <c r="R6" s="2030"/>
      <c r="S6" s="2030"/>
      <c r="T6" s="2030"/>
      <c r="U6" s="2030"/>
      <c r="V6" s="2030"/>
    </row>
    <row r="7" spans="1:22" ht="14.25">
      <c r="A7" s="3306"/>
      <c r="B7" s="3332"/>
      <c r="C7" s="3331"/>
      <c r="D7" s="3334"/>
      <c r="E7" s="261" t="s">
        <v>304</v>
      </c>
      <c r="F7" s="262"/>
      <c r="G7" s="262"/>
      <c r="H7" s="262"/>
      <c r="I7" s="263"/>
      <c r="J7" s="2031"/>
      <c r="K7" s="2030"/>
      <c r="L7" s="2030"/>
      <c r="M7" s="2030"/>
      <c r="N7" s="2030"/>
      <c r="O7" s="2030"/>
      <c r="P7" s="2030"/>
      <c r="Q7" s="2030"/>
      <c r="R7" s="2030"/>
      <c r="S7" s="2030"/>
      <c r="T7" s="2030"/>
      <c r="U7" s="2030"/>
      <c r="V7" s="2030"/>
    </row>
    <row r="8" spans="1:22" ht="14.25">
      <c r="A8" s="3306" t="s">
        <v>305</v>
      </c>
      <c r="B8" s="3332">
        <v>15</v>
      </c>
      <c r="C8" s="3330"/>
      <c r="D8" s="3334"/>
      <c r="E8" s="261" t="s">
        <v>306</v>
      </c>
      <c r="F8" s="262"/>
      <c r="G8" s="262"/>
      <c r="H8" s="262"/>
      <c r="I8" s="263"/>
      <c r="J8" s="2031"/>
      <c r="K8" s="2030"/>
      <c r="L8" s="2030"/>
      <c r="M8" s="2030"/>
      <c r="N8" s="2030"/>
      <c r="O8" s="2030"/>
      <c r="P8" s="2030"/>
      <c r="Q8" s="2030"/>
      <c r="R8" s="2030"/>
      <c r="S8" s="2030"/>
      <c r="T8" s="2030"/>
      <c r="U8" s="2030"/>
      <c r="V8" s="2030"/>
    </row>
    <row r="9" spans="1:22" ht="14.25">
      <c r="A9" s="3306"/>
      <c r="B9" s="3332"/>
      <c r="C9" s="3331"/>
      <c r="D9" s="3334"/>
      <c r="E9" s="261" t="s">
        <v>307</v>
      </c>
      <c r="F9" s="262"/>
      <c r="G9" s="262"/>
      <c r="H9" s="262"/>
      <c r="I9" s="263"/>
      <c r="J9" s="2031"/>
      <c r="K9" s="2030"/>
      <c r="L9" s="2030"/>
      <c r="M9" s="2030"/>
      <c r="N9" s="2030"/>
      <c r="O9" s="2030"/>
      <c r="P9" s="2030"/>
      <c r="Q9" s="2030"/>
      <c r="R9" s="2030"/>
      <c r="S9" s="2030"/>
      <c r="T9" s="2030"/>
      <c r="U9" s="2030"/>
      <c r="V9" s="2030"/>
    </row>
    <row r="10" spans="1:22" ht="14.25">
      <c r="A10" s="3306" t="s">
        <v>308</v>
      </c>
      <c r="B10" s="3332">
        <v>15</v>
      </c>
      <c r="C10" s="3330"/>
      <c r="D10" s="3334"/>
      <c r="E10" s="261" t="s">
        <v>309</v>
      </c>
      <c r="F10" s="262"/>
      <c r="G10" s="262"/>
      <c r="H10" s="262"/>
      <c r="I10" s="263"/>
      <c r="J10" s="2031"/>
      <c r="K10" s="2030"/>
      <c r="L10" s="2030"/>
      <c r="M10" s="2030"/>
      <c r="N10" s="2030"/>
      <c r="O10" s="2030"/>
      <c r="P10" s="2030"/>
      <c r="Q10" s="2030"/>
      <c r="R10" s="2030"/>
      <c r="S10" s="2030"/>
      <c r="T10" s="2030"/>
      <c r="U10" s="2030"/>
      <c r="V10" s="2030"/>
    </row>
    <row r="11" spans="1:22" ht="14.25">
      <c r="A11" s="3306"/>
      <c r="B11" s="3332"/>
      <c r="C11" s="3331"/>
      <c r="D11" s="3334"/>
      <c r="E11" s="261" t="s">
        <v>310</v>
      </c>
      <c r="F11" s="262"/>
      <c r="G11" s="262"/>
      <c r="H11" s="262"/>
      <c r="I11" s="263"/>
      <c r="J11" s="2031"/>
      <c r="K11" s="2030"/>
      <c r="L11" s="2030"/>
      <c r="M11" s="2030"/>
      <c r="N11" s="2030"/>
      <c r="O11" s="2030"/>
      <c r="P11" s="2030"/>
      <c r="Q11" s="2030"/>
      <c r="R11" s="2030"/>
      <c r="S11" s="2030"/>
      <c r="T11" s="2030"/>
      <c r="U11" s="2030"/>
      <c r="V11" s="2030"/>
    </row>
    <row r="12" spans="1:22" ht="14.25">
      <c r="A12" s="3306" t="s">
        <v>311</v>
      </c>
      <c r="B12" s="3332">
        <v>15</v>
      </c>
      <c r="C12" s="3330"/>
      <c r="D12" s="3334"/>
      <c r="E12" s="261" t="s">
        <v>312</v>
      </c>
      <c r="F12" s="262"/>
      <c r="G12" s="262"/>
      <c r="H12" s="262"/>
      <c r="I12" s="263"/>
      <c r="J12" s="2031"/>
      <c r="K12" s="2030"/>
      <c r="L12" s="2030"/>
      <c r="M12" s="2030"/>
      <c r="N12" s="2030"/>
      <c r="O12" s="2030"/>
      <c r="P12" s="2030"/>
      <c r="Q12" s="2030"/>
      <c r="R12" s="2030"/>
      <c r="S12" s="2030"/>
      <c r="T12" s="2030"/>
      <c r="U12" s="2030"/>
      <c r="V12" s="2030"/>
    </row>
    <row r="13" spans="1:22" ht="14.25">
      <c r="A13" s="3306"/>
      <c r="B13" s="3332"/>
      <c r="C13" s="3331"/>
      <c r="D13" s="3334"/>
      <c r="E13" s="261" t="s">
        <v>313</v>
      </c>
      <c r="F13" s="262"/>
      <c r="G13" s="262"/>
      <c r="H13" s="262"/>
      <c r="I13" s="263"/>
      <c r="J13" s="2031"/>
      <c r="K13" s="2030"/>
      <c r="L13" s="2030"/>
      <c r="M13" s="2030"/>
      <c r="N13" s="2030"/>
      <c r="O13" s="2030"/>
      <c r="P13" s="2030"/>
      <c r="Q13" s="2030"/>
      <c r="R13" s="2030"/>
      <c r="S13" s="2030"/>
      <c r="T13" s="2030"/>
      <c r="U13" s="2030"/>
      <c r="V13" s="2030"/>
    </row>
    <row r="14" spans="1:22" ht="14.25">
      <c r="A14" s="3306" t="s">
        <v>314</v>
      </c>
      <c r="B14" s="3332">
        <v>30</v>
      </c>
      <c r="C14" s="3330">
        <v>0.5</v>
      </c>
      <c r="D14" s="3334">
        <f>1-C14</f>
        <v>0.5</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06"/>
      <c r="B15" s="3332"/>
      <c r="C15" s="3333"/>
      <c r="D15" s="3334"/>
      <c r="E15" s="261" t="s">
        <v>316</v>
      </c>
      <c r="F15" s="262"/>
      <c r="G15" s="262"/>
      <c r="H15" s="262"/>
      <c r="I15" s="263"/>
      <c r="J15" s="2031"/>
      <c r="K15" s="2030"/>
      <c r="L15" s="2030"/>
      <c r="M15" s="2030"/>
      <c r="N15" s="2030"/>
      <c r="O15" s="2030"/>
      <c r="P15" s="2030"/>
      <c r="Q15" s="2030"/>
      <c r="R15" s="2030"/>
      <c r="S15" s="2030"/>
      <c r="T15" s="2030"/>
      <c r="U15" s="2030"/>
      <c r="V15" s="2030"/>
    </row>
    <row r="16" spans="1:22" ht="14.25">
      <c r="A16" s="3306"/>
      <c r="B16" s="3332"/>
      <c r="C16" s="3331"/>
      <c r="D16" s="3334"/>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376026</v>
      </c>
      <c r="D19" s="271">
        <f ca="1">SUMIF(INDIRECT("'"&amp;D4&amp;"'"&amp;"!A:A"),结果表!B19,INDIRECT("'"&amp;D4&amp;"'"&amp;"!B:B"))</f>
        <v>394244</v>
      </c>
      <c r="E19" s="268" t="s">
        <v>322</v>
      </c>
      <c r="F19" s="269" t="s">
        <v>321</v>
      </c>
      <c r="G19" s="272">
        <f ca="1">ROUND(C19*$C$18+D19*$D$18,0)</f>
        <v>385135</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24113</v>
      </c>
      <c r="D20" s="277">
        <f ca="1">SUMIF(INDIRECT("'"&amp;D4&amp;"'"&amp;"!A:A"),结果表!B20,INDIRECT("'"&amp;D4&amp;"'"&amp;"!B:B"))</f>
        <v>25281</v>
      </c>
      <c r="E20" s="274"/>
      <c r="F20" s="275" t="s">
        <v>324</v>
      </c>
      <c r="G20" s="278">
        <f ca="1">ROUND(C20*$C$18+D20*$D$18,0)</f>
        <v>24697</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268588</v>
      </c>
      <c r="D21" s="151">
        <f ca="1">SUMIF(INDIRECT("'"&amp;D4&amp;"'"&amp;"!A:A"),结果表!B21,INDIRECT("'"&amp;D4&amp;"'"&amp;"!B:B"))</f>
        <v>281601</v>
      </c>
      <c r="E21" s="274"/>
      <c r="F21" s="280" t="s">
        <v>326</v>
      </c>
      <c r="G21" s="282">
        <f ca="1">ROUND(C21*$C$18+D21*$D$18,0)</f>
        <v>275095</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4.8448777478153016E-2</v>
      </c>
      <c r="E22" s="284"/>
      <c r="F22" s="285"/>
      <c r="G22" s="286">
        <f ca="1">ROUND(G19/('数据-汇总表'!D3/666.67),0)</f>
        <v>18340</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2" t="s">
        <v>329</v>
      </c>
      <c r="B24" s="269" t="s">
        <v>321</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3"/>
      <c r="B25" s="1321" t="s">
        <v>330</v>
      </c>
      <c r="C25" s="290">
        <f>IF(B30=0,0,C30)</f>
        <v>0</v>
      </c>
      <c r="D25" s="291"/>
      <c r="E25" s="311"/>
      <c r="F25" s="311"/>
      <c r="G25" s="311"/>
      <c r="H25" s="311"/>
      <c r="I25" s="311"/>
      <c r="J25" s="2030"/>
      <c r="K25" s="1255" t="str">
        <f ca="1">项目基本情况!B16&amp;"国有建设用地使用权价格："&amp;O38&amp;"万元"</f>
        <v>出让国有建设用地使用权价格：385135万元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大写金额：人民币叁拾捌亿伍仟壹佰叁拾伍万元整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单位面积地价：275095元/平方米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楼面地价：24697元/平方米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抵押价格：385135万元</v>
      </c>
      <c r="L29" s="1252"/>
      <c r="M29" s="1252"/>
      <c r="N29" s="1252"/>
      <c r="O29" s="1251"/>
      <c r="P29" s="2030"/>
      <c r="V29" s="2030"/>
    </row>
    <row r="30" spans="1:26" ht="18.75" thickBot="1">
      <c r="A30" s="3130" t="s">
        <v>335</v>
      </c>
      <c r="B30" s="309"/>
      <c r="C30" s="309"/>
      <c r="D30" s="310"/>
      <c r="E30" s="3131" t="s">
        <v>2965</v>
      </c>
      <c r="F30" s="311"/>
      <c r="G30" s="311"/>
      <c r="H30" s="311"/>
      <c r="I30" s="311"/>
      <c r="J30" s="2030"/>
      <c r="K30" s="1258" t="str">
        <f ca="1">IF(K29="——","——","大写金额：人民币"&amp;NUMBERSTRING(INT(O39*10000),2)&amp;"元整")</f>
        <v>大写金额：人民币叁拾捌亿伍仟壹佰叁拾伍万元整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1687</v>
      </c>
      <c r="C32" s="1383">
        <f ca="1">G19-C24</f>
        <v>385135</v>
      </c>
      <c r="D32" s="1384" t="s">
        <v>1688</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1689</v>
      </c>
      <c r="C33" s="264">
        <f ca="1">ROUND(C32*10000/'数据-汇总表'!E3,0)</f>
        <v>24697</v>
      </c>
      <c r="D33" s="1386" t="s">
        <v>1690</v>
      </c>
      <c r="E33" s="3312"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275095</v>
      </c>
      <c r="D34" s="1388" t="s">
        <v>1690</v>
      </c>
      <c r="E34" s="3353"/>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18340</v>
      </c>
      <c r="D35" s="1391" t="s">
        <v>1692</v>
      </c>
      <c r="E35" s="3354"/>
      <c r="F35" s="301" t="s">
        <v>341</v>
      </c>
      <c r="G35" s="982"/>
      <c r="H35" s="981" t="s">
        <v>342</v>
      </c>
      <c r="I35" s="311"/>
      <c r="J35" s="2030"/>
      <c r="K35" s="3327" t="s">
        <v>349</v>
      </c>
      <c r="L35" s="3327" t="s">
        <v>350</v>
      </c>
      <c r="M35" s="1264" t="s">
        <v>351</v>
      </c>
      <c r="N35" s="3327" t="s">
        <v>352</v>
      </c>
      <c r="O35" s="3327" t="s">
        <v>353</v>
      </c>
      <c r="P35" s="2030"/>
      <c r="V35" s="2030"/>
    </row>
    <row r="36" spans="1:26" ht="16.5" customHeight="1">
      <c r="A36" s="303" t="s">
        <v>343</v>
      </c>
      <c r="B36" s="304" t="s">
        <v>332</v>
      </c>
      <c r="C36" s="305" t="s">
        <v>344</v>
      </c>
      <c r="D36" s="305" t="s">
        <v>345</v>
      </c>
      <c r="E36" s="306" t="s">
        <v>346</v>
      </c>
      <c r="F36" s="311"/>
      <c r="G36" s="311"/>
      <c r="H36" s="311"/>
      <c r="I36" s="311"/>
      <c r="J36" s="2032"/>
      <c r="K36" s="3328"/>
      <c r="L36" s="3328"/>
      <c r="M36" s="1266" t="s">
        <v>354</v>
      </c>
      <c r="N36" s="3328"/>
      <c r="O36" s="3328"/>
      <c r="P36" s="2030"/>
      <c r="V36" s="2030"/>
    </row>
    <row r="37" spans="1:26" ht="16.5" customHeight="1" thickBot="1">
      <c r="A37" s="1260" t="s">
        <v>347</v>
      </c>
      <c r="B37" s="307"/>
      <c r="C37" s="294"/>
      <c r="D37" s="294"/>
      <c r="E37" s="295"/>
      <c r="F37" s="311"/>
      <c r="G37" s="311"/>
      <c r="H37" s="311"/>
      <c r="I37" s="311"/>
      <c r="J37" s="2032"/>
      <c r="K37" s="3329"/>
      <c r="L37" s="3329"/>
      <c r="M37" s="1267"/>
      <c r="N37" s="3329"/>
      <c r="O37" s="3329"/>
      <c r="P37" s="2030"/>
      <c r="V37" s="2030"/>
    </row>
    <row r="38" spans="1:26" ht="16.5" customHeight="1" thickBot="1">
      <c r="A38" s="1260" t="s">
        <v>348</v>
      </c>
      <c r="B38" s="307"/>
      <c r="C38" s="294"/>
      <c r="D38" s="294"/>
      <c r="E38" s="295"/>
      <c r="F38" s="311"/>
      <c r="G38" s="311"/>
      <c r="H38" s="311"/>
      <c r="I38" s="311"/>
      <c r="J38" s="2032"/>
      <c r="K38" s="1268">
        <f>'数据-汇总表'!D3</f>
        <v>14000.08</v>
      </c>
      <c r="L38" s="1269">
        <f>'数据-汇总表'!E3</f>
        <v>155944.13</v>
      </c>
      <c r="M38" s="1269">
        <f ca="1">C34</f>
        <v>275095</v>
      </c>
      <c r="N38" s="1269">
        <f ca="1">C33</f>
        <v>24697</v>
      </c>
      <c r="O38" s="1270">
        <f ca="1">C32</f>
        <v>385135</v>
      </c>
      <c r="P38" s="2030"/>
      <c r="V38" s="2030"/>
    </row>
    <row r="39" spans="1:26" ht="16.5" customHeight="1" thickBot="1">
      <c r="A39" s="1265"/>
      <c r="B39" s="308"/>
      <c r="C39" s="309"/>
      <c r="D39" s="309"/>
      <c r="E39" s="310"/>
      <c r="F39" s="311"/>
      <c r="G39" s="311"/>
      <c r="H39" s="311"/>
      <c r="I39" s="311"/>
      <c r="J39" s="2032"/>
      <c r="K39" s="3372" t="str">
        <f>MID(A44,3,LEN(A44)-2)</f>
        <v>抵押价格</v>
      </c>
      <c r="L39" s="3373"/>
      <c r="M39" s="3373"/>
      <c r="N39" s="3374"/>
      <c r="O39" s="1393">
        <f ca="1">C44</f>
        <v>385135</v>
      </c>
      <c r="P39" s="2030"/>
      <c r="V39" s="2030"/>
    </row>
    <row r="40" spans="1:26" ht="19.5" thickBot="1">
      <c r="A40" s="104" t="s">
        <v>872</v>
      </c>
      <c r="B40" s="311"/>
      <c r="C40" s="311"/>
      <c r="D40" s="311"/>
      <c r="E40" s="311"/>
      <c r="F40" s="311"/>
      <c r="G40" s="311"/>
      <c r="H40" s="311"/>
      <c r="I40" s="311"/>
      <c r="J40" s="2032"/>
      <c r="K40" s="3372" t="str">
        <f t="shared" ref="K40:K41" si="0">MID(A45,3,LEN(A45)-2)</f>
        <v/>
      </c>
      <c r="L40" s="3373"/>
      <c r="M40" s="3373"/>
      <c r="N40" s="3374"/>
      <c r="O40" s="1393" t="str">
        <f>C45</f>
        <v>——</v>
      </c>
      <c r="P40" s="2030"/>
      <c r="V40" s="2030"/>
    </row>
    <row r="41" spans="1:26" ht="16.5" thickBot="1">
      <c r="A41" s="312" t="s">
        <v>355</v>
      </c>
      <c r="B41" s="313"/>
      <c r="C41" s="314" t="s">
        <v>356</v>
      </c>
      <c r="D41" s="315" t="s">
        <v>357</v>
      </c>
      <c r="E41" s="315" t="s">
        <v>358</v>
      </c>
      <c r="F41" s="316" t="s">
        <v>359</v>
      </c>
      <c r="G41" s="311"/>
      <c r="H41" s="311"/>
      <c r="I41" s="311"/>
      <c r="J41" s="2032"/>
      <c r="K41" s="3372" t="str">
        <f t="shared" si="0"/>
        <v/>
      </c>
      <c r="L41" s="3373"/>
      <c r="M41" s="3373"/>
      <c r="N41" s="3374"/>
      <c r="O41" s="1393" t="str">
        <f>C46</f>
        <v>——</v>
      </c>
      <c r="P41" s="2030"/>
      <c r="V41" s="2030"/>
    </row>
    <row r="42" spans="1:26" ht="29.25">
      <c r="A42" s="3314" t="s">
        <v>2068</v>
      </c>
      <c r="B42" s="3315"/>
      <c r="C42" s="264">
        <f ca="1">C32</f>
        <v>385135</v>
      </c>
      <c r="D42" s="317">
        <f ca="1">C33</f>
        <v>24697</v>
      </c>
      <c r="E42" s="317">
        <f ca="1">C34</f>
        <v>275095</v>
      </c>
      <c r="F42" s="318">
        <f ca="1">C35</f>
        <v>18340</v>
      </c>
      <c r="G42" s="311"/>
      <c r="H42" s="311"/>
      <c r="I42" s="319"/>
      <c r="J42" s="2032"/>
      <c r="K42" s="1271" t="s">
        <v>360</v>
      </c>
      <c r="L42" s="2049" t="s">
        <v>361</v>
      </c>
      <c r="M42" s="1272" t="s">
        <v>362</v>
      </c>
      <c r="N42" s="2050" t="s">
        <v>363</v>
      </c>
      <c r="O42" s="2051" t="s">
        <v>364</v>
      </c>
      <c r="P42" s="2030"/>
      <c r="V42" s="2030"/>
    </row>
    <row r="43" spans="1:26" ht="30">
      <c r="A43" s="3325" t="s">
        <v>2728</v>
      </c>
      <c r="B43" s="3326"/>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376026</v>
      </c>
      <c r="M43" s="1275">
        <f>C18</f>
        <v>0.5</v>
      </c>
      <c r="N43" s="1276">
        <f ca="1">IF(N42="测算结果/万元",G19,G20)</f>
        <v>385135</v>
      </c>
      <c r="O43" s="1277">
        <f ca="1">IF(O42="最终结果/万元",C32,C33)</f>
        <v>385135</v>
      </c>
      <c r="P43" s="2030"/>
      <c r="V43" s="2030"/>
    </row>
    <row r="44" spans="1:26" ht="30.75" thickBot="1">
      <c r="A44" s="3314" t="str">
        <f>IF(OR(项目基本情况!E8="抵押价格",项目基本情况!E8="已注销及未注销"),"3.抵押价格","——")</f>
        <v>3.抵押价格</v>
      </c>
      <c r="B44" s="3315"/>
      <c r="C44" s="264">
        <f ca="1">IF(A44="——","——",C42-C43)</f>
        <v>385135</v>
      </c>
      <c r="D44" s="317">
        <f ca="1">ROUND(C44*10000/'数据-汇总表'!E3,0)</f>
        <v>24697</v>
      </c>
      <c r="E44" s="317">
        <f ca="1">ROUND(C44*10000/'数据-汇总表'!D3,0)</f>
        <v>275095</v>
      </c>
      <c r="F44" s="318">
        <f ca="1">ROUND(C44/('数据-汇总表'!D3/666.67),0)</f>
        <v>18340</v>
      </c>
      <c r="G44" s="311"/>
      <c r="H44" s="311"/>
      <c r="I44" s="319"/>
      <c r="J44" s="2032"/>
      <c r="K44" s="1278" t="str">
        <f>D4</f>
        <v>剩余法-待开发</v>
      </c>
      <c r="L44" s="1279">
        <f ca="1">IF(L42="估价结果/万元",D19,D20)</f>
        <v>394244</v>
      </c>
      <c r="M44" s="1280">
        <f>D18</f>
        <v>0.5</v>
      </c>
      <c r="N44" s="1281"/>
      <c r="O44" s="1282"/>
      <c r="P44" s="2030"/>
      <c r="V44" s="2030"/>
    </row>
    <row r="45" spans="1:26" ht="15">
      <c r="A45" s="3320" t="str">
        <f>IF(项目基本情况!E8="已注销及未注销","4.抵押担保权已注销时的抵押价格",IF(项目基本情况!E8="已注销","3.抵押担保权已注销时的抵押价格","——"))</f>
        <v>——</v>
      </c>
      <c r="B45" s="332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6" t="str">
        <f>IF(项目基本情况!E9="抵押净值",IF(A45="——","4.抵押净值","5.抵押净值"),"——")</f>
        <v>——</v>
      </c>
      <c r="B46" s="331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1" t="s">
        <v>373</v>
      </c>
      <c r="B63" s="3362"/>
      <c r="C63" s="3363"/>
      <c r="D63" s="341">
        <f ca="1">ROUND(C42*F63,0)</f>
        <v>246486</v>
      </c>
      <c r="E63" s="302" t="s">
        <v>374</v>
      </c>
      <c r="F63" s="342">
        <v>0.64</v>
      </c>
      <c r="G63" s="343" t="s">
        <v>375</v>
      </c>
      <c r="H63" s="311"/>
      <c r="I63" s="311"/>
      <c r="J63" s="2030"/>
      <c r="K63" s="2030"/>
      <c r="L63" s="2030"/>
      <c r="M63" s="2030"/>
      <c r="N63" s="2030"/>
      <c r="O63" s="2030"/>
      <c r="P63" s="311"/>
      <c r="Q63" s="2030"/>
      <c r="R63" s="2030"/>
      <c r="S63" s="2030"/>
      <c r="T63" s="2030"/>
      <c r="U63" s="2030"/>
      <c r="V63" s="2030"/>
    </row>
    <row r="64" spans="1:22" ht="14.25" customHeight="1">
      <c r="A64" s="3322" t="s">
        <v>377</v>
      </c>
      <c r="B64" s="3323"/>
      <c r="C64" s="3323"/>
      <c r="D64" s="3323"/>
      <c r="E64" s="3323"/>
      <c r="F64" s="3323"/>
      <c r="G64" s="3324"/>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18" t="s">
        <v>385</v>
      </c>
      <c r="B66" s="3319"/>
      <c r="C66" s="3319"/>
      <c r="D66" s="261">
        <f ca="1">IF(H66="情况1",0,IF(H66="情况2",D70,IF(H66="情况3",D71,IF(H66="情况4",D72))))</f>
        <v>12911</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76" t="s">
        <v>384</v>
      </c>
      <c r="M66" s="3377"/>
      <c r="N66" s="2460"/>
      <c r="O66" s="2461"/>
      <c r="P66" s="2462"/>
      <c r="Q66" s="2030"/>
      <c r="R66" s="2030"/>
      <c r="S66" s="2030"/>
      <c r="T66" s="2030"/>
      <c r="U66" s="2030"/>
      <c r="V66" s="2030"/>
    </row>
    <row r="67" spans="1:22" ht="25.5" customHeight="1">
      <c r="A67" s="352" t="s">
        <v>389</v>
      </c>
      <c r="B67" s="3309" t="s">
        <v>390</v>
      </c>
      <c r="C67" s="3309"/>
      <c r="D67" s="353">
        <v>0</v>
      </c>
      <c r="E67" s="41" t="s">
        <v>391</v>
      </c>
      <c r="F67" s="62" t="s">
        <v>21</v>
      </c>
      <c r="G67" s="3364"/>
      <c r="H67" s="311"/>
      <c r="I67" s="1292"/>
      <c r="J67" s="2037"/>
      <c r="K67" s="1978">
        <v>2</v>
      </c>
      <c r="L67" s="3375" t="s">
        <v>388</v>
      </c>
      <c r="M67" s="3375"/>
      <c r="N67" s="1325">
        <f>'数据-取费表'!B2</f>
        <v>43390</v>
      </c>
      <c r="O67" s="1325"/>
      <c r="P67" s="1325"/>
      <c r="Q67" s="2030"/>
      <c r="R67" s="2030"/>
      <c r="S67" s="2030"/>
      <c r="T67" s="2030"/>
      <c r="U67" s="2030"/>
      <c r="V67" s="2030"/>
    </row>
    <row r="68" spans="1:22" ht="25.5" customHeight="1">
      <c r="A68" s="354"/>
      <c r="B68" s="3309" t="s">
        <v>393</v>
      </c>
      <c r="C68" s="3309"/>
      <c r="D68" s="355"/>
      <c r="E68" s="77"/>
      <c r="F68" s="356"/>
      <c r="G68" s="3365"/>
      <c r="H68" s="311"/>
      <c r="I68" s="1292"/>
      <c r="J68" s="2037"/>
      <c r="K68" s="1978">
        <v>3</v>
      </c>
      <c r="L68" s="3375" t="s">
        <v>392</v>
      </c>
      <c r="M68" s="3375"/>
      <c r="N68" s="1293">
        <f ca="1">C42</f>
        <v>385135</v>
      </c>
      <c r="O68" s="1293"/>
      <c r="P68" s="1293"/>
      <c r="Q68" s="2030"/>
      <c r="R68" s="2030"/>
      <c r="S68" s="2030"/>
      <c r="T68" s="2030"/>
      <c r="U68" s="2030"/>
      <c r="V68" s="2030"/>
    </row>
    <row r="69" spans="1:22" ht="12" customHeight="1">
      <c r="A69" s="357"/>
      <c r="B69" s="3309" t="s">
        <v>394</v>
      </c>
      <c r="C69" s="3309"/>
      <c r="D69" s="358"/>
      <c r="E69" s="73"/>
      <c r="F69" s="356"/>
      <c r="G69" s="3366"/>
      <c r="H69" s="311"/>
      <c r="I69" s="1292"/>
      <c r="J69" s="2037"/>
      <c r="K69" s="1294">
        <v>4</v>
      </c>
      <c r="L69" s="3380" t="s">
        <v>2881</v>
      </c>
      <c r="M69" s="3381"/>
      <c r="N69" s="1295">
        <f ca="1">C44</f>
        <v>385135</v>
      </c>
      <c r="O69" s="1295"/>
      <c r="P69" s="1295"/>
      <c r="Q69" s="2030"/>
      <c r="R69" s="2030"/>
      <c r="S69" s="2030"/>
      <c r="T69" s="2030"/>
      <c r="U69" s="2030"/>
      <c r="V69" s="2030"/>
    </row>
    <row r="70" spans="1:22" ht="24" customHeight="1">
      <c r="A70" s="359" t="s">
        <v>395</v>
      </c>
      <c r="B70" s="3309" t="s">
        <v>396</v>
      </c>
      <c r="C70" s="3309"/>
      <c r="D70" s="358">
        <f ca="1">ROUND(D63*'数据-取费表'!B41/(1+'数据-取费表'!C42),0)</f>
        <v>12911</v>
      </c>
      <c r="E70" s="17" t="s">
        <v>397</v>
      </c>
      <c r="F70" s="360">
        <f>'数据-取费表'!B41</f>
        <v>5.5000000000000007E-2</v>
      </c>
      <c r="G70" s="361"/>
      <c r="H70" s="311"/>
      <c r="I70" s="1292"/>
      <c r="J70" s="2037"/>
      <c r="K70" s="3064"/>
      <c r="L70" s="3065"/>
      <c r="M70" s="3065"/>
      <c r="N70" s="3066" t="s">
        <v>2885</v>
      </c>
      <c r="O70" s="3065"/>
      <c r="P70" s="3067"/>
      <c r="Q70" s="2030"/>
      <c r="R70" s="2030"/>
      <c r="S70" s="2030"/>
      <c r="T70" s="2030"/>
      <c r="U70" s="2030"/>
      <c r="V70" s="2030"/>
    </row>
    <row r="71" spans="1:22" ht="12" customHeight="1">
      <c r="A71" s="359" t="s">
        <v>403</v>
      </c>
      <c r="B71" s="3310" t="s">
        <v>404</v>
      </c>
      <c r="C71" s="3311"/>
      <c r="D71" s="358">
        <f ca="1">ROUND(D63*'数据-取费表'!B41/(1+'数据-取费表'!C42),0)</f>
        <v>12911</v>
      </c>
      <c r="E71" s="17" t="s">
        <v>397</v>
      </c>
      <c r="F71" s="360">
        <f>'数据-取费表'!B41</f>
        <v>5.5000000000000007E-2</v>
      </c>
      <c r="G71" s="361"/>
      <c r="H71" s="311"/>
      <c r="I71" s="1292"/>
      <c r="J71" s="2037"/>
      <c r="K71" s="3063" t="s">
        <v>398</v>
      </c>
      <c r="L71" s="3382" t="s">
        <v>399</v>
      </c>
      <c r="M71" s="3382"/>
      <c r="N71" s="3063" t="s">
        <v>400</v>
      </c>
      <c r="O71" s="3063" t="s">
        <v>401</v>
      </c>
      <c r="P71" s="3063" t="s">
        <v>402</v>
      </c>
      <c r="Q71" s="2030"/>
      <c r="R71" s="2030"/>
      <c r="S71" s="2030"/>
      <c r="T71" s="2030"/>
      <c r="U71" s="2030"/>
      <c r="V71" s="2030"/>
    </row>
    <row r="72" spans="1:22" ht="12" customHeight="1">
      <c r="A72" s="359" t="s">
        <v>406</v>
      </c>
      <c r="B72" s="3310" t="s">
        <v>407</v>
      </c>
      <c r="C72" s="3311"/>
      <c r="D72" s="358">
        <f ca="1">C86</f>
        <v>12801</v>
      </c>
      <c r="E72" s="73" t="s">
        <v>408</v>
      </c>
      <c r="F72" s="360">
        <f>'数据-取费表'!B41</f>
        <v>5.5000000000000007E-2</v>
      </c>
      <c r="G72" s="361"/>
      <c r="H72" s="1298"/>
      <c r="I72" s="1292"/>
      <c r="J72" s="2037"/>
      <c r="K72" s="1978">
        <v>1</v>
      </c>
      <c r="L72" s="3357" t="s">
        <v>405</v>
      </c>
      <c r="M72" s="3357"/>
      <c r="N72" s="1296">
        <f ca="1">D66</f>
        <v>12911</v>
      </c>
      <c r="O72" s="1861" t="str">
        <f>E66</f>
        <v>销售额×税（费）率</v>
      </c>
      <c r="P72" s="1297">
        <f>F66</f>
        <v>5.5000000000000007E-2</v>
      </c>
      <c r="Q72" s="2030"/>
      <c r="R72" s="2030"/>
      <c r="S72" s="2030"/>
      <c r="T72" s="2030"/>
      <c r="U72" s="2030"/>
      <c r="V72" s="2030"/>
    </row>
    <row r="73" spans="1:22" ht="24" customHeight="1">
      <c r="A73" s="3351" t="s">
        <v>410</v>
      </c>
      <c r="B73" s="3319"/>
      <c r="C73" s="3319"/>
      <c r="D73" s="362">
        <f ca="1">IF(H73="个人住宅",0,ROUND(D63*I73,0))</f>
        <v>123</v>
      </c>
      <c r="E73" s="17" t="s">
        <v>411</v>
      </c>
      <c r="F73" s="360">
        <f>IF(H73="正常",I73,"免征")</f>
        <v>5.0000000000000001E-4</v>
      </c>
      <c r="G73" s="361"/>
      <c r="H73" s="191" t="s">
        <v>3169</v>
      </c>
      <c r="I73" s="360">
        <f>'数据-取费表'!B49</f>
        <v>5.0000000000000001E-4</v>
      </c>
      <c r="J73" s="2037"/>
      <c r="K73" s="1978">
        <v>2</v>
      </c>
      <c r="L73" s="3357" t="s">
        <v>409</v>
      </c>
      <c r="M73" s="3357"/>
      <c r="N73" s="1296">
        <f t="shared" ref="N73:P74" ca="1" si="1">D73</f>
        <v>123</v>
      </c>
      <c r="O73" s="1861" t="str">
        <f t="shared" si="1"/>
        <v>销售额×税（费）率</v>
      </c>
      <c r="P73" s="1297">
        <f t="shared" si="1"/>
        <v>5.0000000000000001E-4</v>
      </c>
      <c r="Q73" s="2030"/>
      <c r="R73" s="2030"/>
      <c r="S73" s="2030"/>
      <c r="T73" s="2030"/>
      <c r="U73" s="2030"/>
      <c r="V73" s="2030"/>
    </row>
    <row r="74" spans="1:22" ht="24.75">
      <c r="A74" s="3351" t="s">
        <v>414</v>
      </c>
      <c r="B74" s="3319"/>
      <c r="C74" s="3319"/>
      <c r="D74" s="362">
        <f ca="1">IF(H74="个人住宅",D75,D76)</f>
        <v>53719</v>
      </c>
      <c r="E74" s="17" t="s">
        <v>415</v>
      </c>
      <c r="F74" s="360" t="str">
        <f>IF(H74="正常",F76,"免征")</f>
        <v>——</v>
      </c>
      <c r="G74" s="983" t="s">
        <v>416</v>
      </c>
      <c r="H74" s="363" t="s">
        <v>412</v>
      </c>
      <c r="I74" s="42"/>
      <c r="J74" s="2037"/>
      <c r="K74" s="1978">
        <v>3</v>
      </c>
      <c r="L74" s="3357" t="s">
        <v>413</v>
      </c>
      <c r="M74" s="3357"/>
      <c r="N74" s="1296">
        <f t="shared" ca="1" si="1"/>
        <v>53719</v>
      </c>
      <c r="O74" s="1861" t="str">
        <f t="shared" si="1"/>
        <v>增值额×税（费）率</v>
      </c>
      <c r="P74" s="1299" t="str">
        <f t="shared" si="1"/>
        <v>——</v>
      </c>
      <c r="Q74" s="2030"/>
      <c r="R74" s="2030"/>
      <c r="S74" s="2030"/>
      <c r="T74" s="2030"/>
      <c r="U74" s="2030"/>
      <c r="V74" s="2030"/>
    </row>
    <row r="75" spans="1:22" ht="12.75">
      <c r="A75" s="359" t="s">
        <v>417</v>
      </c>
      <c r="B75" s="3307" t="s">
        <v>418</v>
      </c>
      <c r="C75" s="3337"/>
      <c r="D75" s="364">
        <v>0</v>
      </c>
      <c r="E75" s="41" t="s">
        <v>419</v>
      </c>
      <c r="F75" s="365"/>
      <c r="G75" s="361"/>
      <c r="H75" s="42"/>
      <c r="I75" s="42"/>
      <c r="J75" s="2037"/>
      <c r="K75" s="3056" t="str">
        <f>IF(H77="非个人房产","",4)</f>
        <v/>
      </c>
      <c r="L75" s="3357" t="str">
        <f>IF(H77="非个人房产","——","个人所得税")</f>
        <v>——</v>
      </c>
      <c r="M75" s="3357"/>
      <c r="N75" s="1300" t="str">
        <f>D77</f>
        <v>——</v>
      </c>
      <c r="O75" s="1874" t="str">
        <f>E77</f>
        <v>——</v>
      </c>
      <c r="P75" s="1301" t="str">
        <f>F77</f>
        <v>——</v>
      </c>
      <c r="Q75" s="2030"/>
      <c r="R75" s="2030"/>
      <c r="S75" s="2030"/>
      <c r="T75" s="2030"/>
      <c r="U75" s="2030"/>
      <c r="V75" s="2030"/>
    </row>
    <row r="76" spans="1:22" ht="24.75">
      <c r="A76" s="359" t="s">
        <v>395</v>
      </c>
      <c r="B76" s="3307" t="s">
        <v>421</v>
      </c>
      <c r="C76" s="3308"/>
      <c r="D76" s="362">
        <f ca="1">IF(H76="转让取得",C99,C115)</f>
        <v>53719</v>
      </c>
      <c r="E76" s="17" t="s">
        <v>422</v>
      </c>
      <c r="F76" s="53" t="s">
        <v>21</v>
      </c>
      <c r="G76" s="361"/>
      <c r="H76" s="363" t="s">
        <v>423</v>
      </c>
      <c r="I76" s="42"/>
      <c r="J76" s="2037"/>
      <c r="K76" s="3056"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30"/>
      <c r="R76" s="2030"/>
      <c r="S76" s="2030"/>
      <c r="T76" s="2030"/>
      <c r="U76" s="2030"/>
      <c r="V76" s="2030"/>
    </row>
    <row r="77" spans="1:22" ht="24.75" thickBot="1">
      <c r="A77" s="3359" t="s">
        <v>425</v>
      </c>
      <c r="B77" s="3360"/>
      <c r="C77" s="3360"/>
      <c r="D77" s="366" t="str">
        <f>IF(H77="非个人房产","——",IF(H77="个人住宅",0,ROUND(D63*I77,0)))</f>
        <v>——</v>
      </c>
      <c r="E77" s="367" t="str">
        <f>IF(H77="非个人房产","——","销售额×税（费）率")</f>
        <v>——</v>
      </c>
      <c r="F77" s="368" t="str">
        <f>IF(H77="非个人房产","——",IF(H77="个人住宅","免征",I77))</f>
        <v>——</v>
      </c>
      <c r="G77" s="984" t="s">
        <v>416</v>
      </c>
      <c r="H77" s="363" t="s">
        <v>3280</v>
      </c>
      <c r="I77" s="369">
        <v>0.01</v>
      </c>
      <c r="J77" s="2037"/>
      <c r="K77" s="3358">
        <f>IF(AND(K75="",K76=""),4,IF(项目基本情况!K6="上海银行",K76+1,K75+1))</f>
        <v>4</v>
      </c>
      <c r="L77" s="3357" t="s">
        <v>2882</v>
      </c>
      <c r="M77" s="3062" t="s">
        <v>420</v>
      </c>
      <c r="N77" s="1302"/>
      <c r="O77" s="1303">
        <f ca="1">SUMIF(N72:N76,"&lt;9e307")</f>
        <v>66753</v>
      </c>
      <c r="P77" s="1304"/>
      <c r="Q77" s="3060">
        <f ca="1">O77/N69</f>
        <v>0.17332363976268061</v>
      </c>
      <c r="R77" s="2030"/>
      <c r="S77" s="2030"/>
      <c r="T77" s="2030"/>
      <c r="U77" s="2030"/>
      <c r="V77" s="2030"/>
    </row>
    <row r="78" spans="1:22" ht="12" customHeight="1">
      <c r="A78" s="1305"/>
      <c r="B78" s="311"/>
      <c r="C78" s="311"/>
      <c r="D78" s="311"/>
      <c r="E78" s="42"/>
      <c r="F78" s="42"/>
      <c r="G78" s="42"/>
      <c r="H78" s="1003"/>
      <c r="I78" s="311"/>
      <c r="J78" s="2037"/>
      <c r="K78" s="3358"/>
      <c r="L78" s="3357"/>
      <c r="M78" s="3062" t="s">
        <v>424</v>
      </c>
      <c r="N78" s="1302"/>
      <c r="O78" s="1303" t="str">
        <f ca="1">NUMBERSTRING(INT(O77*10000),2)&amp;"元整"</f>
        <v>陆亿陆仟柒佰伍拾叁万元整</v>
      </c>
      <c r="P78" s="1304"/>
      <c r="Q78" s="2030"/>
      <c r="R78" s="2030"/>
      <c r="S78" s="2030"/>
      <c r="T78" s="2030"/>
      <c r="U78" s="2030"/>
      <c r="V78" s="2030"/>
    </row>
    <row r="79" spans="1:22" ht="13.5" thickBot="1">
      <c r="A79" s="3352" t="s">
        <v>426</v>
      </c>
      <c r="B79" s="3352"/>
      <c r="C79" s="3352"/>
      <c r="D79" s="3352"/>
      <c r="E79" s="3352"/>
      <c r="F79" s="42"/>
      <c r="G79" s="42"/>
      <c r="H79" s="1003"/>
      <c r="I79" s="311"/>
      <c r="J79" s="2037"/>
      <c r="K79" s="3378">
        <f>K77+1</f>
        <v>5</v>
      </c>
      <c r="L79" s="3357" t="s">
        <v>2883</v>
      </c>
      <c r="M79" s="3062" t="s">
        <v>420</v>
      </c>
      <c r="N79" s="1302"/>
      <c r="O79" s="1303">
        <f ca="1">N69-O77</f>
        <v>318382</v>
      </c>
      <c r="P79" s="1304"/>
      <c r="Q79" s="2030"/>
      <c r="R79" s="2030"/>
      <c r="S79" s="2030"/>
      <c r="T79" s="2030"/>
      <c r="U79" s="2030"/>
      <c r="V79" s="2030"/>
    </row>
    <row r="80" spans="1:22" ht="25.5">
      <c r="A80" s="3347" t="s">
        <v>427</v>
      </c>
      <c r="B80" s="3348"/>
      <c r="C80" s="994"/>
      <c r="D80" s="994" t="s">
        <v>428</v>
      </c>
      <c r="E80" s="370" t="s">
        <v>429</v>
      </c>
      <c r="F80" s="42"/>
      <c r="G80" s="42"/>
      <c r="H80" s="1003"/>
      <c r="I80" s="311"/>
      <c r="J80" s="2030"/>
      <c r="K80" s="3379"/>
      <c r="L80" s="3357"/>
      <c r="M80" s="3062" t="s">
        <v>424</v>
      </c>
      <c r="N80" s="1302"/>
      <c r="O80" s="1303" t="str">
        <f ca="1">NUMBERSTRING(INT(O79*10000),2)&amp;"元整"</f>
        <v>叁拾壹亿捌仟叁佰捌拾贰万元整</v>
      </c>
      <c r="P80" s="1304"/>
      <c r="Q80" s="2030"/>
      <c r="R80" s="2030"/>
      <c r="S80" s="2030"/>
      <c r="T80" s="2030"/>
      <c r="U80" s="2030"/>
      <c r="V80" s="2030"/>
    </row>
    <row r="81" spans="1:26" ht="13.5" thickBot="1">
      <c r="A81" s="381" t="s">
        <v>1822</v>
      </c>
      <c r="B81" s="371" t="s">
        <v>430</v>
      </c>
      <c r="C81" s="372">
        <f ca="1">ROUND((C82+C83)/(1+'数据-取费表'!C42),0)</f>
        <v>234749</v>
      </c>
      <c r="D81" s="373"/>
      <c r="E81" s="374"/>
      <c r="F81" s="42"/>
      <c r="G81" s="42"/>
      <c r="H81" s="1003"/>
      <c r="I81" s="311"/>
      <c r="J81" s="2030"/>
      <c r="K81" s="3056">
        <f>K79+1</f>
        <v>6</v>
      </c>
      <c r="L81" s="3355" t="s">
        <v>2884</v>
      </c>
      <c r="M81" s="3356"/>
      <c r="N81" s="1306"/>
      <c r="O81" s="1307">
        <f ca="1">ROUND(O79*10000/'数据-汇总表'!E3,0)</f>
        <v>20416</v>
      </c>
      <c r="P81" s="1308"/>
      <c r="Q81" s="2030"/>
      <c r="R81" s="2030"/>
      <c r="S81" s="2030"/>
      <c r="T81" s="2030"/>
      <c r="U81" s="2030"/>
      <c r="V81" s="2030"/>
    </row>
    <row r="82" spans="1:26" ht="13.5" thickTop="1">
      <c r="A82" s="375" t="s">
        <v>1823</v>
      </c>
      <c r="B82" s="376" t="s">
        <v>431</v>
      </c>
      <c r="C82" s="377">
        <f ca="1">D63</f>
        <v>246486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432</v>
      </c>
      <c r="C83" s="380">
        <v>0</v>
      </c>
      <c r="D83" s="378"/>
      <c r="E83" s="379"/>
      <c r="F83" s="42"/>
      <c r="G83" s="42"/>
      <c r="H83" s="1003"/>
      <c r="I83" s="311"/>
      <c r="J83" s="2030"/>
      <c r="K83" s="3367" t="s">
        <v>2872</v>
      </c>
      <c r="L83" s="3068" t="s">
        <v>2873</v>
      </c>
      <c r="M83" s="3058">
        <f ca="1">IF(N69&gt;10000,N69*0.5%,IF(AND(N69&gt;1000,N69&lt;=10000),N69*1%,IF(AND(N69&gt;100,N69&lt;=1000),N69*3%,IF(AND(N69&gt;10,N69&lt;=100),N69*5%,N69*8%))))</f>
        <v>1925.675</v>
      </c>
      <c r="N83" s="53">
        <f ca="1">ROUND(M83,1)</f>
        <v>1925.7</v>
      </c>
      <c r="O83" s="3061"/>
      <c r="P83" s="2030"/>
      <c r="Q83" s="2030"/>
      <c r="R83" s="2030"/>
      <c r="S83" s="2030"/>
      <c r="T83" s="2030"/>
      <c r="U83" s="2030"/>
      <c r="V83" s="2030"/>
    </row>
    <row r="84" spans="1:26" ht="12.75">
      <c r="A84" s="381" t="s">
        <v>1825</v>
      </c>
      <c r="B84" s="382" t="s">
        <v>433</v>
      </c>
      <c r="C84" s="383">
        <v>2000</v>
      </c>
      <c r="D84" s="384" t="s">
        <v>19</v>
      </c>
      <c r="E84" s="3101" t="s">
        <v>2938</v>
      </c>
      <c r="F84" s="42"/>
      <c r="G84" s="42"/>
      <c r="H84" s="1003"/>
      <c r="I84" s="311"/>
      <c r="J84" s="2030"/>
      <c r="K84" s="3367"/>
      <c r="L84" s="3068" t="s">
        <v>2874</v>
      </c>
      <c r="M84" s="3058">
        <f ca="1">IF(N69&gt;2000,N69*0.5%,IF(AND(N69&gt;1000,N69&lt;=2000),N69*0.6%,IF(AND(N69&gt;500,N69&lt;=1000),N69*0.7%,IF(AND(N69&gt;200,N69&lt;=500),N69*0.8%,IF(AND(N69&gt;100,N69&lt;=200),N69*0.9%,IF(AND(N69&gt;50,N69&lt;=100),N69*1%,IF(AND(N69&gt;20,N69&lt;=50),N69*1.5%,IF(AND(N69&gt;10,N69&lt;=20),N69*2%,IF(AND(N69&gt;1,N69&lt;=10),N69*2.5%)))))))))</f>
        <v>1925.675</v>
      </c>
      <c r="N84" s="53">
        <f t="shared" ref="N84:N85" ca="1" si="2">ROUND(M84,1)</f>
        <v>1925.7</v>
      </c>
      <c r="O84" s="2030" t="s">
        <v>2875</v>
      </c>
      <c r="P84" s="2030"/>
      <c r="Q84" s="2030"/>
      <c r="R84" s="2030"/>
      <c r="S84" s="2030"/>
      <c r="T84" s="2030"/>
      <c r="U84" s="2030"/>
      <c r="V84" s="2030"/>
    </row>
    <row r="85" spans="1:26" ht="12.75">
      <c r="A85" s="381" t="s">
        <v>1826</v>
      </c>
      <c r="B85" s="382" t="s">
        <v>434</v>
      </c>
      <c r="C85" s="385">
        <f ca="1">C81-C84</f>
        <v>232749</v>
      </c>
      <c r="D85" s="378" t="s">
        <v>19</v>
      </c>
      <c r="E85" s="379"/>
      <c r="F85" s="42"/>
      <c r="G85" s="42"/>
      <c r="H85" s="1003"/>
      <c r="I85" s="311"/>
      <c r="J85" s="2030"/>
      <c r="K85" s="3367"/>
      <c r="L85" s="3068" t="s">
        <v>2876</v>
      </c>
      <c r="M85" s="3058">
        <f ca="1">IF(N69&gt;1000,N69*0.1%,IF(AND(N69&gt;500,N69&lt;=1000),N69*0.5%,IF(AND(N69&gt;50,N69&lt;=500),N69*1%,IF(AND(N69&gt;1,N69&lt;=50),N69*1.5%))))</f>
        <v>385.13499999999999</v>
      </c>
      <c r="N85" s="53">
        <f t="shared" ca="1" si="2"/>
        <v>385.1</v>
      </c>
      <c r="O85" s="2030" t="s">
        <v>2875</v>
      </c>
      <c r="P85" s="2030"/>
      <c r="Q85" s="2030"/>
      <c r="R85" s="2030"/>
      <c r="S85" s="2030"/>
      <c r="T85" s="2030"/>
      <c r="U85" s="2030"/>
      <c r="V85" s="2030"/>
    </row>
    <row r="86" spans="1:26" ht="13.5" thickBot="1">
      <c r="A86" s="386" t="s">
        <v>1827</v>
      </c>
      <c r="B86" s="387" t="s">
        <v>435</v>
      </c>
      <c r="C86" s="388">
        <f ca="1">IF(C85&lt;=0,0,ROUND(C85*D86,0))</f>
        <v>12801</v>
      </c>
      <c r="D86" s="389">
        <f>'数据-取费表'!B41</f>
        <v>5.5000000000000007E-2</v>
      </c>
      <c r="E86" s="390"/>
      <c r="F86" s="42"/>
      <c r="G86" s="42"/>
      <c r="H86" s="1003"/>
      <c r="I86" s="311"/>
      <c r="J86" s="2030"/>
      <c r="K86" s="3367"/>
      <c r="L86" s="3068" t="s">
        <v>2877</v>
      </c>
      <c r="M86" s="3058">
        <f ca="1">N69*0.5%</f>
        <v>1925.675</v>
      </c>
      <c r="N86" s="53">
        <f ca="1">IF(M86&gt;0.5,0.5,ROUND(M86,0))</f>
        <v>0.5</v>
      </c>
      <c r="O86" s="2030" t="s">
        <v>2878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7"/>
      <c r="L87" s="3068" t="s">
        <v>2879</v>
      </c>
      <c r="M87" s="3058">
        <f ca="1">IF(N69&gt;=10000,(8.25+(N69-10000)*0.01%),IF(AND(N69&gt;=8000,N69&lt;10000),(7.85+(N69-8000)*0.02%),IF(AND(N69&gt;=5000,N69&lt;8000),(6.65+(N69-5000)*0.04%),IF(AND(N69&gt;=2000,N69&lt;5000),(4.25+(PN69-2000)*0.08%),IF(AND(N69&gt;=1000,N69&lt;2000),(2.75+(N69-1000)*0.15%),IF(AND(N69&gt;=100,N69&lt;1000),(0.5+(N69-100)*0.25%),IF(AND(N69&gt;0,N69&lt;100),N69*0.5%)))))))</f>
        <v>45.763500000000001</v>
      </c>
      <c r="N87" s="53">
        <f ca="1">ROUND(M87*0.9,1)</f>
        <v>41.2</v>
      </c>
      <c r="O87" s="3061"/>
      <c r="P87" s="311"/>
      <c r="Q87" s="2030"/>
      <c r="R87" s="2030"/>
      <c r="S87" s="2030"/>
      <c r="T87" s="2030"/>
      <c r="U87" s="2030"/>
      <c r="V87" s="2030"/>
      <c r="W87" s="292"/>
      <c r="X87" s="292"/>
      <c r="Y87" s="292"/>
      <c r="Z87" s="292"/>
    </row>
    <row r="88" spans="1:26" s="1314" customFormat="1" ht="15" thickBot="1">
      <c r="A88" s="3349" t="s">
        <v>436</v>
      </c>
      <c r="B88" s="3350"/>
      <c r="C88" s="3350"/>
      <c r="D88" s="3350"/>
      <c r="E88" s="3350"/>
      <c r="F88" s="3350"/>
      <c r="G88" s="3350"/>
      <c r="H88" s="3350"/>
      <c r="I88" s="1315"/>
      <c r="J88" s="2038"/>
      <c r="K88" s="3367"/>
      <c r="L88" s="3068" t="s">
        <v>2880</v>
      </c>
      <c r="M88" s="3058">
        <f ca="1">IF(N69&gt;10000,N69*0.5%,IF(AND(N69&gt;5000,N69&lt;=10000),N69*1%,IF(AND(N69&gt;1000,N69&lt;=5000),N69*2%,IF(AND(N69&gt;200,N69&lt;=1000),N69*3%,N69*5%))))</f>
        <v>1925.675</v>
      </c>
      <c r="N88" s="53">
        <f ca="1">ROUND(M88,1)</f>
        <v>1925.7</v>
      </c>
      <c r="O88" s="3061"/>
      <c r="P88" s="11"/>
      <c r="Q88" s="2035"/>
      <c r="R88" s="2035"/>
      <c r="S88" s="2035"/>
      <c r="T88" s="2035"/>
      <c r="U88" s="2035"/>
      <c r="V88" s="2035"/>
      <c r="W88" s="2039"/>
      <c r="X88" s="2039"/>
      <c r="Y88" s="2039"/>
      <c r="Z88" s="2039"/>
    </row>
    <row r="89" spans="1:26" s="1314" customFormat="1" ht="14.25">
      <c r="A89" s="3347" t="s">
        <v>427</v>
      </c>
      <c r="B89" s="3348"/>
      <c r="C89" s="994"/>
      <c r="D89" s="994" t="s">
        <v>428</v>
      </c>
      <c r="E89" s="391" t="s">
        <v>437</v>
      </c>
      <c r="F89" s="392"/>
      <c r="G89" s="392"/>
      <c r="H89" s="393"/>
      <c r="I89" s="1316"/>
      <c r="J89" s="2040"/>
      <c r="K89" s="3367"/>
      <c r="L89" s="3068" t="s">
        <v>27</v>
      </c>
      <c r="M89" s="3059"/>
      <c r="N89" s="53">
        <f ca="1">ROUND(SUM(N83:N88),0)</f>
        <v>6204</v>
      </c>
      <c r="O89" s="3069">
        <f ca="1">N89/N69</f>
        <v>1.6108637231100783E-2</v>
      </c>
      <c r="P89" s="2035"/>
      <c r="Q89" s="2035"/>
      <c r="R89" s="2035"/>
      <c r="S89" s="2035"/>
      <c r="T89" s="2035"/>
      <c r="U89" s="2035"/>
      <c r="V89" s="2035"/>
      <c r="W89" s="2039"/>
      <c r="X89" s="2039"/>
      <c r="Y89" s="2039"/>
      <c r="Z89" s="2039"/>
    </row>
    <row r="90" spans="1:26" s="1314" customFormat="1" ht="14.25">
      <c r="A90" s="381" t="s">
        <v>1822</v>
      </c>
      <c r="B90" s="382" t="s">
        <v>438</v>
      </c>
      <c r="C90" s="385">
        <f ca="1">ROUND(D63/(1+'数据-取费表'!C42),0)</f>
        <v>234749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439</v>
      </c>
      <c r="C91" s="385">
        <f ca="1">C92+C96</f>
        <v>3735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445</v>
      </c>
      <c r="C94" s="378">
        <f>IF(F93="购房发票",ROUND(C93*H93*5%,0),0)</f>
        <v>500</v>
      </c>
      <c r="D94" s="401">
        <v>0.05</v>
      </c>
      <c r="E94" s="3310" t="s">
        <v>446</v>
      </c>
      <c r="F94" s="3309"/>
      <c r="G94" s="3309"/>
      <c r="H94" s="334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449</v>
      </c>
      <c r="C96" s="405">
        <f ca="1">ROUND(D63*D96/(1+'数据-取费表'!C42),0)</f>
        <v>1174</v>
      </c>
      <c r="D96" s="406">
        <f>'数据-取费表'!B43</f>
        <v>5.000000000000001E-3</v>
      </c>
      <c r="E96" s="3338" t="s">
        <v>2428</v>
      </c>
      <c r="F96" s="3339"/>
      <c r="G96" s="3339"/>
      <c r="H96" s="334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450</v>
      </c>
      <c r="C97" s="385">
        <f ca="1">C90-C91</f>
        <v>231014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451</v>
      </c>
      <c r="C98" s="407">
        <f ca="1">IF(C97&lt;=0,0,C97/C91)</f>
        <v>61.851137884872827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452</v>
      </c>
      <c r="C99" s="408">
        <f ca="1">ROUND(IF(C97&lt;=0,0,IF(C98&gt;=200%,C97*60%-C91*35%,IF(C98&gt;=100%,C97*50%-C91*15%,IF(C98&gt;=50%,C97*40%-C91*5%,IF(C98&lt;50%,C97*30%,0))))),0)</f>
        <v>137301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9" t="s">
        <v>453</v>
      </c>
      <c r="B101" s="3350"/>
      <c r="C101" s="3350"/>
      <c r="D101" s="3350"/>
      <c r="E101" s="3350"/>
      <c r="F101" s="3350"/>
      <c r="G101" s="3350"/>
      <c r="H101" s="335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7" t="s">
        <v>427</v>
      </c>
      <c r="B102" s="3348"/>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438</v>
      </c>
      <c r="C103" s="385">
        <f ca="1">ROUND(D63/(1+'数据-取费表'!C42),0)</f>
        <v>234749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439</v>
      </c>
      <c r="C104" s="385">
        <f ca="1">IF(H106="仅含出让金",C105+C108+C109+C110+C111+C112,C105+C109+C110+C111+C112)</f>
        <v>97931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454</v>
      </c>
      <c r="C105" s="405">
        <f>C106+C107</f>
        <v>41227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455</v>
      </c>
      <c r="C106" s="416">
        <v>40007</v>
      </c>
      <c r="D106" s="406"/>
      <c r="E106" s="417" t="s">
        <v>456</v>
      </c>
      <c r="F106" s="986"/>
      <c r="G106" s="418" t="s">
        <v>457</v>
      </c>
      <c r="H106" s="419" t="s">
        <v>3281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460</v>
      </c>
      <c r="C109" s="405">
        <f ca="1">IF(H109="——",IF(F1="现房",'剩余法-现房'!C18,'剩余法-待开发'!C18),I109)</f>
        <v>46734</v>
      </c>
      <c r="D109" s="406"/>
      <c r="E109" s="3341" t="s">
        <v>461</v>
      </c>
      <c r="F109" s="3339"/>
      <c r="G109" s="3339"/>
      <c r="H109" s="1943" t="s">
        <v>951</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462</v>
      </c>
      <c r="C110" s="405">
        <f ca="1">ROUND((C105+C108+C109)*D110,0)</f>
        <v>8796</v>
      </c>
      <c r="D110" s="406">
        <v>0.1</v>
      </c>
      <c r="E110" s="3341" t="s">
        <v>463</v>
      </c>
      <c r="F110" s="3339"/>
      <c r="G110" s="3339"/>
      <c r="H110" s="334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449</v>
      </c>
      <c r="C111" s="405">
        <f ca="1">ROUND(D63*D111/(1+'数据-取费表'!C42),0)</f>
        <v>1174</v>
      </c>
      <c r="D111" s="406">
        <f>'数据-取费表'!B43</f>
        <v>5.000000000000001E-3</v>
      </c>
      <c r="E111" s="3338" t="s">
        <v>2428</v>
      </c>
      <c r="F111" s="3339"/>
      <c r="G111" s="3339"/>
      <c r="H111" s="334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464</v>
      </c>
      <c r="C112" s="405">
        <f>ROUND(C108*D112,0)</f>
        <v>0</v>
      </c>
      <c r="D112" s="406">
        <v>0.2</v>
      </c>
      <c r="E112" s="3341" t="s">
        <v>2452</v>
      </c>
      <c r="F112" s="3339"/>
      <c r="G112" s="3339"/>
      <c r="H112" s="334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450</v>
      </c>
      <c r="C113" s="385">
        <f ca="1">ROUND(C103-C104,0)</f>
        <v>136818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451</v>
      </c>
      <c r="C114" s="407">
        <f ca="1">IF(C113&lt;=0,0,C113/C104)</f>
        <v>1.3970857031991912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452</v>
      </c>
      <c r="C115" s="408">
        <f ca="1">ROUND(IF(C113&lt;=0,0,IF(C114&gt;=200%,C113*60%-C104*35%,IF(C114&gt;=100%,C113*50%-C104*15%,IF(C114&gt;=50%,C113*40%-C104*5%,IF(C114&lt;50%,C113*30%,0))))),0)</f>
        <v>53719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K13" sqref="K1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376026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24113</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268588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17906</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92" t="s">
        <v>521</v>
      </c>
      <c r="D6" s="3393"/>
      <c r="E6" s="3392" t="s">
        <v>522</v>
      </c>
      <c r="F6" s="3393"/>
      <c r="G6" s="3392" t="s">
        <v>523</v>
      </c>
      <c r="H6" s="3393"/>
      <c r="I6" s="3392" t="s">
        <v>524</v>
      </c>
      <c r="J6" s="3393"/>
      <c r="K6" s="514" t="s">
        <v>525</v>
      </c>
      <c r="L6" s="2135"/>
      <c r="M6" s="2134"/>
      <c r="N6" s="2134"/>
      <c r="O6" s="2136"/>
      <c r="P6" s="3394" t="s">
        <v>526</v>
      </c>
      <c r="Q6" s="3395"/>
      <c r="R6" s="3400" t="s">
        <v>522</v>
      </c>
      <c r="S6" s="3401"/>
      <c r="T6" s="3400" t="s">
        <v>523</v>
      </c>
      <c r="U6" s="3401"/>
      <c r="V6" s="3387" t="s">
        <v>524</v>
      </c>
      <c r="W6" s="3387"/>
      <c r="X6" s="1568"/>
      <c r="Y6" s="3400" t="s">
        <v>526</v>
      </c>
      <c r="Z6" s="3401"/>
      <c r="AA6" s="3389" t="s">
        <v>522</v>
      </c>
      <c r="AB6" s="3390" t="s">
        <v>523</v>
      </c>
      <c r="AC6" s="3389" t="s">
        <v>524</v>
      </c>
    </row>
    <row r="7" spans="1:30" ht="20.25">
      <c r="A7" s="515"/>
      <c r="B7" s="516"/>
      <c r="C7" s="3408" t="s">
        <v>2925</v>
      </c>
      <c r="D7" s="3409"/>
      <c r="E7" s="3408" t="str">
        <f>土地案例!A18</f>
        <v>科技创新海岸北围片区兴南路北、兴中路东侧</v>
      </c>
      <c r="F7" s="3409"/>
      <c r="G7" s="3408" t="str">
        <f>土地案例!A19</f>
        <v>科技创新海岸北围片区科创横四路南、新湾七路西侧</v>
      </c>
      <c r="H7" s="3409"/>
      <c r="I7" s="3408" t="str">
        <f>土地案例!A20</f>
        <v>科技创新海岸北围片区鼎兴路南、内环南路西侧</v>
      </c>
      <c r="J7" s="3409"/>
      <c r="K7" s="514"/>
      <c r="L7" s="2135"/>
      <c r="M7" s="2134"/>
      <c r="N7" s="2134"/>
      <c r="O7" s="2136"/>
      <c r="P7" s="3396"/>
      <c r="Q7" s="3397"/>
      <c r="R7" s="3402"/>
      <c r="S7" s="3403"/>
      <c r="T7" s="3402"/>
      <c r="U7" s="3403"/>
      <c r="V7" s="3387"/>
      <c r="W7" s="3387"/>
      <c r="X7" s="1568"/>
      <c r="Y7" s="3402"/>
      <c r="Z7" s="3403"/>
      <c r="AA7" s="3390"/>
      <c r="AB7" s="3390"/>
      <c r="AC7" s="3390"/>
    </row>
    <row r="8" spans="1:30" ht="21" thickBot="1">
      <c r="A8" s="515"/>
      <c r="B8" s="516"/>
      <c r="C8" s="3410" t="s">
        <v>2929</v>
      </c>
      <c r="D8" s="3411"/>
      <c r="E8" s="3410" t="s">
        <v>2929</v>
      </c>
      <c r="F8" s="3411"/>
      <c r="G8" s="3406" t="s">
        <v>2929</v>
      </c>
      <c r="H8" s="3407"/>
      <c r="I8" s="3406" t="s">
        <v>2929</v>
      </c>
      <c r="J8" s="3407"/>
      <c r="K8" s="514" t="s">
        <v>527</v>
      </c>
      <c r="L8" s="2135"/>
      <c r="M8" s="2134"/>
      <c r="N8" s="2134"/>
      <c r="O8" s="2136"/>
      <c r="P8" s="3398"/>
      <c r="Q8" s="3399"/>
      <c r="R8" s="3402"/>
      <c r="S8" s="3403"/>
      <c r="T8" s="3404"/>
      <c r="U8" s="3405"/>
      <c r="V8" s="3387"/>
      <c r="W8" s="3387"/>
      <c r="X8" s="1568"/>
      <c r="Y8" s="3404"/>
      <c r="Z8" s="3405"/>
      <c r="AA8" s="3391"/>
      <c r="AB8" s="3391"/>
      <c r="AC8" s="3391"/>
    </row>
    <row r="9" spans="1:30" s="1220" customFormat="1" ht="21" thickBot="1">
      <c r="A9" s="2914"/>
      <c r="B9" s="2921" t="s">
        <v>528</v>
      </c>
      <c r="C9" s="2913">
        <f>'数据-取费表'!B2</f>
        <v>43390</v>
      </c>
      <c r="D9" s="520">
        <v>100</v>
      </c>
      <c r="E9" s="521" t="str">
        <f>土地案例!H18</f>
        <v>2016-08-26</v>
      </c>
      <c r="F9" s="522">
        <f>SUMIF(72:72,YEAR(E9)&amp;"-"&amp;INT((MONTH(E9)+2)/3),73:73)</f>
        <v>91</v>
      </c>
      <c r="G9" s="523" t="str">
        <f>土地案例!H19</f>
        <v>2016-08-26</v>
      </c>
      <c r="H9" s="520">
        <f>SUMIF(72:72,YEAR(G9)&amp;"-"&amp;INT((MONTH(G9)+2)/3),73:73)</f>
        <v>91</v>
      </c>
      <c r="I9" s="523" t="str">
        <f>土地案例!H20</f>
        <v>2016-08-26</v>
      </c>
      <c r="J9" s="520">
        <f>SUMIF(72:72,YEAR(I9)&amp;"-"&amp;INT((MONTH(I9)+2)/3),73:73)</f>
        <v>91</v>
      </c>
      <c r="K9" s="524"/>
      <c r="L9" s="2137"/>
      <c r="M9" s="2134"/>
      <c r="N9" s="2134"/>
      <c r="O9" s="2138"/>
      <c r="P9" s="3417" t="s">
        <v>529</v>
      </c>
      <c r="Q9" s="3419"/>
      <c r="R9" s="1569" t="s">
        <v>8</v>
      </c>
      <c r="S9" s="1570">
        <f t="shared" ref="S9:S17" si="0">F9</f>
        <v>91</v>
      </c>
      <c r="T9" s="1569" t="s">
        <v>8</v>
      </c>
      <c r="U9" s="1570">
        <f t="shared" ref="U9:U17" si="1">H9</f>
        <v>91</v>
      </c>
      <c r="V9" s="1569" t="s">
        <v>8</v>
      </c>
      <c r="W9" s="1570">
        <f t="shared" ref="W9:W17" si="2">J9</f>
        <v>91</v>
      </c>
      <c r="X9" s="1571"/>
      <c r="Y9" s="3417" t="s">
        <v>529</v>
      </c>
      <c r="Z9" s="3418"/>
      <c r="AA9" s="1572">
        <f>D9/F9</f>
        <v>1.098901098901099</v>
      </c>
      <c r="AB9" s="1572">
        <f>D9/H9</f>
        <v>1.098901098901099</v>
      </c>
      <c r="AC9" s="1572">
        <f>D9/J9</f>
        <v>1.098901098901099</v>
      </c>
    </row>
    <row r="10" spans="1:30" s="1220" customFormat="1" ht="21" thickBot="1">
      <c r="A10" s="2915"/>
      <c r="B10" s="2922" t="s">
        <v>530</v>
      </c>
      <c r="C10" s="856" t="s">
        <v>531</v>
      </c>
      <c r="D10" s="520">
        <v>100</v>
      </c>
      <c r="E10" s="525" t="s">
        <v>3169</v>
      </c>
      <c r="F10" s="522">
        <f>SUMIF(75:75,E10,76:76)-SUMIF(75:75,C10,76:76)+100</f>
        <v>100</v>
      </c>
      <c r="G10" s="525" t="s">
        <v>3169</v>
      </c>
      <c r="H10" s="520">
        <f>SUMIF(75:75,G10,76:76)-SUMIF(75:75,C10,76:76)+100</f>
        <v>100</v>
      </c>
      <c r="I10" s="525" t="s">
        <v>3169</v>
      </c>
      <c r="J10" s="520">
        <f>SUMIF(75:75,I10,76:76)-SUMIF(75:75,C10,76:76)+100</f>
        <v>100</v>
      </c>
      <c r="K10" s="524"/>
      <c r="L10" s="2137"/>
      <c r="M10" s="2134"/>
      <c r="N10" s="2134"/>
      <c r="O10" s="2138"/>
      <c r="P10" s="3417" t="s">
        <v>532</v>
      </c>
      <c r="Q10" s="3418"/>
      <c r="R10" s="1569" t="s">
        <v>8</v>
      </c>
      <c r="S10" s="1570">
        <f t="shared" si="0"/>
        <v>100</v>
      </c>
      <c r="T10" s="1569" t="s">
        <v>8</v>
      </c>
      <c r="U10" s="1570">
        <f t="shared" si="1"/>
        <v>100</v>
      </c>
      <c r="V10" s="1569" t="s">
        <v>8</v>
      </c>
      <c r="W10" s="1570">
        <f t="shared" si="2"/>
        <v>100</v>
      </c>
      <c r="X10" s="1571"/>
      <c r="Y10" s="3417" t="s">
        <v>532</v>
      </c>
      <c r="Z10" s="3418"/>
      <c r="AA10" s="1572">
        <f t="shared" ref="AA10:AA47" si="3">D10/F10</f>
        <v>1</v>
      </c>
      <c r="AB10" s="1572">
        <f t="shared" ref="AB10:AB47" si="4">D10/H10</f>
        <v>1</v>
      </c>
      <c r="AC10" s="1572">
        <f t="shared" ref="AC10:AC47" si="5">D10/J10</f>
        <v>1</v>
      </c>
    </row>
    <row r="11" spans="1:30" s="1220" customFormat="1" ht="20.25">
      <c r="A11" s="2916"/>
      <c r="B11" s="2923" t="s">
        <v>2754</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86" t="s">
        <v>534</v>
      </c>
      <c r="Q11" s="1151" t="str">
        <f t="shared" ref="Q11:Q17" si="6">B11</f>
        <v>用途</v>
      </c>
      <c r="R11" s="1569" t="s">
        <v>8</v>
      </c>
      <c r="S11" s="1570">
        <f t="shared" si="0"/>
        <v>100</v>
      </c>
      <c r="T11" s="1569" t="s">
        <v>8</v>
      </c>
      <c r="U11" s="1570">
        <f t="shared" si="1"/>
        <v>100</v>
      </c>
      <c r="V11" s="1569" t="s">
        <v>8</v>
      </c>
      <c r="W11" s="1570">
        <f t="shared" si="2"/>
        <v>100</v>
      </c>
      <c r="X11" s="1571"/>
      <c r="Y11" s="3332" t="s">
        <v>535</v>
      </c>
      <c r="Z11" s="1150" t="str">
        <f t="shared" ref="Z11:Z17" si="7">Q11</f>
        <v>用途</v>
      </c>
      <c r="AA11" s="1572">
        <f t="shared" si="3"/>
        <v>1</v>
      </c>
      <c r="AB11" s="1572">
        <f t="shared" si="4"/>
        <v>1</v>
      </c>
      <c r="AC11" s="1572">
        <f t="shared" si="5"/>
        <v>1</v>
      </c>
    </row>
    <row r="12" spans="1:30" s="1338" customFormat="1" ht="27">
      <c r="A12" s="2917"/>
      <c r="B12" s="2922" t="s">
        <v>2755</v>
      </c>
      <c r="C12" s="910"/>
      <c r="D12" s="255">
        <v>100</v>
      </c>
      <c r="E12" s="529"/>
      <c r="F12" s="255">
        <f>ROUND(100/'数据-取费表'!G16,0)</f>
        <v>102</v>
      </c>
      <c r="G12" s="530"/>
      <c r="H12" s="255">
        <f>ROUND(100/'数据-取费表'!G16,0)</f>
        <v>102</v>
      </c>
      <c r="I12" s="530"/>
      <c r="J12" s="255">
        <f>ROUND(100/'数据-取费表'!G16,0)</f>
        <v>102</v>
      </c>
      <c r="K12" s="531"/>
      <c r="L12" s="2140"/>
      <c r="M12" s="2134"/>
      <c r="N12" s="2134"/>
      <c r="O12" s="2141"/>
      <c r="P12" s="3386"/>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30" ht="20.25">
      <c r="A13" s="2918"/>
      <c r="B13" s="2922" t="s">
        <v>2756</v>
      </c>
      <c r="C13" s="3208">
        <f>'数据-汇总表'!I7</f>
        <v>7.8570158170524742</v>
      </c>
      <c r="D13" s="255">
        <v>100</v>
      </c>
      <c r="E13" s="533">
        <v>2.5</v>
      </c>
      <c r="F13" s="255">
        <f>LOOKUP(E13,82:82,83:83)-LOOKUP(C13,82:82,83:83)+100</f>
        <v>110</v>
      </c>
      <c r="G13" s="534">
        <v>3</v>
      </c>
      <c r="H13" s="255">
        <f>LOOKUP(G13,82:82,83:83)-LOOKUP(C13,82:82,83:83)+100</f>
        <v>110</v>
      </c>
      <c r="I13" s="533">
        <v>3</v>
      </c>
      <c r="J13" s="255">
        <f>LOOKUP(I13,82:82,83:83)-LOOKUP(C13,82:82,83:83)+100</f>
        <v>110</v>
      </c>
      <c r="K13" s="535">
        <v>5</v>
      </c>
      <c r="L13" s="2142"/>
      <c r="M13" s="2134"/>
      <c r="N13" s="2134"/>
      <c r="O13" s="2143"/>
      <c r="P13" s="3386"/>
      <c r="Q13" s="1151" t="str">
        <f t="shared" si="6"/>
        <v>容积率</v>
      </c>
      <c r="R13" s="1569" t="s">
        <v>8</v>
      </c>
      <c r="S13" s="1570">
        <f t="shared" si="0"/>
        <v>110</v>
      </c>
      <c r="T13" s="1569" t="s">
        <v>8</v>
      </c>
      <c r="U13" s="1570">
        <f t="shared" si="1"/>
        <v>110</v>
      </c>
      <c r="V13" s="1569" t="s">
        <v>8</v>
      </c>
      <c r="W13" s="1570">
        <f t="shared" si="2"/>
        <v>110</v>
      </c>
      <c r="X13" s="1571"/>
      <c r="Y13" s="3332"/>
      <c r="Z13" s="1150" t="str">
        <f t="shared" si="7"/>
        <v>容积率</v>
      </c>
      <c r="AA13" s="1572">
        <f t="shared" si="3"/>
        <v>0.90909090909090906</v>
      </c>
      <c r="AB13" s="1572">
        <f t="shared" si="4"/>
        <v>0.90909090909090906</v>
      </c>
      <c r="AC13" s="1572">
        <f t="shared" si="5"/>
        <v>0.90909090909090906</v>
      </c>
    </row>
    <row r="14" spans="1:30" s="1220" customFormat="1" ht="20.25">
      <c r="A14" s="2915"/>
      <c r="B14" s="2924" t="s">
        <v>2757</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6"/>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D16/F16</f>
        <v>1</v>
      </c>
      <c r="AB16" s="1572">
        <f>D16/H16</f>
        <v>1</v>
      </c>
      <c r="AC16" s="1572">
        <f>D16/J16</f>
        <v>1</v>
      </c>
    </row>
    <row r="17" spans="1:29" ht="114">
      <c r="A17" s="2912" t="s">
        <v>2752</v>
      </c>
      <c r="B17" s="578" t="s">
        <v>294</v>
      </c>
      <c r="C17" s="548" t="str">
        <f>估价对象房地状况!C15</f>
        <v>估价对象周边居住用地比例较大、有海愉半岛花园、钰海帝景等居住小区，社区发展较完善，综合评价居住社区成熟度较好</v>
      </c>
      <c r="D17" s="551">
        <v>100</v>
      </c>
      <c r="E17" s="552"/>
      <c r="F17" s="549">
        <f>SUMIF(90:90,E18,91:91)-SUMIF(90:90,C18,91:91)+100</f>
        <v>95</v>
      </c>
      <c r="G17" s="550"/>
      <c r="H17" s="549">
        <f>SUMIF(90:90,G18,91:91)-SUMIF(90:90,C18,91:91)+100</f>
        <v>95</v>
      </c>
      <c r="I17" s="552"/>
      <c r="J17" s="549">
        <f>SUMIF(90:90,I18,91:91)-SUMIF(90:90,C18,91:91)+100</f>
        <v>95</v>
      </c>
      <c r="K17" s="535">
        <v>5</v>
      </c>
      <c r="L17" s="2144"/>
      <c r="M17" s="2134"/>
      <c r="N17" s="2134"/>
      <c r="O17" s="2143"/>
      <c r="P17" s="3420" t="s">
        <v>539</v>
      </c>
      <c r="Q17" s="1573" t="str">
        <f t="shared" si="6"/>
        <v>居住社区成熟度</v>
      </c>
      <c r="R17" s="1574" t="s">
        <v>8</v>
      </c>
      <c r="S17" s="1575">
        <f t="shared" si="0"/>
        <v>95</v>
      </c>
      <c r="T17" s="1574" t="s">
        <v>8</v>
      </c>
      <c r="U17" s="1575">
        <f t="shared" si="1"/>
        <v>95</v>
      </c>
      <c r="V17" s="1574" t="s">
        <v>8</v>
      </c>
      <c r="W17" s="1575">
        <f t="shared" si="2"/>
        <v>95</v>
      </c>
      <c r="X17" s="1568"/>
      <c r="Y17" s="3420" t="s">
        <v>539</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3231</v>
      </c>
      <c r="D18" s="557"/>
      <c r="E18" s="558" t="s">
        <v>3273</v>
      </c>
      <c r="F18" s="555"/>
      <c r="G18" s="558" t="s">
        <v>3273</v>
      </c>
      <c r="H18" s="559"/>
      <c r="I18" s="558" t="s">
        <v>3273</v>
      </c>
      <c r="J18" s="555"/>
      <c r="K18" s="531"/>
      <c r="L18" s="2144"/>
      <c r="M18" s="2134"/>
      <c r="N18" s="2134"/>
      <c r="O18" s="2143"/>
      <c r="P18" s="3421"/>
      <c r="Q18" s="1573"/>
      <c r="R18" s="1574"/>
      <c r="S18" s="1575"/>
      <c r="T18" s="1574"/>
      <c r="U18" s="1575"/>
      <c r="V18" s="1574"/>
      <c r="W18" s="1575"/>
      <c r="X18" s="1568"/>
      <c r="Y18" s="3421"/>
      <c r="Z18" s="1576"/>
      <c r="AA18" s="1577">
        <v>1</v>
      </c>
      <c r="AB18" s="1577">
        <v>1</v>
      </c>
      <c r="AC18" s="1577">
        <v>1</v>
      </c>
    </row>
    <row r="19" spans="1:29" ht="71.25">
      <c r="A19" s="532"/>
      <c r="B19" s="560" t="s">
        <v>540</v>
      </c>
      <c r="C19" s="561" t="str">
        <f>估价对象房地状况!C16</f>
        <v>估价对象周边商业氛围较成熟，多为社区配套底商人流量较大，商业繁华度较好</v>
      </c>
      <c r="D19" s="563">
        <v>100</v>
      </c>
      <c r="E19" s="564"/>
      <c r="F19" s="559">
        <f>SUMIF(92:92,E20,93:93)-SUMIF(92:92,C20,93:93)+100</f>
        <v>97</v>
      </c>
      <c r="G19" s="562"/>
      <c r="H19" s="565">
        <f>SUMIF(92:92,G20,93:93)-SUMIF(92:92,C20,93:93)+100</f>
        <v>97</v>
      </c>
      <c r="I19" s="564"/>
      <c r="J19" s="565">
        <f>SUMIF(92:92,I20,93:93)-SUMIF(92:92,C20,93:93)+100</f>
        <v>97</v>
      </c>
      <c r="K19" s="535">
        <v>3</v>
      </c>
      <c r="L19" s="2144"/>
      <c r="M19" s="2134"/>
      <c r="N19" s="2134"/>
      <c r="O19" s="2143"/>
      <c r="P19" s="3421"/>
      <c r="Q19" s="1573" t="str">
        <f>B19</f>
        <v>商业繁华度</v>
      </c>
      <c r="R19" s="1574" t="s">
        <v>8</v>
      </c>
      <c r="S19" s="1575">
        <f>F19</f>
        <v>97</v>
      </c>
      <c r="T19" s="1574" t="s">
        <v>8</v>
      </c>
      <c r="U19" s="1575">
        <f>H19</f>
        <v>97</v>
      </c>
      <c r="V19" s="1574" t="s">
        <v>8</v>
      </c>
      <c r="W19" s="1575">
        <f>J19</f>
        <v>97</v>
      </c>
      <c r="X19" s="1568"/>
      <c r="Y19" s="3421"/>
      <c r="Z19" s="1576" t="str">
        <f>Q19</f>
        <v>商业繁华度</v>
      </c>
      <c r="AA19" s="1577">
        <f t="shared" si="3"/>
        <v>1.0309278350515463</v>
      </c>
      <c r="AB19" s="1577">
        <f t="shared" si="4"/>
        <v>1.0309278350515463</v>
      </c>
      <c r="AC19" s="1577">
        <f t="shared" si="5"/>
        <v>1.0309278350515463</v>
      </c>
    </row>
    <row r="20" spans="1:29" ht="20.25">
      <c r="A20" s="532"/>
      <c r="B20" s="566"/>
      <c r="C20" s="554" t="s">
        <v>3231</v>
      </c>
      <c r="D20" s="563"/>
      <c r="E20" s="558" t="s">
        <v>3273</v>
      </c>
      <c r="F20" s="559"/>
      <c r="G20" s="558" t="s">
        <v>3273</v>
      </c>
      <c r="H20" s="555"/>
      <c r="I20" s="558" t="s">
        <v>3273</v>
      </c>
      <c r="J20" s="555"/>
      <c r="K20" s="531"/>
      <c r="L20" s="2144"/>
      <c r="M20" s="2134"/>
      <c r="N20" s="2134"/>
      <c r="O20" s="2143"/>
      <c r="P20" s="3421"/>
      <c r="Q20" s="1573"/>
      <c r="R20" s="1574"/>
      <c r="S20" s="1575"/>
      <c r="T20" s="1574"/>
      <c r="U20" s="1575"/>
      <c r="V20" s="1574"/>
      <c r="W20" s="1575"/>
      <c r="X20" s="1568"/>
      <c r="Y20" s="3421"/>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1"/>
      <c r="Q21" s="1573" t="str">
        <f>B21</f>
        <v>办公集聚程度</v>
      </c>
      <c r="R21" s="1574" t="s">
        <v>8</v>
      </c>
      <c r="S21" s="1575">
        <f>F21</f>
        <v>100</v>
      </c>
      <c r="T21" s="1574" t="s">
        <v>8</v>
      </c>
      <c r="U21" s="1575">
        <f>H21</f>
        <v>100</v>
      </c>
      <c r="V21" s="1574" t="s">
        <v>8</v>
      </c>
      <c r="W21" s="1575">
        <f>J21</f>
        <v>100</v>
      </c>
      <c r="X21" s="1568"/>
      <c r="Y21" s="342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21"/>
      <c r="Q22" s="1573"/>
      <c r="R22" s="1574"/>
      <c r="S22" s="1575"/>
      <c r="T22" s="1574"/>
      <c r="U22" s="1575"/>
      <c r="V22" s="1574"/>
      <c r="W22" s="1575"/>
      <c r="X22" s="1568"/>
      <c r="Y22" s="3421"/>
      <c r="Z22" s="1576"/>
      <c r="AA22" s="1577">
        <v>1</v>
      </c>
      <c r="AB22" s="1577">
        <v>1</v>
      </c>
      <c r="AC22" s="1577">
        <v>1</v>
      </c>
    </row>
    <row r="23" spans="1:29" ht="99.75">
      <c r="A23" s="532"/>
      <c r="B23" s="560" t="s">
        <v>542</v>
      </c>
      <c r="C23" s="573" t="str">
        <f>估价对象房地状况!C18</f>
        <v>估价对象周边道路通达状况较好、公共交通通达情况一般、停车较便捷，综合评价交通便捷度较好</v>
      </c>
      <c r="D23" s="563">
        <v>100</v>
      </c>
      <c r="E23" s="564"/>
      <c r="F23" s="565">
        <f>SUMIF(96:96,E24,97:97)-SUMIF(96:96,C24,97:97)+100</f>
        <v>97</v>
      </c>
      <c r="G23" s="562"/>
      <c r="H23" s="559">
        <f>SUMIF(96:96,G24,97:97)-SUMIF(96:96,C24,97:97)+100</f>
        <v>97</v>
      </c>
      <c r="I23" s="564"/>
      <c r="J23" s="559">
        <f>SUMIF(96:96,I24,97:97)-SUMIF(96:96,C24,97:97)+100</f>
        <v>97</v>
      </c>
      <c r="K23" s="535">
        <v>3</v>
      </c>
      <c r="L23" s="2144"/>
      <c r="M23" s="2134"/>
      <c r="N23" s="2134"/>
      <c r="O23" s="2143"/>
      <c r="P23" s="3421"/>
      <c r="Q23" s="1573" t="str">
        <f>B23</f>
        <v>交通便捷度</v>
      </c>
      <c r="R23" s="1574" t="s">
        <v>8</v>
      </c>
      <c r="S23" s="1575">
        <f>F23</f>
        <v>97</v>
      </c>
      <c r="T23" s="1574" t="s">
        <v>8</v>
      </c>
      <c r="U23" s="1575">
        <f>H23</f>
        <v>97</v>
      </c>
      <c r="V23" s="1574" t="s">
        <v>8</v>
      </c>
      <c r="W23" s="1575">
        <f>J23</f>
        <v>97</v>
      </c>
      <c r="X23" s="1568"/>
      <c r="Y23" s="3421"/>
      <c r="Z23" s="1576" t="str">
        <f>Q23</f>
        <v>交通便捷度</v>
      </c>
      <c r="AA23" s="1577">
        <f t="shared" si="3"/>
        <v>1.0309278350515463</v>
      </c>
      <c r="AB23" s="1577">
        <f t="shared" si="4"/>
        <v>1.0309278350515463</v>
      </c>
      <c r="AC23" s="1577">
        <f t="shared" si="5"/>
        <v>1.0309278350515463</v>
      </c>
    </row>
    <row r="24" spans="1:29" ht="20.25">
      <c r="A24" s="532"/>
      <c r="B24" s="578"/>
      <c r="C24" s="554" t="s">
        <v>3231</v>
      </c>
      <c r="D24" s="557"/>
      <c r="E24" s="558" t="s">
        <v>3273</v>
      </c>
      <c r="F24" s="555"/>
      <c r="G24" s="558" t="s">
        <v>3273</v>
      </c>
      <c r="H24" s="555"/>
      <c r="I24" s="558" t="s">
        <v>3273</v>
      </c>
      <c r="J24" s="555"/>
      <c r="K24" s="531"/>
      <c r="L24" s="2144"/>
      <c r="M24" s="2134"/>
      <c r="N24" s="2134"/>
      <c r="O24" s="2143"/>
      <c r="P24" s="3421"/>
      <c r="Q24" s="1573"/>
      <c r="R24" s="1574"/>
      <c r="S24" s="1575"/>
      <c r="T24" s="1574"/>
      <c r="U24" s="1575"/>
      <c r="V24" s="1574"/>
      <c r="W24" s="1575"/>
      <c r="X24" s="1568"/>
      <c r="Y24" s="3421"/>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21"/>
      <c r="Q25" s="1573" t="str">
        <f t="shared" ref="Q25:Q39" si="8">B25</f>
        <v>区域土地利用方向</v>
      </c>
      <c r="R25" s="1574" t="s">
        <v>8</v>
      </c>
      <c r="S25" s="1575">
        <f>F25</f>
        <v>100</v>
      </c>
      <c r="T25" s="1574" t="s">
        <v>8</v>
      </c>
      <c r="U25" s="1575">
        <f>H25</f>
        <v>100</v>
      </c>
      <c r="V25" s="1574" t="s">
        <v>8</v>
      </c>
      <c r="W25" s="1575">
        <f>J25</f>
        <v>100</v>
      </c>
      <c r="X25" s="1568"/>
      <c r="Y25" s="3421"/>
      <c r="Z25" s="1576" t="str">
        <f>Q25</f>
        <v>区域土地利用方向</v>
      </c>
      <c r="AA25" s="1577">
        <f t="shared" si="3"/>
        <v>1</v>
      </c>
      <c r="AB25" s="1577">
        <f t="shared" si="4"/>
        <v>1</v>
      </c>
      <c r="AC25" s="1577">
        <f t="shared" si="5"/>
        <v>1</v>
      </c>
    </row>
    <row r="26" spans="1:29" ht="20.25">
      <c r="A26" s="515"/>
      <c r="B26" s="1007"/>
      <c r="C26" s="554" t="s">
        <v>3231</v>
      </c>
      <c r="D26" s="557"/>
      <c r="E26" s="558" t="s">
        <v>3231</v>
      </c>
      <c r="F26" s="555"/>
      <c r="G26" s="558" t="s">
        <v>3231</v>
      </c>
      <c r="H26" s="555"/>
      <c r="I26" s="558" t="s">
        <v>3231</v>
      </c>
      <c r="J26" s="555"/>
      <c r="K26" s="531"/>
      <c r="L26" s="2144"/>
      <c r="M26" s="2134"/>
      <c r="N26" s="2134"/>
      <c r="O26" s="2143"/>
      <c r="P26" s="3421"/>
      <c r="Q26" s="1573"/>
      <c r="R26" s="1574"/>
      <c r="S26" s="1575"/>
      <c r="T26" s="1574"/>
      <c r="U26" s="1575"/>
      <c r="V26" s="1574"/>
      <c r="W26" s="1575"/>
      <c r="X26" s="1568"/>
      <c r="Y26" s="3421"/>
      <c r="Z26" s="1576"/>
      <c r="AA26" s="1577"/>
      <c r="AB26" s="1577"/>
      <c r="AC26" s="1577"/>
    </row>
    <row r="27" spans="1:29" ht="57">
      <c r="A27" s="515"/>
      <c r="B27" s="578" t="s">
        <v>544</v>
      </c>
      <c r="C27" s="561" t="str">
        <f>估价对象房地状况!C20</f>
        <v>区域自然环境好；人文环境一般；综合评价环境状况较好</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4"/>
      <c r="M27" s="2134"/>
      <c r="N27" s="2134"/>
      <c r="O27" s="2143"/>
      <c r="P27" s="3421"/>
      <c r="Q27" s="1573" t="str">
        <f t="shared" si="8"/>
        <v>自然及人文环境状况</v>
      </c>
      <c r="R27" s="1574" t="s">
        <v>8</v>
      </c>
      <c r="S27" s="1575">
        <f>F27</f>
        <v>95</v>
      </c>
      <c r="T27" s="1574" t="s">
        <v>8</v>
      </c>
      <c r="U27" s="1575">
        <f>H27</f>
        <v>95</v>
      </c>
      <c r="V27" s="1574" t="s">
        <v>8</v>
      </c>
      <c r="W27" s="1575">
        <f>J27</f>
        <v>95</v>
      </c>
      <c r="X27" s="1568"/>
      <c r="Y27" s="3421"/>
      <c r="Z27" s="1576" t="str">
        <f>Q27</f>
        <v>自然及人文环境状况</v>
      </c>
      <c r="AA27" s="1577">
        <f t="shared" si="3"/>
        <v>1.0526315789473684</v>
      </c>
      <c r="AB27" s="1577">
        <f t="shared" si="4"/>
        <v>1.0526315789473684</v>
      </c>
      <c r="AC27" s="1577">
        <f t="shared" si="5"/>
        <v>1.0526315789473684</v>
      </c>
    </row>
    <row r="28" spans="1:29" ht="20.25">
      <c r="A28" s="515"/>
      <c r="B28" s="566"/>
      <c r="C28" s="554" t="s">
        <v>3231</v>
      </c>
      <c r="D28" s="557"/>
      <c r="E28" s="576" t="s">
        <v>3273</v>
      </c>
      <c r="F28" s="555"/>
      <c r="G28" s="576" t="s">
        <v>3273</v>
      </c>
      <c r="H28" s="555"/>
      <c r="I28" s="576" t="s">
        <v>3273</v>
      </c>
      <c r="J28" s="555"/>
      <c r="K28" s="531"/>
      <c r="L28" s="2144"/>
      <c r="M28" s="2134"/>
      <c r="N28" s="2134"/>
      <c r="O28" s="2143"/>
      <c r="P28" s="3421"/>
      <c r="Q28" s="1573"/>
      <c r="R28" s="1574"/>
      <c r="S28" s="1575"/>
      <c r="T28" s="1574"/>
      <c r="U28" s="1575"/>
      <c r="V28" s="1574"/>
      <c r="W28" s="1575"/>
      <c r="X28" s="1568"/>
      <c r="Y28" s="3421"/>
      <c r="Z28" s="1576"/>
      <c r="AA28" s="1577">
        <v>1</v>
      </c>
      <c r="AB28" s="1577">
        <v>1</v>
      </c>
      <c r="AC28" s="1577">
        <v>1</v>
      </c>
    </row>
    <row r="29" spans="1:29" s="1220" customFormat="1" ht="42.75">
      <c r="A29" s="577"/>
      <c r="B29" s="2593" t="s">
        <v>2546</v>
      </c>
      <c r="C29" s="573" t="str">
        <f>估价对象房地状况!C21</f>
        <v>估价对象所在区域公共配套设施齐备情况较好</v>
      </c>
      <c r="D29" s="563">
        <v>100</v>
      </c>
      <c r="E29" s="564"/>
      <c r="F29" s="559">
        <f>SUMIF(102:102,E30,103:103)-SUMIF(102:102,C30,103:103)+100</f>
        <v>95</v>
      </c>
      <c r="G29" s="562"/>
      <c r="H29" s="559">
        <f>SUMIF(102:102,G30,103:103)-SUMIF(102:102,C30,103:103)+100</f>
        <v>95</v>
      </c>
      <c r="I29" s="564"/>
      <c r="J29" s="559">
        <f>SUMIF(102:102,I30,103:103)-SUMIF(102:102,C30,103:103)+100</f>
        <v>95</v>
      </c>
      <c r="K29" s="535">
        <v>5</v>
      </c>
      <c r="L29" s="2137"/>
      <c r="M29" s="2134"/>
      <c r="N29" s="2134"/>
      <c r="O29" s="2139"/>
      <c r="P29" s="3421"/>
      <c r="Q29" s="1151" t="str">
        <f t="shared" si="8"/>
        <v>公共配套设施</v>
      </c>
      <c r="R29" s="1569" t="s">
        <v>8</v>
      </c>
      <c r="S29" s="1570">
        <f>F29</f>
        <v>95</v>
      </c>
      <c r="T29" s="1569" t="s">
        <v>8</v>
      </c>
      <c r="U29" s="1570">
        <f>H29</f>
        <v>95</v>
      </c>
      <c r="V29" s="1569" t="s">
        <v>8</v>
      </c>
      <c r="W29" s="1570">
        <f>J29</f>
        <v>95</v>
      </c>
      <c r="X29" s="1571"/>
      <c r="Y29" s="3421"/>
      <c r="Z29" s="1150" t="str">
        <f>Q29</f>
        <v>公共配套设施</v>
      </c>
      <c r="AA29" s="1577">
        <f>D29/F29</f>
        <v>1.0526315789473684</v>
      </c>
      <c r="AB29" s="1577">
        <f>D29/H29</f>
        <v>1.0526315789473684</v>
      </c>
      <c r="AC29" s="1577">
        <f>D29/J29</f>
        <v>1.0526315789473684</v>
      </c>
    </row>
    <row r="30" spans="1:29" s="1220" customFormat="1" ht="20.25">
      <c r="A30" s="577"/>
      <c r="B30" s="566"/>
      <c r="C30" s="554" t="s">
        <v>3231</v>
      </c>
      <c r="D30" s="557"/>
      <c r="E30" s="576" t="s">
        <v>3273</v>
      </c>
      <c r="F30" s="555"/>
      <c r="G30" s="576" t="s">
        <v>3273</v>
      </c>
      <c r="H30" s="555"/>
      <c r="I30" s="576" t="s">
        <v>3273</v>
      </c>
      <c r="J30" s="555"/>
      <c r="K30" s="531"/>
      <c r="L30" s="2137"/>
      <c r="M30" s="2134"/>
      <c r="N30" s="2134"/>
      <c r="O30" s="2139"/>
      <c r="P30" s="3421"/>
      <c r="Q30" s="1151"/>
      <c r="R30" s="1569"/>
      <c r="S30" s="1570"/>
      <c r="T30" s="1569"/>
      <c r="U30" s="1570"/>
      <c r="V30" s="1569"/>
      <c r="W30" s="1570"/>
      <c r="X30" s="1571"/>
      <c r="Y30" s="3421"/>
      <c r="Z30" s="1150"/>
      <c r="AA30" s="1577">
        <v>1</v>
      </c>
      <c r="AB30" s="1577">
        <v>1</v>
      </c>
      <c r="AC30" s="1577">
        <v>1</v>
      </c>
    </row>
    <row r="31" spans="1:29" s="1220" customFormat="1" ht="42.75">
      <c r="A31" s="577"/>
      <c r="B31" s="2593"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21"/>
      <c r="Q31" s="2580" t="str">
        <f t="shared" ref="Q31" si="9">B31</f>
        <v>基础设施水平</v>
      </c>
      <c r="R31" s="1569" t="s">
        <v>8</v>
      </c>
      <c r="S31" s="1570">
        <f>F31</f>
        <v>100</v>
      </c>
      <c r="T31" s="1569" t="s">
        <v>8</v>
      </c>
      <c r="U31" s="1570">
        <f>H31</f>
        <v>100</v>
      </c>
      <c r="V31" s="1569" t="s">
        <v>8</v>
      </c>
      <c r="W31" s="1570">
        <f>J31</f>
        <v>100</v>
      </c>
      <c r="X31" s="1571"/>
      <c r="Y31" s="3421"/>
      <c r="Z31" s="2577" t="str">
        <f>Q31</f>
        <v>基础设施水平</v>
      </c>
      <c r="AA31" s="1577">
        <f>D31/F31</f>
        <v>1</v>
      </c>
      <c r="AB31" s="1577">
        <f>D31/H31</f>
        <v>1</v>
      </c>
      <c r="AC31" s="1577">
        <f>D31/J31</f>
        <v>1</v>
      </c>
    </row>
    <row r="32" spans="1:29" s="1220" customFormat="1" ht="20.25">
      <c r="A32" s="577"/>
      <c r="B32" s="566"/>
      <c r="C32" s="579" t="s">
        <v>3261</v>
      </c>
      <c r="D32" s="557"/>
      <c r="E32" s="2594" t="s">
        <v>3261</v>
      </c>
      <c r="F32" s="555"/>
      <c r="G32" s="579" t="s">
        <v>3261</v>
      </c>
      <c r="H32" s="555"/>
      <c r="I32" s="579" t="s">
        <v>3261</v>
      </c>
      <c r="J32" s="555"/>
      <c r="K32" s="531"/>
      <c r="L32" s="2137"/>
      <c r="M32" s="2134"/>
      <c r="N32" s="2134"/>
      <c r="O32" s="2139"/>
      <c r="P32" s="3421"/>
      <c r="Q32" s="2580"/>
      <c r="R32" s="1569"/>
      <c r="S32" s="1570"/>
      <c r="T32" s="1569"/>
      <c r="U32" s="1570"/>
      <c r="V32" s="1569"/>
      <c r="W32" s="1570"/>
      <c r="X32" s="1571"/>
      <c r="Y32" s="3421"/>
      <c r="Z32" s="2577"/>
      <c r="AA32" s="1577">
        <v>1</v>
      </c>
      <c r="AB32" s="1577">
        <v>1</v>
      </c>
      <c r="AC32" s="1577">
        <v>1</v>
      </c>
    </row>
    <row r="33" spans="1:29" ht="20.25">
      <c r="A33" s="532"/>
      <c r="B33" s="566" t="s">
        <v>546</v>
      </c>
      <c r="C33" s="580" t="s">
        <v>3270</v>
      </c>
      <c r="D33" s="575">
        <v>100</v>
      </c>
      <c r="E33" s="583" t="s">
        <v>3270</v>
      </c>
      <c r="F33" s="540">
        <f>SUMIF(106:106,E33,107:107)-SUMIF(106:106,C33,107:107)+100</f>
        <v>100</v>
      </c>
      <c r="G33" s="580" t="s">
        <v>3270</v>
      </c>
      <c r="H33" s="540">
        <f>SUMIF(106:106,G33,107:107)-SUMIF(106:106,C33,107:107)+100</f>
        <v>100</v>
      </c>
      <c r="I33" s="580" t="s">
        <v>3270</v>
      </c>
      <c r="J33" s="540">
        <f>SUMIF(106:106,I33,107:107)-SUMIF(106:106,C33,107:107)+100</f>
        <v>100</v>
      </c>
      <c r="K33" s="535">
        <v>2</v>
      </c>
      <c r="L33" s="2144"/>
      <c r="M33" s="2134"/>
      <c r="N33" s="2134"/>
      <c r="O33" s="2143"/>
      <c r="P33" s="342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1"/>
      <c r="Z33" s="1576" t="str">
        <f t="shared" ref="Z33:Z47" si="13">Q33</f>
        <v>临街状况</v>
      </c>
      <c r="AA33" s="1577">
        <f t="shared" si="3"/>
        <v>1</v>
      </c>
      <c r="AB33" s="1577">
        <f t="shared" si="4"/>
        <v>1</v>
      </c>
      <c r="AC33" s="1577">
        <f t="shared" si="5"/>
        <v>1</v>
      </c>
    </row>
    <row r="34" spans="1:29" ht="27">
      <c r="A34" s="532"/>
      <c r="B34" s="578" t="s">
        <v>547</v>
      </c>
      <c r="C34" s="3204" t="s">
        <v>3275</v>
      </c>
      <c r="D34" s="563">
        <v>100</v>
      </c>
      <c r="E34" s="3203" t="s">
        <v>3274</v>
      </c>
      <c r="F34" s="559">
        <f>SUMIF(108:108,E35,109:109)-SUMIF(108:108,C35,109:109)+100</f>
        <v>99</v>
      </c>
      <c r="G34" s="3203" t="s">
        <v>3274</v>
      </c>
      <c r="H34" s="559">
        <f>SUMIF(108:108,G35,109:109)-SUMIF(108:108,C35,109:109)+100</f>
        <v>99</v>
      </c>
      <c r="I34" s="3203" t="s">
        <v>3274</v>
      </c>
      <c r="J34" s="559">
        <f>SUMIF(108:108,I35,109:109)-SUMIF(108:108,C35,109:109)+100</f>
        <v>99</v>
      </c>
      <c r="K34" s="535">
        <v>1</v>
      </c>
      <c r="L34" s="2144"/>
      <c r="M34" s="2134"/>
      <c r="N34" s="2134"/>
      <c r="O34" s="2143"/>
      <c r="P34" s="3421"/>
      <c r="Q34" s="1573" t="str">
        <f t="shared" si="8"/>
        <v>毗邻道路的类型与等级</v>
      </c>
      <c r="R34" s="1574" t="s">
        <v>8</v>
      </c>
      <c r="S34" s="1575">
        <f t="shared" si="10"/>
        <v>99</v>
      </c>
      <c r="T34" s="1574" t="s">
        <v>8</v>
      </c>
      <c r="U34" s="1575">
        <f t="shared" si="11"/>
        <v>99</v>
      </c>
      <c r="V34" s="1574" t="s">
        <v>8</v>
      </c>
      <c r="W34" s="1575">
        <f t="shared" si="12"/>
        <v>99</v>
      </c>
      <c r="X34" s="1568"/>
      <c r="Y34" s="3421"/>
      <c r="Z34" s="1576" t="str">
        <f t="shared" si="13"/>
        <v>毗邻道路的类型与等级</v>
      </c>
      <c r="AA34" s="1577">
        <f t="shared" si="3"/>
        <v>1.0101010101010102</v>
      </c>
      <c r="AB34" s="1577">
        <f t="shared" si="4"/>
        <v>1.0101010101010102</v>
      </c>
      <c r="AC34" s="1577">
        <f t="shared" si="5"/>
        <v>1.0101010101010102</v>
      </c>
    </row>
    <row r="35" spans="1:29" ht="20.25">
      <c r="A35" s="532"/>
      <c r="B35" s="566"/>
      <c r="C35" s="554" t="s">
        <v>3272</v>
      </c>
      <c r="D35" s="557"/>
      <c r="E35" s="576" t="s">
        <v>3271</v>
      </c>
      <c r="F35" s="555"/>
      <c r="G35" s="576" t="s">
        <v>3271</v>
      </c>
      <c r="H35" s="555"/>
      <c r="I35" s="576" t="s">
        <v>3271</v>
      </c>
      <c r="J35" s="555"/>
      <c r="K35" s="581"/>
      <c r="L35" s="2144"/>
      <c r="M35" s="2134"/>
      <c r="N35" s="2134"/>
      <c r="O35" s="2143"/>
      <c r="P35" s="3421"/>
      <c r="Q35" s="1573"/>
      <c r="R35" s="1574"/>
      <c r="S35" s="1575"/>
      <c r="T35" s="1574"/>
      <c r="U35" s="1575"/>
      <c r="V35" s="1574"/>
      <c r="W35" s="1575"/>
      <c r="X35" s="1568"/>
      <c r="Y35" s="3421"/>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1"/>
      <c r="Q36" s="1573" t="str">
        <f t="shared" si="8"/>
        <v>土地级别</v>
      </c>
      <c r="R36" s="1574" t="s">
        <v>8</v>
      </c>
      <c r="S36" s="1575">
        <f t="shared" si="10"/>
        <v>100</v>
      </c>
      <c r="T36" s="1574" t="s">
        <v>8</v>
      </c>
      <c r="U36" s="1575">
        <f t="shared" si="11"/>
        <v>100</v>
      </c>
      <c r="V36" s="1574" t="s">
        <v>8</v>
      </c>
      <c r="W36" s="1575">
        <f t="shared" si="12"/>
        <v>100</v>
      </c>
      <c r="X36" s="1568"/>
      <c r="Y36" s="342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1"/>
      <c r="Q37" s="1573">
        <f t="shared" si="8"/>
        <v>111</v>
      </c>
      <c r="R37" s="1574" t="s">
        <v>8</v>
      </c>
      <c r="S37" s="1575">
        <f t="shared" si="10"/>
        <v>100</v>
      </c>
      <c r="T37" s="1574" t="s">
        <v>8</v>
      </c>
      <c r="U37" s="1575">
        <f t="shared" si="11"/>
        <v>100</v>
      </c>
      <c r="V37" s="1574" t="s">
        <v>8</v>
      </c>
      <c r="W37" s="1575">
        <f t="shared" si="12"/>
        <v>100</v>
      </c>
      <c r="X37" s="1568"/>
      <c r="Y37" s="342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2" t="s">
        <v>549</v>
      </c>
      <c r="Q38" s="1573">
        <f t="shared" si="8"/>
        <v>111</v>
      </c>
      <c r="R38" s="1574" t="s">
        <v>8</v>
      </c>
      <c r="S38" s="1575">
        <f t="shared" si="10"/>
        <v>100</v>
      </c>
      <c r="T38" s="1574" t="s">
        <v>8</v>
      </c>
      <c r="U38" s="1575">
        <f t="shared" si="11"/>
        <v>100</v>
      </c>
      <c r="V38" s="1574" t="s">
        <v>8</v>
      </c>
      <c r="W38" s="1575">
        <f t="shared" si="12"/>
        <v>100</v>
      </c>
      <c r="X38" s="1568"/>
      <c r="Y38" s="3423"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3"/>
      <c r="Q39" s="1573">
        <f t="shared" si="8"/>
        <v>111</v>
      </c>
      <c r="R39" s="1578" t="s">
        <v>8</v>
      </c>
      <c r="S39" s="1579">
        <f t="shared" si="10"/>
        <v>100</v>
      </c>
      <c r="T39" s="1578" t="s">
        <v>8</v>
      </c>
      <c r="U39" s="1579">
        <f t="shared" si="11"/>
        <v>100</v>
      </c>
      <c r="V39" s="1578" t="s">
        <v>8</v>
      </c>
      <c r="W39" s="1579">
        <f t="shared" si="12"/>
        <v>100</v>
      </c>
      <c r="X39" s="1580"/>
      <c r="Y39" s="3423"/>
      <c r="Z39" s="1581">
        <f t="shared" si="13"/>
        <v>111</v>
      </c>
      <c r="AA39" s="1577">
        <f t="shared" si="3"/>
        <v>1</v>
      </c>
      <c r="AB39" s="1577">
        <f t="shared" si="4"/>
        <v>1</v>
      </c>
      <c r="AC39" s="1577">
        <f t="shared" si="5"/>
        <v>1</v>
      </c>
    </row>
    <row r="40" spans="1:29" ht="20.25">
      <c r="A40" s="2909" t="s">
        <v>2753</v>
      </c>
      <c r="B40" s="595" t="s">
        <v>551</v>
      </c>
      <c r="C40" s="596">
        <v>14000.08</v>
      </c>
      <c r="D40" s="597">
        <v>100</v>
      </c>
      <c r="E40" s="596">
        <f>土地案例!D18</f>
        <v>46933.8</v>
      </c>
      <c r="F40" s="597">
        <f>LOOKUP(E40,119:119,120:120)-LOOKUP(C40,119:119,120:120)+100</f>
        <v>102</v>
      </c>
      <c r="G40" s="596">
        <f>土地案例!D19</f>
        <v>14287.34</v>
      </c>
      <c r="H40" s="597">
        <f>LOOKUP(G40,119:119,120:120)-LOOKUP(C40,119:119,120:120)+100</f>
        <v>100</v>
      </c>
      <c r="I40" s="598">
        <f>土地案例!D20</f>
        <v>15032.24</v>
      </c>
      <c r="J40" s="597">
        <f>LOOKUP(I40,119:119,120:120)-LOOKUP(C40,119:119,120:120)+100</f>
        <v>100</v>
      </c>
      <c r="K40" s="581"/>
      <c r="L40" s="2144"/>
      <c r="M40" s="2134"/>
      <c r="N40" s="2134"/>
      <c r="O40" s="2143"/>
      <c r="P40" s="3423"/>
      <c r="Q40" s="1573" t="str">
        <f>B40</f>
        <v>宗地面积</v>
      </c>
      <c r="R40" s="1574" t="s">
        <v>8</v>
      </c>
      <c r="S40" s="1575">
        <f t="shared" si="10"/>
        <v>102</v>
      </c>
      <c r="T40" s="1574" t="s">
        <v>8</v>
      </c>
      <c r="U40" s="1575">
        <f t="shared" si="11"/>
        <v>100</v>
      </c>
      <c r="V40" s="1574" t="s">
        <v>8</v>
      </c>
      <c r="W40" s="1575">
        <f t="shared" si="12"/>
        <v>100</v>
      </c>
      <c r="X40" s="1568"/>
      <c r="Y40" s="3423"/>
      <c r="Z40" s="1576" t="str">
        <f t="shared" si="13"/>
        <v>宗地面积</v>
      </c>
      <c r="AA40" s="1577">
        <f t="shared" si="3"/>
        <v>0.98039215686274506</v>
      </c>
      <c r="AB40" s="1577">
        <f t="shared" si="4"/>
        <v>1</v>
      </c>
      <c r="AC40" s="1577">
        <f t="shared" si="5"/>
        <v>1</v>
      </c>
    </row>
    <row r="41" spans="1:29" ht="20.25">
      <c r="A41" s="594"/>
      <c r="B41" s="527" t="s">
        <v>552</v>
      </c>
      <c r="C41" s="599" t="s">
        <v>3228</v>
      </c>
      <c r="D41" s="540">
        <v>100</v>
      </c>
      <c r="E41" s="599" t="s">
        <v>3228</v>
      </c>
      <c r="F41" s="540">
        <f>SUMIF(121:121,E41,122:122)-SUMIF(121:121,C41,122:122)+100</f>
        <v>100</v>
      </c>
      <c r="G41" s="599" t="s">
        <v>3228</v>
      </c>
      <c r="H41" s="540">
        <f>SUMIF(121:121,G41,122:122)-SUMIF(121:121,C41,122:122)+100</f>
        <v>100</v>
      </c>
      <c r="I41" s="599" t="s">
        <v>3228</v>
      </c>
      <c r="J41" s="540">
        <f>SUMIF(121:121,I41,122:122)-SUMIF(121:121,C41,122:122)+100</f>
        <v>100</v>
      </c>
      <c r="K41" s="584">
        <v>1</v>
      </c>
      <c r="L41" s="2144"/>
      <c r="M41" s="2134"/>
      <c r="N41" s="2134"/>
      <c r="O41" s="2143"/>
      <c r="P41" s="3423"/>
      <c r="Q41" s="1573" t="str">
        <f t="shared" ref="Q41:Q47" si="14">B41</f>
        <v>宗地形状</v>
      </c>
      <c r="R41" s="1574" t="s">
        <v>8</v>
      </c>
      <c r="S41" s="1575">
        <f t="shared" si="10"/>
        <v>100</v>
      </c>
      <c r="T41" s="1574" t="s">
        <v>8</v>
      </c>
      <c r="U41" s="1575">
        <f t="shared" si="11"/>
        <v>100</v>
      </c>
      <c r="V41" s="1574" t="s">
        <v>8</v>
      </c>
      <c r="W41" s="1575">
        <f t="shared" si="12"/>
        <v>100</v>
      </c>
      <c r="X41" s="1568"/>
      <c r="Y41" s="3423"/>
      <c r="Z41" s="1576" t="str">
        <f t="shared" si="13"/>
        <v>宗地形状</v>
      </c>
      <c r="AA41" s="1577">
        <f t="shared" si="3"/>
        <v>1</v>
      </c>
      <c r="AB41" s="1577">
        <f t="shared" si="4"/>
        <v>1</v>
      </c>
      <c r="AC41" s="1577">
        <f t="shared" si="5"/>
        <v>1</v>
      </c>
    </row>
    <row r="42" spans="1:29" ht="20.25">
      <c r="A42" s="594"/>
      <c r="B42" s="527" t="s">
        <v>553</v>
      </c>
      <c r="C42" s="599" t="s">
        <v>3229</v>
      </c>
      <c r="D42" s="540">
        <v>100</v>
      </c>
      <c r="E42" s="599" t="s">
        <v>3229</v>
      </c>
      <c r="F42" s="540">
        <f>SUMIF(123:123,E42,124:124)-SUMIF(123:123,C42,124:124)+100</f>
        <v>100</v>
      </c>
      <c r="G42" s="599" t="s">
        <v>3229</v>
      </c>
      <c r="H42" s="540">
        <f>SUMIF(123:123,G42,124:124)-SUMIF(123:123,C42,124:124)+100</f>
        <v>100</v>
      </c>
      <c r="I42" s="599" t="s">
        <v>3229</v>
      </c>
      <c r="J42" s="540">
        <f>SUMIF(123:123,I42,124:124)-SUMIF(123:123,C42,124:124)+100</f>
        <v>100</v>
      </c>
      <c r="K42" s="584">
        <v>1</v>
      </c>
      <c r="L42" s="2144"/>
      <c r="M42" s="2134"/>
      <c r="N42" s="2134"/>
      <c r="O42" s="2143"/>
      <c r="P42" s="3423"/>
      <c r="Q42" s="1573" t="str">
        <f t="shared" si="14"/>
        <v>临街宽度及深度</v>
      </c>
      <c r="R42" s="1574" t="s">
        <v>8</v>
      </c>
      <c r="S42" s="1575">
        <f t="shared" si="10"/>
        <v>100</v>
      </c>
      <c r="T42" s="1574" t="s">
        <v>8</v>
      </c>
      <c r="U42" s="1575">
        <f t="shared" si="11"/>
        <v>100</v>
      </c>
      <c r="V42" s="1574" t="s">
        <v>8</v>
      </c>
      <c r="W42" s="1575">
        <f t="shared" si="12"/>
        <v>100</v>
      </c>
      <c r="X42" s="1568"/>
      <c r="Y42" s="3423"/>
      <c r="Z42" s="1576" t="str">
        <f t="shared" si="13"/>
        <v>临街宽度及深度</v>
      </c>
      <c r="AA42" s="1577">
        <f t="shared" si="3"/>
        <v>1</v>
      </c>
      <c r="AB42" s="1577">
        <f t="shared" si="4"/>
        <v>1</v>
      </c>
      <c r="AC42" s="1577">
        <f t="shared" si="5"/>
        <v>1</v>
      </c>
    </row>
    <row r="43" spans="1:29" s="1220" customFormat="1" ht="20.25">
      <c r="A43" s="600"/>
      <c r="B43" s="1897" t="s">
        <v>2424</v>
      </c>
      <c r="C43" s="601" t="s">
        <v>3230</v>
      </c>
      <c r="D43" s="255">
        <v>100</v>
      </c>
      <c r="E43" s="601" t="s">
        <v>3230</v>
      </c>
      <c r="F43" s="540">
        <f>SUMIF(125:125,E43,126:126)-SUMIF(125:125,C43,126:126)+100</f>
        <v>100</v>
      </c>
      <c r="G43" s="601" t="s">
        <v>3230</v>
      </c>
      <c r="H43" s="540">
        <f>SUMIF(125:125,G43,126:126)-SUMIF(125:125,C43,126:126)+100</f>
        <v>100</v>
      </c>
      <c r="I43" s="601" t="s">
        <v>3230</v>
      </c>
      <c r="J43" s="540">
        <f>SUMIF(125:125,I43,126:126)-SUMIF(125:125,C43,126:126)+100</f>
        <v>100</v>
      </c>
      <c r="K43" s="584">
        <v>1</v>
      </c>
      <c r="L43" s="2137"/>
      <c r="M43" s="2134"/>
      <c r="N43" s="2134"/>
      <c r="O43" s="2139"/>
      <c r="P43" s="3423"/>
      <c r="Q43" s="1573" t="str">
        <f t="shared" si="14"/>
        <v>宗地开发程度</v>
      </c>
      <c r="R43" s="1569" t="s">
        <v>8</v>
      </c>
      <c r="S43" s="1570">
        <f t="shared" si="10"/>
        <v>100</v>
      </c>
      <c r="T43" s="1569" t="s">
        <v>8</v>
      </c>
      <c r="U43" s="1570">
        <f t="shared" si="11"/>
        <v>100</v>
      </c>
      <c r="V43" s="1569" t="s">
        <v>8</v>
      </c>
      <c r="W43" s="1570">
        <f t="shared" si="12"/>
        <v>100</v>
      </c>
      <c r="X43" s="1571"/>
      <c r="Y43" s="3423"/>
      <c r="Z43" s="1150" t="str">
        <f t="shared" si="13"/>
        <v>宗地开发程度</v>
      </c>
      <c r="AA43" s="1572">
        <f t="shared" si="3"/>
        <v>1</v>
      </c>
      <c r="AB43" s="1572">
        <f t="shared" si="4"/>
        <v>1</v>
      </c>
      <c r="AC43" s="1572">
        <f t="shared" si="5"/>
        <v>1</v>
      </c>
    </row>
    <row r="44" spans="1:29" ht="20.25">
      <c r="A44" s="594"/>
      <c r="B44" s="527" t="s">
        <v>554</v>
      </c>
      <c r="C44" s="599" t="s">
        <v>3231</v>
      </c>
      <c r="D44" s="540">
        <v>100</v>
      </c>
      <c r="E44" s="599" t="s">
        <v>3231</v>
      </c>
      <c r="F44" s="540">
        <f>SUMIF(127:127,E44,128:128)-SUMIF(127:127,C44,128:128)+100</f>
        <v>100</v>
      </c>
      <c r="G44" s="599" t="s">
        <v>3231</v>
      </c>
      <c r="H44" s="540">
        <f>SUMIF(127:127,G44,128:128)-SUMIF(127:127,C44,128:128)+100</f>
        <v>100</v>
      </c>
      <c r="I44" s="599" t="s">
        <v>3231</v>
      </c>
      <c r="J44" s="540">
        <f>SUMIF(127:127,I44,128:128)-SUMIF(127:127,C44,128:128)+100</f>
        <v>100</v>
      </c>
      <c r="K44" s="584">
        <v>1</v>
      </c>
      <c r="L44" s="2144"/>
      <c r="M44" s="2134"/>
      <c r="N44" s="2134"/>
      <c r="O44" s="2143"/>
      <c r="P44" s="3423" t="s">
        <v>549</v>
      </c>
      <c r="Q44" s="1573" t="str">
        <f t="shared" si="14"/>
        <v>工程地质条件</v>
      </c>
      <c r="R44" s="1574" t="s">
        <v>8</v>
      </c>
      <c r="S44" s="1575">
        <f t="shared" si="10"/>
        <v>100</v>
      </c>
      <c r="T44" s="1574" t="s">
        <v>8</v>
      </c>
      <c r="U44" s="1575">
        <f t="shared" si="11"/>
        <v>100</v>
      </c>
      <c r="V44" s="1574" t="s">
        <v>8</v>
      </c>
      <c r="W44" s="1575">
        <f t="shared" si="12"/>
        <v>100</v>
      </c>
      <c r="X44" s="1568"/>
      <c r="Y44" s="3423"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4"/>
      <c r="M45" s="2134"/>
      <c r="N45" s="2134"/>
      <c r="O45" s="2143"/>
      <c r="P45" s="3423"/>
      <c r="Q45" s="1573">
        <f t="shared" si="14"/>
        <v>111</v>
      </c>
      <c r="R45" s="1574" t="s">
        <v>8</v>
      </c>
      <c r="S45" s="1575">
        <f t="shared" si="10"/>
        <v>100</v>
      </c>
      <c r="T45" s="1574" t="s">
        <v>8</v>
      </c>
      <c r="U45" s="1575">
        <f t="shared" si="11"/>
        <v>100</v>
      </c>
      <c r="V45" s="1574" t="s">
        <v>8</v>
      </c>
      <c r="W45" s="1575">
        <f t="shared" si="12"/>
        <v>100</v>
      </c>
      <c r="X45" s="1568"/>
      <c r="Y45" s="342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3"/>
      <c r="Q46" s="1573">
        <f t="shared" si="14"/>
        <v>111</v>
      </c>
      <c r="R46" s="1574" t="s">
        <v>8</v>
      </c>
      <c r="S46" s="1575">
        <f t="shared" si="10"/>
        <v>100</v>
      </c>
      <c r="T46" s="1574" t="s">
        <v>8</v>
      </c>
      <c r="U46" s="1575">
        <f t="shared" si="11"/>
        <v>100</v>
      </c>
      <c r="V46" s="1574" t="s">
        <v>8</v>
      </c>
      <c r="W46" s="1575">
        <f t="shared" si="12"/>
        <v>100</v>
      </c>
      <c r="X46" s="1568"/>
      <c r="Y46" s="342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3"/>
      <c r="Q47" s="1573">
        <f t="shared" si="14"/>
        <v>111</v>
      </c>
      <c r="R47" s="1578" t="s">
        <v>8</v>
      </c>
      <c r="S47" s="1579">
        <f t="shared" si="10"/>
        <v>100</v>
      </c>
      <c r="T47" s="1578" t="s">
        <v>8</v>
      </c>
      <c r="U47" s="1579">
        <f t="shared" si="11"/>
        <v>100</v>
      </c>
      <c r="V47" s="1578" t="s">
        <v>8</v>
      </c>
      <c r="W47" s="1579">
        <f t="shared" si="12"/>
        <v>100</v>
      </c>
      <c r="X47" s="1580"/>
      <c r="Y47" s="3423"/>
      <c r="Z47" s="1581">
        <f t="shared" si="13"/>
        <v>111</v>
      </c>
      <c r="AA47" s="1577">
        <f t="shared" si="3"/>
        <v>1</v>
      </c>
      <c r="AB47" s="1577">
        <f t="shared" si="4"/>
        <v>1</v>
      </c>
      <c r="AC47" s="1577">
        <f t="shared" si="5"/>
        <v>1</v>
      </c>
    </row>
    <row r="48" spans="1:29" ht="20.25">
      <c r="A48" s="607" t="s">
        <v>555</v>
      </c>
      <c r="B48" s="608" t="s">
        <v>3232</v>
      </c>
      <c r="C48" s="609" t="s">
        <v>1</v>
      </c>
      <c r="D48" s="610"/>
      <c r="E48" s="611">
        <f>土地案例!K18</f>
        <v>28050</v>
      </c>
      <c r="F48" s="612"/>
      <c r="G48" s="613">
        <f>土地案例!K19</f>
        <v>29120</v>
      </c>
      <c r="H48" s="614"/>
      <c r="I48" s="611">
        <v>28250</v>
      </c>
      <c r="J48" s="614"/>
      <c r="K48" s="1340"/>
      <c r="L48" s="2146"/>
      <c r="M48" s="2134"/>
      <c r="N48" s="2134"/>
      <c r="O48" s="2147"/>
      <c r="P48" s="3386" t="str">
        <f>A48</f>
        <v>成交单价</v>
      </c>
      <c r="Q48" s="3386"/>
      <c r="R48" s="3387">
        <f>E48</f>
        <v>28050</v>
      </c>
      <c r="S48" s="3387"/>
      <c r="T48" s="3387">
        <f>G48</f>
        <v>29120</v>
      </c>
      <c r="U48" s="3387"/>
      <c r="V48" s="3387">
        <f>I48</f>
        <v>28250</v>
      </c>
      <c r="W48" s="3387"/>
      <c r="X48" s="1560"/>
      <c r="Y48" s="1582"/>
      <c r="Z48" s="1560"/>
      <c r="AA48" s="1560"/>
      <c r="AB48" s="1560"/>
      <c r="AC48" s="1560"/>
    </row>
    <row r="49" spans="1:29" ht="21" thickBot="1">
      <c r="A49" s="615" t="s">
        <v>2691</v>
      </c>
      <c r="B49" s="616"/>
      <c r="C49" s="617">
        <f>R50</f>
        <v>34694</v>
      </c>
      <c r="D49" s="618"/>
      <c r="E49" s="617">
        <f>R49</f>
        <v>33725</v>
      </c>
      <c r="F49" s="619"/>
      <c r="G49" s="620">
        <f>T49</f>
        <v>35711</v>
      </c>
      <c r="H49" s="618"/>
      <c r="I49" s="617">
        <f>V49</f>
        <v>34645</v>
      </c>
      <c r="J49" s="618"/>
      <c r="K49" s="1341"/>
      <c r="L49" s="2146"/>
      <c r="M49" s="2134"/>
      <c r="N49" s="2134"/>
      <c r="O49" s="2147"/>
      <c r="P49" s="3386" t="str">
        <f>A49</f>
        <v>比较价格（元/平方米）</v>
      </c>
      <c r="Q49" s="3386"/>
      <c r="R49" s="3388">
        <f>ROUND(PRODUCT(R48,AA9:AA47),0)</f>
        <v>33725</v>
      </c>
      <c r="S49" s="3388"/>
      <c r="T49" s="3388">
        <f>ROUND(PRODUCT(T48,AB9:AB47),0)</f>
        <v>35711</v>
      </c>
      <c r="U49" s="3388"/>
      <c r="V49" s="3388">
        <f>ROUND(PRODUCT(V48,AC9:AC47),0)</f>
        <v>34645</v>
      </c>
      <c r="W49" s="3388"/>
      <c r="X49" s="1560"/>
      <c r="Y49" s="1560"/>
      <c r="Z49" s="1560"/>
      <c r="AA49" s="1560"/>
      <c r="AB49" s="1560"/>
      <c r="AC49" s="1560"/>
    </row>
    <row r="50" spans="1:29" ht="21" thickBot="1">
      <c r="A50" s="621" t="s">
        <v>2931</v>
      </c>
      <c r="B50" s="622"/>
      <c r="C50" s="623">
        <f>R50</f>
        <v>34694</v>
      </c>
      <c r="D50" s="623"/>
      <c r="E50" s="623"/>
      <c r="F50" s="623"/>
      <c r="G50" s="623"/>
      <c r="H50" s="623"/>
      <c r="I50" s="623"/>
      <c r="J50" s="623"/>
      <c r="K50" s="1342"/>
      <c r="L50" s="2146"/>
      <c r="M50" s="2134"/>
      <c r="N50" s="2134"/>
      <c r="O50" s="2147"/>
      <c r="P50" s="3383" t="str">
        <f>A50</f>
        <v>估价对象XX用房的比较价格（楼面单价，元/平方米）</v>
      </c>
      <c r="Q50" s="3384"/>
      <c r="R50" s="3385">
        <f>ROUND(AVERAGE(R49:V49),0)</f>
        <v>34694</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0.20231729055258474</v>
      </c>
      <c r="F53" s="627" t="str">
        <f>IF(OR(E53&gt;=0.3,E53&lt;=-0.3),"超过30%","")</f>
        <v/>
      </c>
      <c r="G53" s="626">
        <f>IF(G48&lt;G49,G49/G48-1,G48/G49-1)</f>
        <v>0.22633928571428563</v>
      </c>
      <c r="H53" s="627" t="str">
        <f>IF(OR(G53&gt;=0.3,G53&lt;=-0.3),"超过30%","")</f>
        <v/>
      </c>
      <c r="I53" s="626">
        <f>IF(I48&lt;I49,I49/I48-1,I48/I49-1)</f>
        <v>0.22637168141592912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5.8888065233506204E-2</v>
      </c>
      <c r="F54" s="627" t="str">
        <f>IF(OR(E54&gt;=0.2,E54&lt;=-0.2),"超过20%","")</f>
        <v/>
      </c>
      <c r="G54" s="626">
        <f>IF(G49&lt;I49,I49/G49-1,G49/I49-1)</f>
        <v>3.076923076923066E-2</v>
      </c>
      <c r="H54" s="627" t="str">
        <f>IF(OR(G54&gt;=0.2,G54&lt;=-0.2),"超过20%","")</f>
        <v/>
      </c>
      <c r="I54" s="626">
        <f>IF(I49&lt;E49,E49/I49-1,I49/E49-1)</f>
        <v>2.7279466271312058E-2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3.8146167557932209E-2</v>
      </c>
      <c r="F55" s="627" t="str">
        <f>IF(OR(E55&gt;=0.3,E55&lt;=-0.3),"超过30%","")</f>
        <v/>
      </c>
      <c r="G55" s="626">
        <f>IF(G48&lt;I48,I48/G48-1,G48/I48-1)</f>
        <v>3.0796460176991225E-2</v>
      </c>
      <c r="H55" s="627" t="str">
        <f>IF(OR(G55&gt;=0.3,G55&lt;=-0.3),"超过30%","")</f>
        <v/>
      </c>
      <c r="I55" s="626">
        <f>IF(I48&lt;E48,E48/I48-1,I48/E48-1)</f>
        <v>7.1301247771835552E-3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1723</v>
      </c>
      <c r="D57" s="2229" t="s">
        <v>2293</v>
      </c>
      <c r="E57" s="631" t="s">
        <v>561</v>
      </c>
      <c r="F57" s="632" t="s">
        <v>562</v>
      </c>
      <c r="G57" s="3412" t="s">
        <v>2281</v>
      </c>
      <c r="H57" s="3413"/>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34694</v>
      </c>
      <c r="C58" s="635">
        <v>1</v>
      </c>
      <c r="D58" s="2230">
        <v>1</v>
      </c>
      <c r="E58" s="635">
        <f>'数据-汇总表'!E8+'数据-汇总表'!E9</f>
        <v>108383.68999999999</v>
      </c>
      <c r="F58" s="636">
        <f t="shared" ref="F58:F67" si="15">ROUND(B58*E58/10000,0)</f>
        <v>376026</v>
      </c>
      <c r="G58" s="3414"/>
      <c r="H58" s="341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16"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1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1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1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39021.96</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2294</v>
      </c>
      <c r="E68" s="643">
        <f>IF(B48="楼面地价",SUM(E58:E67),'数据-汇总表'!D3)</f>
        <v>147405.65</v>
      </c>
      <c r="F68" s="644">
        <f>IF(B48="楼面地价",SUM(F58:F67),ROUND(C50*E68/10000,0))</f>
        <v>376026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2530</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2645</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2644</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576</v>
      </c>
      <c r="B77" s="665" t="s">
        <v>533</v>
      </c>
      <c r="C77" s="3188" t="s">
        <v>3170</v>
      </c>
      <c r="D77" s="3188" t="s">
        <v>3171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95</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0（含）-2</v>
      </c>
      <c r="D81" s="682" t="str">
        <f t="shared" ref="D81:L81" si="20">D82&amp;"（含）"&amp;"-"&amp;E82</f>
        <v>2（含）-4</v>
      </c>
      <c r="E81" s="682" t="str">
        <f t="shared" si="20"/>
        <v>4（含）-6</v>
      </c>
      <c r="F81" s="682" t="str">
        <f t="shared" si="20"/>
        <v>6（含）-8</v>
      </c>
      <c r="G81" s="682" t="str">
        <f t="shared" si="20"/>
        <v>8（含）-10</v>
      </c>
      <c r="H81" s="682" t="str">
        <f t="shared" si="20"/>
        <v>10（含）-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v>6</v>
      </c>
      <c r="G82" s="541">
        <v>8</v>
      </c>
      <c r="H82" s="541">
        <v>10</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2546</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2548</v>
      </c>
      <c r="C104" s="2600" t="s">
        <v>2549</v>
      </c>
      <c r="D104" s="2600" t="s">
        <v>2550</v>
      </c>
      <c r="E104" s="2600" t="s">
        <v>2551</v>
      </c>
      <c r="F104" s="2600" t="s">
        <v>2552</v>
      </c>
      <c r="G104" s="2600" t="s">
        <v>2553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189" t="s">
        <v>3172</v>
      </c>
      <c r="D108" s="3189" t="s">
        <v>3173</v>
      </c>
      <c r="E108" s="3189" t="s">
        <v>3174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150000(含)-200000</v>
      </c>
      <c r="I118" s="704" t="str">
        <f t="shared" si="25"/>
        <v>200000(含)-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v>200000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v>106</v>
      </c>
      <c r="G120" s="726">
        <v>108</v>
      </c>
      <c r="H120" s="726">
        <v>110</v>
      </c>
      <c r="I120" s="726">
        <v>112</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90" t="s">
        <v>3175</v>
      </c>
      <c r="D121" s="3190" t="s">
        <v>3176</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9" t="s">
        <v>3177</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3178</v>
      </c>
      <c r="D125" s="1376" t="s">
        <v>3179</v>
      </c>
      <c r="E125" s="1376" t="s">
        <v>3180</v>
      </c>
      <c r="F125" s="1376" t="s">
        <v>3181</v>
      </c>
      <c r="G125" s="1376" t="s">
        <v>3182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9" t="s">
        <v>3183</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1900</v>
      </c>
      <c r="B39" s="1655" t="s">
        <v>2047</v>
      </c>
    </row>
    <row r="40" spans="1:9">
      <c r="A40" s="1655"/>
      <c r="B40" s="1655">
        <f>项目基本情况!B5</f>
        <v>0</v>
      </c>
    </row>
    <row r="41" spans="1:9">
      <c r="A41" s="1655"/>
      <c r="B41" s="1655"/>
    </row>
    <row r="42" spans="1:9">
      <c r="A42" s="1655" t="s">
        <v>1900</v>
      </c>
      <c r="B42" s="1655" t="s">
        <v>2048</v>
      </c>
    </row>
    <row r="43" spans="1:9">
      <c r="A43" s="1655"/>
      <c r="B43" s="1655" t="s">
        <v>1902</v>
      </c>
    </row>
    <row r="44" spans="1:9">
      <c r="A44" s="1655"/>
      <c r="B44" s="1655"/>
    </row>
    <row r="45" spans="1:9">
      <c r="A45" s="1655" t="s">
        <v>1900</v>
      </c>
      <c r="B45" s="1655" t="s">
        <v>2046</v>
      </c>
    </row>
    <row r="46" spans="1:9" s="1655" customFormat="1" ht="12.75">
      <c r="B46" s="1655" t="str">
        <f>项目基本情况!K4</f>
        <v>土地估价师、土地估价师</v>
      </c>
    </row>
    <row r="47" spans="1:9">
      <c r="A47" s="1655"/>
      <c r="B47" s="1655"/>
    </row>
    <row r="48" spans="1:9">
      <c r="A48" s="1655" t="s">
        <v>1900</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abSelected="1" topLeftCell="A190" workbookViewId="0">
      <selection activeCell="G191" sqref="G191"/>
    </sheetView>
  </sheetViews>
  <sheetFormatPr defaultRowHeight="12.75"/>
  <cols>
    <col min="1" max="1" width="38" style="3185" customWidth="1"/>
    <col min="2" max="2" width="6.25" style="3185" customWidth="1"/>
    <col min="3" max="5" width="13.875" style="3185" customWidth="1"/>
    <col min="6" max="6" width="10.375" style="3185" customWidth="1"/>
    <col min="7" max="7" width="7.875" style="3185" customWidth="1"/>
    <col min="8" max="8" width="9" style="3185" customWidth="1"/>
    <col min="9" max="9" width="10.625" style="3185" hidden="1" customWidth="1"/>
    <col min="10" max="10" width="6.5" style="3185" customWidth="1"/>
    <col min="11" max="11" width="7.25" style="3185" customWidth="1"/>
    <col min="12" max="12" width="9.375" style="3185" customWidth="1"/>
    <col min="13" max="13" width="6.25" style="3185" customWidth="1"/>
    <col min="14" max="14" width="61.125" style="3185" customWidth="1"/>
    <col min="15" max="256" width="9" style="3185"/>
    <col min="257" max="257" width="38" style="3185" customWidth="1"/>
    <col min="258" max="258" width="6.25" style="3185" customWidth="1"/>
    <col min="259" max="261" width="13.875" style="3185" customWidth="1"/>
    <col min="262" max="262" width="10.375" style="3185" customWidth="1"/>
    <col min="263" max="263" width="7.875" style="3185" customWidth="1"/>
    <col min="264" max="264" width="9" style="3185" customWidth="1"/>
    <col min="265" max="265" width="0" style="3185" hidden="1" customWidth="1"/>
    <col min="266" max="266" width="6.5" style="3185" customWidth="1"/>
    <col min="267" max="267" width="7.25" style="3185" customWidth="1"/>
    <col min="268" max="268" width="9.375" style="3185" customWidth="1"/>
    <col min="269" max="269" width="6.25" style="3185" customWidth="1"/>
    <col min="270" max="270" width="61.125" style="3185" customWidth="1"/>
    <col min="271" max="512" width="9" style="3185"/>
    <col min="513" max="513" width="38" style="3185" customWidth="1"/>
    <col min="514" max="514" width="6.25" style="3185" customWidth="1"/>
    <col min="515" max="517" width="13.875" style="3185" customWidth="1"/>
    <col min="518" max="518" width="10.375" style="3185" customWidth="1"/>
    <col min="519" max="519" width="7.875" style="3185" customWidth="1"/>
    <col min="520" max="520" width="9" style="3185" customWidth="1"/>
    <col min="521" max="521" width="0" style="3185" hidden="1" customWidth="1"/>
    <col min="522" max="522" width="6.5" style="3185" customWidth="1"/>
    <col min="523" max="523" width="7.25" style="3185" customWidth="1"/>
    <col min="524" max="524" width="9.375" style="3185" customWidth="1"/>
    <col min="525" max="525" width="6.25" style="3185" customWidth="1"/>
    <col min="526" max="526" width="61.125" style="3185" customWidth="1"/>
    <col min="527" max="768" width="9" style="3185"/>
    <col min="769" max="769" width="38" style="3185" customWidth="1"/>
    <col min="770" max="770" width="6.25" style="3185" customWidth="1"/>
    <col min="771" max="773" width="13.875" style="3185" customWidth="1"/>
    <col min="774" max="774" width="10.375" style="3185" customWidth="1"/>
    <col min="775" max="775" width="7.875" style="3185" customWidth="1"/>
    <col min="776" max="776" width="9" style="3185" customWidth="1"/>
    <col min="777" max="777" width="0" style="3185" hidden="1" customWidth="1"/>
    <col min="778" max="778" width="6.5" style="3185" customWidth="1"/>
    <col min="779" max="779" width="7.25" style="3185" customWidth="1"/>
    <col min="780" max="780" width="9.375" style="3185" customWidth="1"/>
    <col min="781" max="781" width="6.25" style="3185" customWidth="1"/>
    <col min="782" max="782" width="61.125" style="3185" customWidth="1"/>
    <col min="783" max="1024" width="9" style="3185"/>
    <col min="1025" max="1025" width="38" style="3185" customWidth="1"/>
    <col min="1026" max="1026" width="6.25" style="3185" customWidth="1"/>
    <col min="1027" max="1029" width="13.875" style="3185" customWidth="1"/>
    <col min="1030" max="1030" width="10.375" style="3185" customWidth="1"/>
    <col min="1031" max="1031" width="7.875" style="3185" customWidth="1"/>
    <col min="1032" max="1032" width="9" style="3185" customWidth="1"/>
    <col min="1033" max="1033" width="0" style="3185" hidden="1" customWidth="1"/>
    <col min="1034" max="1034" width="6.5" style="3185" customWidth="1"/>
    <col min="1035" max="1035" width="7.25" style="3185" customWidth="1"/>
    <col min="1036" max="1036" width="9.375" style="3185" customWidth="1"/>
    <col min="1037" max="1037" width="6.25" style="3185" customWidth="1"/>
    <col min="1038" max="1038" width="61.125" style="3185" customWidth="1"/>
    <col min="1039" max="1280" width="9" style="3185"/>
    <col min="1281" max="1281" width="38" style="3185" customWidth="1"/>
    <col min="1282" max="1282" width="6.25" style="3185" customWidth="1"/>
    <col min="1283" max="1285" width="13.875" style="3185" customWidth="1"/>
    <col min="1286" max="1286" width="10.375" style="3185" customWidth="1"/>
    <col min="1287" max="1287" width="7.875" style="3185" customWidth="1"/>
    <col min="1288" max="1288" width="9" style="3185" customWidth="1"/>
    <col min="1289" max="1289" width="0" style="3185" hidden="1" customWidth="1"/>
    <col min="1290" max="1290" width="6.5" style="3185" customWidth="1"/>
    <col min="1291" max="1291" width="7.25" style="3185" customWidth="1"/>
    <col min="1292" max="1292" width="9.375" style="3185" customWidth="1"/>
    <col min="1293" max="1293" width="6.25" style="3185" customWidth="1"/>
    <col min="1294" max="1294" width="61.125" style="3185" customWidth="1"/>
    <col min="1295" max="1536" width="9" style="3185"/>
    <col min="1537" max="1537" width="38" style="3185" customWidth="1"/>
    <col min="1538" max="1538" width="6.25" style="3185" customWidth="1"/>
    <col min="1539" max="1541" width="13.875" style="3185" customWidth="1"/>
    <col min="1542" max="1542" width="10.375" style="3185" customWidth="1"/>
    <col min="1543" max="1543" width="7.875" style="3185" customWidth="1"/>
    <col min="1544" max="1544" width="9" style="3185" customWidth="1"/>
    <col min="1545" max="1545" width="0" style="3185" hidden="1" customWidth="1"/>
    <col min="1546" max="1546" width="6.5" style="3185" customWidth="1"/>
    <col min="1547" max="1547" width="7.25" style="3185" customWidth="1"/>
    <col min="1548" max="1548" width="9.375" style="3185" customWidth="1"/>
    <col min="1549" max="1549" width="6.25" style="3185" customWidth="1"/>
    <col min="1550" max="1550" width="61.125" style="3185" customWidth="1"/>
    <col min="1551" max="1792" width="9" style="3185"/>
    <col min="1793" max="1793" width="38" style="3185" customWidth="1"/>
    <col min="1794" max="1794" width="6.25" style="3185" customWidth="1"/>
    <col min="1795" max="1797" width="13.875" style="3185" customWidth="1"/>
    <col min="1798" max="1798" width="10.375" style="3185" customWidth="1"/>
    <col min="1799" max="1799" width="7.875" style="3185" customWidth="1"/>
    <col min="1800" max="1800" width="9" style="3185" customWidth="1"/>
    <col min="1801" max="1801" width="0" style="3185" hidden="1" customWidth="1"/>
    <col min="1802" max="1802" width="6.5" style="3185" customWidth="1"/>
    <col min="1803" max="1803" width="7.25" style="3185" customWidth="1"/>
    <col min="1804" max="1804" width="9.375" style="3185" customWidth="1"/>
    <col min="1805" max="1805" width="6.25" style="3185" customWidth="1"/>
    <col min="1806" max="1806" width="61.125" style="3185" customWidth="1"/>
    <col min="1807" max="2048" width="9" style="3185"/>
    <col min="2049" max="2049" width="38" style="3185" customWidth="1"/>
    <col min="2050" max="2050" width="6.25" style="3185" customWidth="1"/>
    <col min="2051" max="2053" width="13.875" style="3185" customWidth="1"/>
    <col min="2054" max="2054" width="10.375" style="3185" customWidth="1"/>
    <col min="2055" max="2055" width="7.875" style="3185" customWidth="1"/>
    <col min="2056" max="2056" width="9" style="3185" customWidth="1"/>
    <col min="2057" max="2057" width="0" style="3185" hidden="1" customWidth="1"/>
    <col min="2058" max="2058" width="6.5" style="3185" customWidth="1"/>
    <col min="2059" max="2059" width="7.25" style="3185" customWidth="1"/>
    <col min="2060" max="2060" width="9.375" style="3185" customWidth="1"/>
    <col min="2061" max="2061" width="6.25" style="3185" customWidth="1"/>
    <col min="2062" max="2062" width="61.125" style="3185" customWidth="1"/>
    <col min="2063" max="2304" width="9" style="3185"/>
    <col min="2305" max="2305" width="38" style="3185" customWidth="1"/>
    <col min="2306" max="2306" width="6.25" style="3185" customWidth="1"/>
    <col min="2307" max="2309" width="13.875" style="3185" customWidth="1"/>
    <col min="2310" max="2310" width="10.375" style="3185" customWidth="1"/>
    <col min="2311" max="2311" width="7.875" style="3185" customWidth="1"/>
    <col min="2312" max="2312" width="9" style="3185" customWidth="1"/>
    <col min="2313" max="2313" width="0" style="3185" hidden="1" customWidth="1"/>
    <col min="2314" max="2314" width="6.5" style="3185" customWidth="1"/>
    <col min="2315" max="2315" width="7.25" style="3185" customWidth="1"/>
    <col min="2316" max="2316" width="9.375" style="3185" customWidth="1"/>
    <col min="2317" max="2317" width="6.25" style="3185" customWidth="1"/>
    <col min="2318" max="2318" width="61.125" style="3185" customWidth="1"/>
    <col min="2319" max="2560" width="9" style="3185"/>
    <col min="2561" max="2561" width="38" style="3185" customWidth="1"/>
    <col min="2562" max="2562" width="6.25" style="3185" customWidth="1"/>
    <col min="2563" max="2565" width="13.875" style="3185" customWidth="1"/>
    <col min="2566" max="2566" width="10.375" style="3185" customWidth="1"/>
    <col min="2567" max="2567" width="7.875" style="3185" customWidth="1"/>
    <col min="2568" max="2568" width="9" style="3185" customWidth="1"/>
    <col min="2569" max="2569" width="0" style="3185" hidden="1" customWidth="1"/>
    <col min="2570" max="2570" width="6.5" style="3185" customWidth="1"/>
    <col min="2571" max="2571" width="7.25" style="3185" customWidth="1"/>
    <col min="2572" max="2572" width="9.375" style="3185" customWidth="1"/>
    <col min="2573" max="2573" width="6.25" style="3185" customWidth="1"/>
    <col min="2574" max="2574" width="61.125" style="3185" customWidth="1"/>
    <col min="2575" max="2816" width="9" style="3185"/>
    <col min="2817" max="2817" width="38" style="3185" customWidth="1"/>
    <col min="2818" max="2818" width="6.25" style="3185" customWidth="1"/>
    <col min="2819" max="2821" width="13.875" style="3185" customWidth="1"/>
    <col min="2822" max="2822" width="10.375" style="3185" customWidth="1"/>
    <col min="2823" max="2823" width="7.875" style="3185" customWidth="1"/>
    <col min="2824" max="2824" width="9" style="3185" customWidth="1"/>
    <col min="2825" max="2825" width="0" style="3185" hidden="1" customWidth="1"/>
    <col min="2826" max="2826" width="6.5" style="3185" customWidth="1"/>
    <col min="2827" max="2827" width="7.25" style="3185" customWidth="1"/>
    <col min="2828" max="2828" width="9.375" style="3185" customWidth="1"/>
    <col min="2829" max="2829" width="6.25" style="3185" customWidth="1"/>
    <col min="2830" max="2830" width="61.125" style="3185" customWidth="1"/>
    <col min="2831" max="3072" width="9" style="3185"/>
    <col min="3073" max="3073" width="38" style="3185" customWidth="1"/>
    <col min="3074" max="3074" width="6.25" style="3185" customWidth="1"/>
    <col min="3075" max="3077" width="13.875" style="3185" customWidth="1"/>
    <col min="3078" max="3078" width="10.375" style="3185" customWidth="1"/>
    <col min="3079" max="3079" width="7.875" style="3185" customWidth="1"/>
    <col min="3080" max="3080" width="9" style="3185" customWidth="1"/>
    <col min="3081" max="3081" width="0" style="3185" hidden="1" customWidth="1"/>
    <col min="3082" max="3082" width="6.5" style="3185" customWidth="1"/>
    <col min="3083" max="3083" width="7.25" style="3185" customWidth="1"/>
    <col min="3084" max="3084" width="9.375" style="3185" customWidth="1"/>
    <col min="3085" max="3085" width="6.25" style="3185" customWidth="1"/>
    <col min="3086" max="3086" width="61.125" style="3185" customWidth="1"/>
    <col min="3087" max="3328" width="9" style="3185"/>
    <col min="3329" max="3329" width="38" style="3185" customWidth="1"/>
    <col min="3330" max="3330" width="6.25" style="3185" customWidth="1"/>
    <col min="3331" max="3333" width="13.875" style="3185" customWidth="1"/>
    <col min="3334" max="3334" width="10.375" style="3185" customWidth="1"/>
    <col min="3335" max="3335" width="7.875" style="3185" customWidth="1"/>
    <col min="3336" max="3336" width="9" style="3185" customWidth="1"/>
    <col min="3337" max="3337" width="0" style="3185" hidden="1" customWidth="1"/>
    <col min="3338" max="3338" width="6.5" style="3185" customWidth="1"/>
    <col min="3339" max="3339" width="7.25" style="3185" customWidth="1"/>
    <col min="3340" max="3340" width="9.375" style="3185" customWidth="1"/>
    <col min="3341" max="3341" width="6.25" style="3185" customWidth="1"/>
    <col min="3342" max="3342" width="61.125" style="3185" customWidth="1"/>
    <col min="3343" max="3584" width="9" style="3185"/>
    <col min="3585" max="3585" width="38" style="3185" customWidth="1"/>
    <col min="3586" max="3586" width="6.25" style="3185" customWidth="1"/>
    <col min="3587" max="3589" width="13.875" style="3185" customWidth="1"/>
    <col min="3590" max="3590" width="10.375" style="3185" customWidth="1"/>
    <col min="3591" max="3591" width="7.875" style="3185" customWidth="1"/>
    <col min="3592" max="3592" width="9" style="3185" customWidth="1"/>
    <col min="3593" max="3593" width="0" style="3185" hidden="1" customWidth="1"/>
    <col min="3594" max="3594" width="6.5" style="3185" customWidth="1"/>
    <col min="3595" max="3595" width="7.25" style="3185" customWidth="1"/>
    <col min="3596" max="3596" width="9.375" style="3185" customWidth="1"/>
    <col min="3597" max="3597" width="6.25" style="3185" customWidth="1"/>
    <col min="3598" max="3598" width="61.125" style="3185" customWidth="1"/>
    <col min="3599" max="3840" width="9" style="3185"/>
    <col min="3841" max="3841" width="38" style="3185" customWidth="1"/>
    <col min="3842" max="3842" width="6.25" style="3185" customWidth="1"/>
    <col min="3843" max="3845" width="13.875" style="3185" customWidth="1"/>
    <col min="3846" max="3846" width="10.375" style="3185" customWidth="1"/>
    <col min="3847" max="3847" width="7.875" style="3185" customWidth="1"/>
    <col min="3848" max="3848" width="9" style="3185" customWidth="1"/>
    <col min="3849" max="3849" width="0" style="3185" hidden="1" customWidth="1"/>
    <col min="3850" max="3850" width="6.5" style="3185" customWidth="1"/>
    <col min="3851" max="3851" width="7.25" style="3185" customWidth="1"/>
    <col min="3852" max="3852" width="9.375" style="3185" customWidth="1"/>
    <col min="3853" max="3853" width="6.25" style="3185" customWidth="1"/>
    <col min="3854" max="3854" width="61.125" style="3185" customWidth="1"/>
    <col min="3855" max="4096" width="9" style="3185"/>
    <col min="4097" max="4097" width="38" style="3185" customWidth="1"/>
    <col min="4098" max="4098" width="6.25" style="3185" customWidth="1"/>
    <col min="4099" max="4101" width="13.875" style="3185" customWidth="1"/>
    <col min="4102" max="4102" width="10.375" style="3185" customWidth="1"/>
    <col min="4103" max="4103" width="7.875" style="3185" customWidth="1"/>
    <col min="4104" max="4104" width="9" style="3185" customWidth="1"/>
    <col min="4105" max="4105" width="0" style="3185" hidden="1" customWidth="1"/>
    <col min="4106" max="4106" width="6.5" style="3185" customWidth="1"/>
    <col min="4107" max="4107" width="7.25" style="3185" customWidth="1"/>
    <col min="4108" max="4108" width="9.375" style="3185" customWidth="1"/>
    <col min="4109" max="4109" width="6.25" style="3185" customWidth="1"/>
    <col min="4110" max="4110" width="61.125" style="3185" customWidth="1"/>
    <col min="4111" max="4352" width="9" style="3185"/>
    <col min="4353" max="4353" width="38" style="3185" customWidth="1"/>
    <col min="4354" max="4354" width="6.25" style="3185" customWidth="1"/>
    <col min="4355" max="4357" width="13.875" style="3185" customWidth="1"/>
    <col min="4358" max="4358" width="10.375" style="3185" customWidth="1"/>
    <col min="4359" max="4359" width="7.875" style="3185" customWidth="1"/>
    <col min="4360" max="4360" width="9" style="3185" customWidth="1"/>
    <col min="4361" max="4361" width="0" style="3185" hidden="1" customWidth="1"/>
    <col min="4362" max="4362" width="6.5" style="3185" customWidth="1"/>
    <col min="4363" max="4363" width="7.25" style="3185" customWidth="1"/>
    <col min="4364" max="4364" width="9.375" style="3185" customWidth="1"/>
    <col min="4365" max="4365" width="6.25" style="3185" customWidth="1"/>
    <col min="4366" max="4366" width="61.125" style="3185" customWidth="1"/>
    <col min="4367" max="4608" width="9" style="3185"/>
    <col min="4609" max="4609" width="38" style="3185" customWidth="1"/>
    <col min="4610" max="4610" width="6.25" style="3185" customWidth="1"/>
    <col min="4611" max="4613" width="13.875" style="3185" customWidth="1"/>
    <col min="4614" max="4614" width="10.375" style="3185" customWidth="1"/>
    <col min="4615" max="4615" width="7.875" style="3185" customWidth="1"/>
    <col min="4616" max="4616" width="9" style="3185" customWidth="1"/>
    <col min="4617" max="4617" width="0" style="3185" hidden="1" customWidth="1"/>
    <col min="4618" max="4618" width="6.5" style="3185" customWidth="1"/>
    <col min="4619" max="4619" width="7.25" style="3185" customWidth="1"/>
    <col min="4620" max="4620" width="9.375" style="3185" customWidth="1"/>
    <col min="4621" max="4621" width="6.25" style="3185" customWidth="1"/>
    <col min="4622" max="4622" width="61.125" style="3185" customWidth="1"/>
    <col min="4623" max="4864" width="9" style="3185"/>
    <col min="4865" max="4865" width="38" style="3185" customWidth="1"/>
    <col min="4866" max="4866" width="6.25" style="3185" customWidth="1"/>
    <col min="4867" max="4869" width="13.875" style="3185" customWidth="1"/>
    <col min="4870" max="4870" width="10.375" style="3185" customWidth="1"/>
    <col min="4871" max="4871" width="7.875" style="3185" customWidth="1"/>
    <col min="4872" max="4872" width="9" style="3185" customWidth="1"/>
    <col min="4873" max="4873" width="0" style="3185" hidden="1" customWidth="1"/>
    <col min="4874" max="4874" width="6.5" style="3185" customWidth="1"/>
    <col min="4875" max="4875" width="7.25" style="3185" customWidth="1"/>
    <col min="4876" max="4876" width="9.375" style="3185" customWidth="1"/>
    <col min="4877" max="4877" width="6.25" style="3185" customWidth="1"/>
    <col min="4878" max="4878" width="61.125" style="3185" customWidth="1"/>
    <col min="4879" max="5120" width="9" style="3185"/>
    <col min="5121" max="5121" width="38" style="3185" customWidth="1"/>
    <col min="5122" max="5122" width="6.25" style="3185" customWidth="1"/>
    <col min="5123" max="5125" width="13.875" style="3185" customWidth="1"/>
    <col min="5126" max="5126" width="10.375" style="3185" customWidth="1"/>
    <col min="5127" max="5127" width="7.875" style="3185" customWidth="1"/>
    <col min="5128" max="5128" width="9" style="3185" customWidth="1"/>
    <col min="5129" max="5129" width="0" style="3185" hidden="1" customWidth="1"/>
    <col min="5130" max="5130" width="6.5" style="3185" customWidth="1"/>
    <col min="5131" max="5131" width="7.25" style="3185" customWidth="1"/>
    <col min="5132" max="5132" width="9.375" style="3185" customWidth="1"/>
    <col min="5133" max="5133" width="6.25" style="3185" customWidth="1"/>
    <col min="5134" max="5134" width="61.125" style="3185" customWidth="1"/>
    <col min="5135" max="5376" width="9" style="3185"/>
    <col min="5377" max="5377" width="38" style="3185" customWidth="1"/>
    <col min="5378" max="5378" width="6.25" style="3185" customWidth="1"/>
    <col min="5379" max="5381" width="13.875" style="3185" customWidth="1"/>
    <col min="5382" max="5382" width="10.375" style="3185" customWidth="1"/>
    <col min="5383" max="5383" width="7.875" style="3185" customWidth="1"/>
    <col min="5384" max="5384" width="9" style="3185" customWidth="1"/>
    <col min="5385" max="5385" width="0" style="3185" hidden="1" customWidth="1"/>
    <col min="5386" max="5386" width="6.5" style="3185" customWidth="1"/>
    <col min="5387" max="5387" width="7.25" style="3185" customWidth="1"/>
    <col min="5388" max="5388" width="9.375" style="3185" customWidth="1"/>
    <col min="5389" max="5389" width="6.25" style="3185" customWidth="1"/>
    <col min="5390" max="5390" width="61.125" style="3185" customWidth="1"/>
    <col min="5391" max="5632" width="9" style="3185"/>
    <col min="5633" max="5633" width="38" style="3185" customWidth="1"/>
    <col min="5634" max="5634" width="6.25" style="3185" customWidth="1"/>
    <col min="5635" max="5637" width="13.875" style="3185" customWidth="1"/>
    <col min="5638" max="5638" width="10.375" style="3185" customWidth="1"/>
    <col min="5639" max="5639" width="7.875" style="3185" customWidth="1"/>
    <col min="5640" max="5640" width="9" style="3185" customWidth="1"/>
    <col min="5641" max="5641" width="0" style="3185" hidden="1" customWidth="1"/>
    <col min="5642" max="5642" width="6.5" style="3185" customWidth="1"/>
    <col min="5643" max="5643" width="7.25" style="3185" customWidth="1"/>
    <col min="5644" max="5644" width="9.375" style="3185" customWidth="1"/>
    <col min="5645" max="5645" width="6.25" style="3185" customWidth="1"/>
    <col min="5646" max="5646" width="61.125" style="3185" customWidth="1"/>
    <col min="5647" max="5888" width="9" style="3185"/>
    <col min="5889" max="5889" width="38" style="3185" customWidth="1"/>
    <col min="5890" max="5890" width="6.25" style="3185" customWidth="1"/>
    <col min="5891" max="5893" width="13.875" style="3185" customWidth="1"/>
    <col min="5894" max="5894" width="10.375" style="3185" customWidth="1"/>
    <col min="5895" max="5895" width="7.875" style="3185" customWidth="1"/>
    <col min="5896" max="5896" width="9" style="3185" customWidth="1"/>
    <col min="5897" max="5897" width="0" style="3185" hidden="1" customWidth="1"/>
    <col min="5898" max="5898" width="6.5" style="3185" customWidth="1"/>
    <col min="5899" max="5899" width="7.25" style="3185" customWidth="1"/>
    <col min="5900" max="5900" width="9.375" style="3185" customWidth="1"/>
    <col min="5901" max="5901" width="6.25" style="3185" customWidth="1"/>
    <col min="5902" max="5902" width="61.125" style="3185" customWidth="1"/>
    <col min="5903" max="6144" width="9" style="3185"/>
    <col min="6145" max="6145" width="38" style="3185" customWidth="1"/>
    <col min="6146" max="6146" width="6.25" style="3185" customWidth="1"/>
    <col min="6147" max="6149" width="13.875" style="3185" customWidth="1"/>
    <col min="6150" max="6150" width="10.375" style="3185" customWidth="1"/>
    <col min="6151" max="6151" width="7.875" style="3185" customWidth="1"/>
    <col min="6152" max="6152" width="9" style="3185" customWidth="1"/>
    <col min="6153" max="6153" width="0" style="3185" hidden="1" customWidth="1"/>
    <col min="6154" max="6154" width="6.5" style="3185" customWidth="1"/>
    <col min="6155" max="6155" width="7.25" style="3185" customWidth="1"/>
    <col min="6156" max="6156" width="9.375" style="3185" customWidth="1"/>
    <col min="6157" max="6157" width="6.25" style="3185" customWidth="1"/>
    <col min="6158" max="6158" width="61.125" style="3185" customWidth="1"/>
    <col min="6159" max="6400" width="9" style="3185"/>
    <col min="6401" max="6401" width="38" style="3185" customWidth="1"/>
    <col min="6402" max="6402" width="6.25" style="3185" customWidth="1"/>
    <col min="6403" max="6405" width="13.875" style="3185" customWidth="1"/>
    <col min="6406" max="6406" width="10.375" style="3185" customWidth="1"/>
    <col min="6407" max="6407" width="7.875" style="3185" customWidth="1"/>
    <col min="6408" max="6408" width="9" style="3185" customWidth="1"/>
    <col min="6409" max="6409" width="0" style="3185" hidden="1" customWidth="1"/>
    <col min="6410" max="6410" width="6.5" style="3185" customWidth="1"/>
    <col min="6411" max="6411" width="7.25" style="3185" customWidth="1"/>
    <col min="6412" max="6412" width="9.375" style="3185" customWidth="1"/>
    <col min="6413" max="6413" width="6.25" style="3185" customWidth="1"/>
    <col min="6414" max="6414" width="61.125" style="3185" customWidth="1"/>
    <col min="6415" max="6656" width="9" style="3185"/>
    <col min="6657" max="6657" width="38" style="3185" customWidth="1"/>
    <col min="6658" max="6658" width="6.25" style="3185" customWidth="1"/>
    <col min="6659" max="6661" width="13.875" style="3185" customWidth="1"/>
    <col min="6662" max="6662" width="10.375" style="3185" customWidth="1"/>
    <col min="6663" max="6663" width="7.875" style="3185" customWidth="1"/>
    <col min="6664" max="6664" width="9" style="3185" customWidth="1"/>
    <col min="6665" max="6665" width="0" style="3185" hidden="1" customWidth="1"/>
    <col min="6666" max="6666" width="6.5" style="3185" customWidth="1"/>
    <col min="6667" max="6667" width="7.25" style="3185" customWidth="1"/>
    <col min="6668" max="6668" width="9.375" style="3185" customWidth="1"/>
    <col min="6669" max="6669" width="6.25" style="3185" customWidth="1"/>
    <col min="6670" max="6670" width="61.125" style="3185" customWidth="1"/>
    <col min="6671" max="6912" width="9" style="3185"/>
    <col min="6913" max="6913" width="38" style="3185" customWidth="1"/>
    <col min="6914" max="6914" width="6.25" style="3185" customWidth="1"/>
    <col min="6915" max="6917" width="13.875" style="3185" customWidth="1"/>
    <col min="6918" max="6918" width="10.375" style="3185" customWidth="1"/>
    <col min="6919" max="6919" width="7.875" style="3185" customWidth="1"/>
    <col min="6920" max="6920" width="9" style="3185" customWidth="1"/>
    <col min="6921" max="6921" width="0" style="3185" hidden="1" customWidth="1"/>
    <col min="6922" max="6922" width="6.5" style="3185" customWidth="1"/>
    <col min="6923" max="6923" width="7.25" style="3185" customWidth="1"/>
    <col min="6924" max="6924" width="9.375" style="3185" customWidth="1"/>
    <col min="6925" max="6925" width="6.25" style="3185" customWidth="1"/>
    <col min="6926" max="6926" width="61.125" style="3185" customWidth="1"/>
    <col min="6927" max="7168" width="9" style="3185"/>
    <col min="7169" max="7169" width="38" style="3185" customWidth="1"/>
    <col min="7170" max="7170" width="6.25" style="3185" customWidth="1"/>
    <col min="7171" max="7173" width="13.875" style="3185" customWidth="1"/>
    <col min="7174" max="7174" width="10.375" style="3185" customWidth="1"/>
    <col min="7175" max="7175" width="7.875" style="3185" customWidth="1"/>
    <col min="7176" max="7176" width="9" style="3185" customWidth="1"/>
    <col min="7177" max="7177" width="0" style="3185" hidden="1" customWidth="1"/>
    <col min="7178" max="7178" width="6.5" style="3185" customWidth="1"/>
    <col min="7179" max="7179" width="7.25" style="3185" customWidth="1"/>
    <col min="7180" max="7180" width="9.375" style="3185" customWidth="1"/>
    <col min="7181" max="7181" width="6.25" style="3185" customWidth="1"/>
    <col min="7182" max="7182" width="61.125" style="3185" customWidth="1"/>
    <col min="7183" max="7424" width="9" style="3185"/>
    <col min="7425" max="7425" width="38" style="3185" customWidth="1"/>
    <col min="7426" max="7426" width="6.25" style="3185" customWidth="1"/>
    <col min="7427" max="7429" width="13.875" style="3185" customWidth="1"/>
    <col min="7430" max="7430" width="10.375" style="3185" customWidth="1"/>
    <col min="7431" max="7431" width="7.875" style="3185" customWidth="1"/>
    <col min="7432" max="7432" width="9" style="3185" customWidth="1"/>
    <col min="7433" max="7433" width="0" style="3185" hidden="1" customWidth="1"/>
    <col min="7434" max="7434" width="6.5" style="3185" customWidth="1"/>
    <col min="7435" max="7435" width="7.25" style="3185" customWidth="1"/>
    <col min="7436" max="7436" width="9.375" style="3185" customWidth="1"/>
    <col min="7437" max="7437" width="6.25" style="3185" customWidth="1"/>
    <col min="7438" max="7438" width="61.125" style="3185" customWidth="1"/>
    <col min="7439" max="7680" width="9" style="3185"/>
    <col min="7681" max="7681" width="38" style="3185" customWidth="1"/>
    <col min="7682" max="7682" width="6.25" style="3185" customWidth="1"/>
    <col min="7683" max="7685" width="13.875" style="3185" customWidth="1"/>
    <col min="7686" max="7686" width="10.375" style="3185" customWidth="1"/>
    <col min="7687" max="7687" width="7.875" style="3185" customWidth="1"/>
    <col min="7688" max="7688" width="9" style="3185" customWidth="1"/>
    <col min="7689" max="7689" width="0" style="3185" hidden="1" customWidth="1"/>
    <col min="7690" max="7690" width="6.5" style="3185" customWidth="1"/>
    <col min="7691" max="7691" width="7.25" style="3185" customWidth="1"/>
    <col min="7692" max="7692" width="9.375" style="3185" customWidth="1"/>
    <col min="7693" max="7693" width="6.25" style="3185" customWidth="1"/>
    <col min="7694" max="7694" width="61.125" style="3185" customWidth="1"/>
    <col min="7695" max="7936" width="9" style="3185"/>
    <col min="7937" max="7937" width="38" style="3185" customWidth="1"/>
    <col min="7938" max="7938" width="6.25" style="3185" customWidth="1"/>
    <col min="7939" max="7941" width="13.875" style="3185" customWidth="1"/>
    <col min="7942" max="7942" width="10.375" style="3185" customWidth="1"/>
    <col min="7943" max="7943" width="7.875" style="3185" customWidth="1"/>
    <col min="7944" max="7944" width="9" style="3185" customWidth="1"/>
    <col min="7945" max="7945" width="0" style="3185" hidden="1" customWidth="1"/>
    <col min="7946" max="7946" width="6.5" style="3185" customWidth="1"/>
    <col min="7947" max="7947" width="7.25" style="3185" customWidth="1"/>
    <col min="7948" max="7948" width="9.375" style="3185" customWidth="1"/>
    <col min="7949" max="7949" width="6.25" style="3185" customWidth="1"/>
    <col min="7950" max="7950" width="61.125" style="3185" customWidth="1"/>
    <col min="7951" max="8192" width="9" style="3185"/>
    <col min="8193" max="8193" width="38" style="3185" customWidth="1"/>
    <col min="8194" max="8194" width="6.25" style="3185" customWidth="1"/>
    <col min="8195" max="8197" width="13.875" style="3185" customWidth="1"/>
    <col min="8198" max="8198" width="10.375" style="3185" customWidth="1"/>
    <col min="8199" max="8199" width="7.875" style="3185" customWidth="1"/>
    <col min="8200" max="8200" width="9" style="3185" customWidth="1"/>
    <col min="8201" max="8201" width="0" style="3185" hidden="1" customWidth="1"/>
    <col min="8202" max="8202" width="6.5" style="3185" customWidth="1"/>
    <col min="8203" max="8203" width="7.25" style="3185" customWidth="1"/>
    <col min="8204" max="8204" width="9.375" style="3185" customWidth="1"/>
    <col min="8205" max="8205" width="6.25" style="3185" customWidth="1"/>
    <col min="8206" max="8206" width="61.125" style="3185" customWidth="1"/>
    <col min="8207" max="8448" width="9" style="3185"/>
    <col min="8449" max="8449" width="38" style="3185" customWidth="1"/>
    <col min="8450" max="8450" width="6.25" style="3185" customWidth="1"/>
    <col min="8451" max="8453" width="13.875" style="3185" customWidth="1"/>
    <col min="8454" max="8454" width="10.375" style="3185" customWidth="1"/>
    <col min="8455" max="8455" width="7.875" style="3185" customWidth="1"/>
    <col min="8456" max="8456" width="9" style="3185" customWidth="1"/>
    <col min="8457" max="8457" width="0" style="3185" hidden="1" customWidth="1"/>
    <col min="8458" max="8458" width="6.5" style="3185" customWidth="1"/>
    <col min="8459" max="8459" width="7.25" style="3185" customWidth="1"/>
    <col min="8460" max="8460" width="9.375" style="3185" customWidth="1"/>
    <col min="8461" max="8461" width="6.25" style="3185" customWidth="1"/>
    <col min="8462" max="8462" width="61.125" style="3185" customWidth="1"/>
    <col min="8463" max="8704" width="9" style="3185"/>
    <col min="8705" max="8705" width="38" style="3185" customWidth="1"/>
    <col min="8706" max="8706" width="6.25" style="3185" customWidth="1"/>
    <col min="8707" max="8709" width="13.875" style="3185" customWidth="1"/>
    <col min="8710" max="8710" width="10.375" style="3185" customWidth="1"/>
    <col min="8711" max="8711" width="7.875" style="3185" customWidth="1"/>
    <col min="8712" max="8712" width="9" style="3185" customWidth="1"/>
    <col min="8713" max="8713" width="0" style="3185" hidden="1" customWidth="1"/>
    <col min="8714" max="8714" width="6.5" style="3185" customWidth="1"/>
    <col min="8715" max="8715" width="7.25" style="3185" customWidth="1"/>
    <col min="8716" max="8716" width="9.375" style="3185" customWidth="1"/>
    <col min="8717" max="8717" width="6.25" style="3185" customWidth="1"/>
    <col min="8718" max="8718" width="61.125" style="3185" customWidth="1"/>
    <col min="8719" max="8960" width="9" style="3185"/>
    <col min="8961" max="8961" width="38" style="3185" customWidth="1"/>
    <col min="8962" max="8962" width="6.25" style="3185" customWidth="1"/>
    <col min="8963" max="8965" width="13.875" style="3185" customWidth="1"/>
    <col min="8966" max="8966" width="10.375" style="3185" customWidth="1"/>
    <col min="8967" max="8967" width="7.875" style="3185" customWidth="1"/>
    <col min="8968" max="8968" width="9" style="3185" customWidth="1"/>
    <col min="8969" max="8969" width="0" style="3185" hidden="1" customWidth="1"/>
    <col min="8970" max="8970" width="6.5" style="3185" customWidth="1"/>
    <col min="8971" max="8971" width="7.25" style="3185" customWidth="1"/>
    <col min="8972" max="8972" width="9.375" style="3185" customWidth="1"/>
    <col min="8973" max="8973" width="6.25" style="3185" customWidth="1"/>
    <col min="8974" max="8974" width="61.125" style="3185" customWidth="1"/>
    <col min="8975" max="9216" width="9" style="3185"/>
    <col min="9217" max="9217" width="38" style="3185" customWidth="1"/>
    <col min="9218" max="9218" width="6.25" style="3185" customWidth="1"/>
    <col min="9219" max="9221" width="13.875" style="3185" customWidth="1"/>
    <col min="9222" max="9222" width="10.375" style="3185" customWidth="1"/>
    <col min="9223" max="9223" width="7.875" style="3185" customWidth="1"/>
    <col min="9224" max="9224" width="9" style="3185" customWidth="1"/>
    <col min="9225" max="9225" width="0" style="3185" hidden="1" customWidth="1"/>
    <col min="9226" max="9226" width="6.5" style="3185" customWidth="1"/>
    <col min="9227" max="9227" width="7.25" style="3185" customWidth="1"/>
    <col min="9228" max="9228" width="9.375" style="3185" customWidth="1"/>
    <col min="9229" max="9229" width="6.25" style="3185" customWidth="1"/>
    <col min="9230" max="9230" width="61.125" style="3185" customWidth="1"/>
    <col min="9231" max="9472" width="9" style="3185"/>
    <col min="9473" max="9473" width="38" style="3185" customWidth="1"/>
    <col min="9474" max="9474" width="6.25" style="3185" customWidth="1"/>
    <col min="9475" max="9477" width="13.875" style="3185" customWidth="1"/>
    <col min="9478" max="9478" width="10.375" style="3185" customWidth="1"/>
    <col min="9479" max="9479" width="7.875" style="3185" customWidth="1"/>
    <col min="9480" max="9480" width="9" style="3185" customWidth="1"/>
    <col min="9481" max="9481" width="0" style="3185" hidden="1" customWidth="1"/>
    <col min="9482" max="9482" width="6.5" style="3185" customWidth="1"/>
    <col min="9483" max="9483" width="7.25" style="3185" customWidth="1"/>
    <col min="9484" max="9484" width="9.375" style="3185" customWidth="1"/>
    <col min="9485" max="9485" width="6.25" style="3185" customWidth="1"/>
    <col min="9486" max="9486" width="61.125" style="3185" customWidth="1"/>
    <col min="9487" max="9728" width="9" style="3185"/>
    <col min="9729" max="9729" width="38" style="3185" customWidth="1"/>
    <col min="9730" max="9730" width="6.25" style="3185" customWidth="1"/>
    <col min="9731" max="9733" width="13.875" style="3185" customWidth="1"/>
    <col min="9734" max="9734" width="10.375" style="3185" customWidth="1"/>
    <col min="9735" max="9735" width="7.875" style="3185" customWidth="1"/>
    <col min="9736" max="9736" width="9" style="3185" customWidth="1"/>
    <col min="9737" max="9737" width="0" style="3185" hidden="1" customWidth="1"/>
    <col min="9738" max="9738" width="6.5" style="3185" customWidth="1"/>
    <col min="9739" max="9739" width="7.25" style="3185" customWidth="1"/>
    <col min="9740" max="9740" width="9.375" style="3185" customWidth="1"/>
    <col min="9741" max="9741" width="6.25" style="3185" customWidth="1"/>
    <col min="9742" max="9742" width="61.125" style="3185" customWidth="1"/>
    <col min="9743" max="9984" width="9" style="3185"/>
    <col min="9985" max="9985" width="38" style="3185" customWidth="1"/>
    <col min="9986" max="9986" width="6.25" style="3185" customWidth="1"/>
    <col min="9987" max="9989" width="13.875" style="3185" customWidth="1"/>
    <col min="9990" max="9990" width="10.375" style="3185" customWidth="1"/>
    <col min="9991" max="9991" width="7.875" style="3185" customWidth="1"/>
    <col min="9992" max="9992" width="9" style="3185" customWidth="1"/>
    <col min="9993" max="9993" width="0" style="3185" hidden="1" customWidth="1"/>
    <col min="9994" max="9994" width="6.5" style="3185" customWidth="1"/>
    <col min="9995" max="9995" width="7.25" style="3185" customWidth="1"/>
    <col min="9996" max="9996" width="9.375" style="3185" customWidth="1"/>
    <col min="9997" max="9997" width="6.25" style="3185" customWidth="1"/>
    <col min="9998" max="9998" width="61.125" style="3185" customWidth="1"/>
    <col min="9999" max="10240" width="9" style="3185"/>
    <col min="10241" max="10241" width="38" style="3185" customWidth="1"/>
    <col min="10242" max="10242" width="6.25" style="3185" customWidth="1"/>
    <col min="10243" max="10245" width="13.875" style="3185" customWidth="1"/>
    <col min="10246" max="10246" width="10.375" style="3185" customWidth="1"/>
    <col min="10247" max="10247" width="7.875" style="3185" customWidth="1"/>
    <col min="10248" max="10248" width="9" style="3185" customWidth="1"/>
    <col min="10249" max="10249" width="0" style="3185" hidden="1" customWidth="1"/>
    <col min="10250" max="10250" width="6.5" style="3185" customWidth="1"/>
    <col min="10251" max="10251" width="7.25" style="3185" customWidth="1"/>
    <col min="10252" max="10252" width="9.375" style="3185" customWidth="1"/>
    <col min="10253" max="10253" width="6.25" style="3185" customWidth="1"/>
    <col min="10254" max="10254" width="61.125" style="3185" customWidth="1"/>
    <col min="10255" max="10496" width="9" style="3185"/>
    <col min="10497" max="10497" width="38" style="3185" customWidth="1"/>
    <col min="10498" max="10498" width="6.25" style="3185" customWidth="1"/>
    <col min="10499" max="10501" width="13.875" style="3185" customWidth="1"/>
    <col min="10502" max="10502" width="10.375" style="3185" customWidth="1"/>
    <col min="10503" max="10503" width="7.875" style="3185" customWidth="1"/>
    <col min="10504" max="10504" width="9" style="3185" customWidth="1"/>
    <col min="10505" max="10505" width="0" style="3185" hidden="1" customWidth="1"/>
    <col min="10506" max="10506" width="6.5" style="3185" customWidth="1"/>
    <col min="10507" max="10507" width="7.25" style="3185" customWidth="1"/>
    <col min="10508" max="10508" width="9.375" style="3185" customWidth="1"/>
    <col min="10509" max="10509" width="6.25" style="3185" customWidth="1"/>
    <col min="10510" max="10510" width="61.125" style="3185" customWidth="1"/>
    <col min="10511" max="10752" width="9" style="3185"/>
    <col min="10753" max="10753" width="38" style="3185" customWidth="1"/>
    <col min="10754" max="10754" width="6.25" style="3185" customWidth="1"/>
    <col min="10755" max="10757" width="13.875" style="3185" customWidth="1"/>
    <col min="10758" max="10758" width="10.375" style="3185" customWidth="1"/>
    <col min="10759" max="10759" width="7.875" style="3185" customWidth="1"/>
    <col min="10760" max="10760" width="9" style="3185" customWidth="1"/>
    <col min="10761" max="10761" width="0" style="3185" hidden="1" customWidth="1"/>
    <col min="10762" max="10762" width="6.5" style="3185" customWidth="1"/>
    <col min="10763" max="10763" width="7.25" style="3185" customWidth="1"/>
    <col min="10764" max="10764" width="9.375" style="3185" customWidth="1"/>
    <col min="10765" max="10765" width="6.25" style="3185" customWidth="1"/>
    <col min="10766" max="10766" width="61.125" style="3185" customWidth="1"/>
    <col min="10767" max="11008" width="9" style="3185"/>
    <col min="11009" max="11009" width="38" style="3185" customWidth="1"/>
    <col min="11010" max="11010" width="6.25" style="3185" customWidth="1"/>
    <col min="11011" max="11013" width="13.875" style="3185" customWidth="1"/>
    <col min="11014" max="11014" width="10.375" style="3185" customWidth="1"/>
    <col min="11015" max="11015" width="7.875" style="3185" customWidth="1"/>
    <col min="11016" max="11016" width="9" style="3185" customWidth="1"/>
    <col min="11017" max="11017" width="0" style="3185" hidden="1" customWidth="1"/>
    <col min="11018" max="11018" width="6.5" style="3185" customWidth="1"/>
    <col min="11019" max="11019" width="7.25" style="3185" customWidth="1"/>
    <col min="11020" max="11020" width="9.375" style="3185" customWidth="1"/>
    <col min="11021" max="11021" width="6.25" style="3185" customWidth="1"/>
    <col min="11022" max="11022" width="61.125" style="3185" customWidth="1"/>
    <col min="11023" max="11264" width="9" style="3185"/>
    <col min="11265" max="11265" width="38" style="3185" customWidth="1"/>
    <col min="11266" max="11266" width="6.25" style="3185" customWidth="1"/>
    <col min="11267" max="11269" width="13.875" style="3185" customWidth="1"/>
    <col min="11270" max="11270" width="10.375" style="3185" customWidth="1"/>
    <col min="11271" max="11271" width="7.875" style="3185" customWidth="1"/>
    <col min="11272" max="11272" width="9" style="3185" customWidth="1"/>
    <col min="11273" max="11273" width="0" style="3185" hidden="1" customWidth="1"/>
    <col min="11274" max="11274" width="6.5" style="3185" customWidth="1"/>
    <col min="11275" max="11275" width="7.25" style="3185" customWidth="1"/>
    <col min="11276" max="11276" width="9.375" style="3185" customWidth="1"/>
    <col min="11277" max="11277" width="6.25" style="3185" customWidth="1"/>
    <col min="11278" max="11278" width="61.125" style="3185" customWidth="1"/>
    <col min="11279" max="11520" width="9" style="3185"/>
    <col min="11521" max="11521" width="38" style="3185" customWidth="1"/>
    <col min="11522" max="11522" width="6.25" style="3185" customWidth="1"/>
    <col min="11523" max="11525" width="13.875" style="3185" customWidth="1"/>
    <col min="11526" max="11526" width="10.375" style="3185" customWidth="1"/>
    <col min="11527" max="11527" width="7.875" style="3185" customWidth="1"/>
    <col min="11528" max="11528" width="9" style="3185" customWidth="1"/>
    <col min="11529" max="11529" width="0" style="3185" hidden="1" customWidth="1"/>
    <col min="11530" max="11530" width="6.5" style="3185" customWidth="1"/>
    <col min="11531" max="11531" width="7.25" style="3185" customWidth="1"/>
    <col min="11532" max="11532" width="9.375" style="3185" customWidth="1"/>
    <col min="11533" max="11533" width="6.25" style="3185" customWidth="1"/>
    <col min="11534" max="11534" width="61.125" style="3185" customWidth="1"/>
    <col min="11535" max="11776" width="9" style="3185"/>
    <col min="11777" max="11777" width="38" style="3185" customWidth="1"/>
    <col min="11778" max="11778" width="6.25" style="3185" customWidth="1"/>
    <col min="11779" max="11781" width="13.875" style="3185" customWidth="1"/>
    <col min="11782" max="11782" width="10.375" style="3185" customWidth="1"/>
    <col min="11783" max="11783" width="7.875" style="3185" customWidth="1"/>
    <col min="11784" max="11784" width="9" style="3185" customWidth="1"/>
    <col min="11785" max="11785" width="0" style="3185" hidden="1" customWidth="1"/>
    <col min="11786" max="11786" width="6.5" style="3185" customWidth="1"/>
    <col min="11787" max="11787" width="7.25" style="3185" customWidth="1"/>
    <col min="11788" max="11788" width="9.375" style="3185" customWidth="1"/>
    <col min="11789" max="11789" width="6.25" style="3185" customWidth="1"/>
    <col min="11790" max="11790" width="61.125" style="3185" customWidth="1"/>
    <col min="11791" max="12032" width="9" style="3185"/>
    <col min="12033" max="12033" width="38" style="3185" customWidth="1"/>
    <col min="12034" max="12034" width="6.25" style="3185" customWidth="1"/>
    <col min="12035" max="12037" width="13.875" style="3185" customWidth="1"/>
    <col min="12038" max="12038" width="10.375" style="3185" customWidth="1"/>
    <col min="12039" max="12039" width="7.875" style="3185" customWidth="1"/>
    <col min="12040" max="12040" width="9" style="3185" customWidth="1"/>
    <col min="12041" max="12041" width="0" style="3185" hidden="1" customWidth="1"/>
    <col min="12042" max="12042" width="6.5" style="3185" customWidth="1"/>
    <col min="12043" max="12043" width="7.25" style="3185" customWidth="1"/>
    <col min="12044" max="12044" width="9.375" style="3185" customWidth="1"/>
    <col min="12045" max="12045" width="6.25" style="3185" customWidth="1"/>
    <col min="12046" max="12046" width="61.125" style="3185" customWidth="1"/>
    <col min="12047" max="12288" width="9" style="3185"/>
    <col min="12289" max="12289" width="38" style="3185" customWidth="1"/>
    <col min="12290" max="12290" width="6.25" style="3185" customWidth="1"/>
    <col min="12291" max="12293" width="13.875" style="3185" customWidth="1"/>
    <col min="12294" max="12294" width="10.375" style="3185" customWidth="1"/>
    <col min="12295" max="12295" width="7.875" style="3185" customWidth="1"/>
    <col min="12296" max="12296" width="9" style="3185" customWidth="1"/>
    <col min="12297" max="12297" width="0" style="3185" hidden="1" customWidth="1"/>
    <col min="12298" max="12298" width="6.5" style="3185" customWidth="1"/>
    <col min="12299" max="12299" width="7.25" style="3185" customWidth="1"/>
    <col min="12300" max="12300" width="9.375" style="3185" customWidth="1"/>
    <col min="12301" max="12301" width="6.25" style="3185" customWidth="1"/>
    <col min="12302" max="12302" width="61.125" style="3185" customWidth="1"/>
    <col min="12303" max="12544" width="9" style="3185"/>
    <col min="12545" max="12545" width="38" style="3185" customWidth="1"/>
    <col min="12546" max="12546" width="6.25" style="3185" customWidth="1"/>
    <col min="12547" max="12549" width="13.875" style="3185" customWidth="1"/>
    <col min="12550" max="12550" width="10.375" style="3185" customWidth="1"/>
    <col min="12551" max="12551" width="7.875" style="3185" customWidth="1"/>
    <col min="12552" max="12552" width="9" style="3185" customWidth="1"/>
    <col min="12553" max="12553" width="0" style="3185" hidden="1" customWidth="1"/>
    <col min="12554" max="12554" width="6.5" style="3185" customWidth="1"/>
    <col min="12555" max="12555" width="7.25" style="3185" customWidth="1"/>
    <col min="12556" max="12556" width="9.375" style="3185" customWidth="1"/>
    <col min="12557" max="12557" width="6.25" style="3185" customWidth="1"/>
    <col min="12558" max="12558" width="61.125" style="3185" customWidth="1"/>
    <col min="12559" max="12800" width="9" style="3185"/>
    <col min="12801" max="12801" width="38" style="3185" customWidth="1"/>
    <col min="12802" max="12802" width="6.25" style="3185" customWidth="1"/>
    <col min="12803" max="12805" width="13.875" style="3185" customWidth="1"/>
    <col min="12806" max="12806" width="10.375" style="3185" customWidth="1"/>
    <col min="12807" max="12807" width="7.875" style="3185" customWidth="1"/>
    <col min="12808" max="12808" width="9" style="3185" customWidth="1"/>
    <col min="12809" max="12809" width="0" style="3185" hidden="1" customWidth="1"/>
    <col min="12810" max="12810" width="6.5" style="3185" customWidth="1"/>
    <col min="12811" max="12811" width="7.25" style="3185" customWidth="1"/>
    <col min="12812" max="12812" width="9.375" style="3185" customWidth="1"/>
    <col min="12813" max="12813" width="6.25" style="3185" customWidth="1"/>
    <col min="12814" max="12814" width="61.125" style="3185" customWidth="1"/>
    <col min="12815" max="13056" width="9" style="3185"/>
    <col min="13057" max="13057" width="38" style="3185" customWidth="1"/>
    <col min="13058" max="13058" width="6.25" style="3185" customWidth="1"/>
    <col min="13059" max="13061" width="13.875" style="3185" customWidth="1"/>
    <col min="13062" max="13062" width="10.375" style="3185" customWidth="1"/>
    <col min="13063" max="13063" width="7.875" style="3185" customWidth="1"/>
    <col min="13064" max="13064" width="9" style="3185" customWidth="1"/>
    <col min="13065" max="13065" width="0" style="3185" hidden="1" customWidth="1"/>
    <col min="13066" max="13066" width="6.5" style="3185" customWidth="1"/>
    <col min="13067" max="13067" width="7.25" style="3185" customWidth="1"/>
    <col min="13068" max="13068" width="9.375" style="3185" customWidth="1"/>
    <col min="13069" max="13069" width="6.25" style="3185" customWidth="1"/>
    <col min="13070" max="13070" width="61.125" style="3185" customWidth="1"/>
    <col min="13071" max="13312" width="9" style="3185"/>
    <col min="13313" max="13313" width="38" style="3185" customWidth="1"/>
    <col min="13314" max="13314" width="6.25" style="3185" customWidth="1"/>
    <col min="13315" max="13317" width="13.875" style="3185" customWidth="1"/>
    <col min="13318" max="13318" width="10.375" style="3185" customWidth="1"/>
    <col min="13319" max="13319" width="7.875" style="3185" customWidth="1"/>
    <col min="13320" max="13320" width="9" style="3185" customWidth="1"/>
    <col min="13321" max="13321" width="0" style="3185" hidden="1" customWidth="1"/>
    <col min="13322" max="13322" width="6.5" style="3185" customWidth="1"/>
    <col min="13323" max="13323" width="7.25" style="3185" customWidth="1"/>
    <col min="13324" max="13324" width="9.375" style="3185" customWidth="1"/>
    <col min="13325" max="13325" width="6.25" style="3185" customWidth="1"/>
    <col min="13326" max="13326" width="61.125" style="3185" customWidth="1"/>
    <col min="13327" max="13568" width="9" style="3185"/>
    <col min="13569" max="13569" width="38" style="3185" customWidth="1"/>
    <col min="13570" max="13570" width="6.25" style="3185" customWidth="1"/>
    <col min="13571" max="13573" width="13.875" style="3185" customWidth="1"/>
    <col min="13574" max="13574" width="10.375" style="3185" customWidth="1"/>
    <col min="13575" max="13575" width="7.875" style="3185" customWidth="1"/>
    <col min="13576" max="13576" width="9" style="3185" customWidth="1"/>
    <col min="13577" max="13577" width="0" style="3185" hidden="1" customWidth="1"/>
    <col min="13578" max="13578" width="6.5" style="3185" customWidth="1"/>
    <col min="13579" max="13579" width="7.25" style="3185" customWidth="1"/>
    <col min="13580" max="13580" width="9.375" style="3185" customWidth="1"/>
    <col min="13581" max="13581" width="6.25" style="3185" customWidth="1"/>
    <col min="13582" max="13582" width="61.125" style="3185" customWidth="1"/>
    <col min="13583" max="13824" width="9" style="3185"/>
    <col min="13825" max="13825" width="38" style="3185" customWidth="1"/>
    <col min="13826" max="13826" width="6.25" style="3185" customWidth="1"/>
    <col min="13827" max="13829" width="13.875" style="3185" customWidth="1"/>
    <col min="13830" max="13830" width="10.375" style="3185" customWidth="1"/>
    <col min="13831" max="13831" width="7.875" style="3185" customWidth="1"/>
    <col min="13832" max="13832" width="9" style="3185" customWidth="1"/>
    <col min="13833" max="13833" width="0" style="3185" hidden="1" customWidth="1"/>
    <col min="13834" max="13834" width="6.5" style="3185" customWidth="1"/>
    <col min="13835" max="13835" width="7.25" style="3185" customWidth="1"/>
    <col min="13836" max="13836" width="9.375" style="3185" customWidth="1"/>
    <col min="13837" max="13837" width="6.25" style="3185" customWidth="1"/>
    <col min="13838" max="13838" width="61.125" style="3185" customWidth="1"/>
    <col min="13839" max="14080" width="9" style="3185"/>
    <col min="14081" max="14081" width="38" style="3185" customWidth="1"/>
    <col min="14082" max="14082" width="6.25" style="3185" customWidth="1"/>
    <col min="14083" max="14085" width="13.875" style="3185" customWidth="1"/>
    <col min="14086" max="14086" width="10.375" style="3185" customWidth="1"/>
    <col min="14087" max="14087" width="7.875" style="3185" customWidth="1"/>
    <col min="14088" max="14088" width="9" style="3185" customWidth="1"/>
    <col min="14089" max="14089" width="0" style="3185" hidden="1" customWidth="1"/>
    <col min="14090" max="14090" width="6.5" style="3185" customWidth="1"/>
    <col min="14091" max="14091" width="7.25" style="3185" customWidth="1"/>
    <col min="14092" max="14092" width="9.375" style="3185" customWidth="1"/>
    <col min="14093" max="14093" width="6.25" style="3185" customWidth="1"/>
    <col min="14094" max="14094" width="61.125" style="3185" customWidth="1"/>
    <col min="14095" max="14336" width="9" style="3185"/>
    <col min="14337" max="14337" width="38" style="3185" customWidth="1"/>
    <col min="14338" max="14338" width="6.25" style="3185" customWidth="1"/>
    <col min="14339" max="14341" width="13.875" style="3185" customWidth="1"/>
    <col min="14342" max="14342" width="10.375" style="3185" customWidth="1"/>
    <col min="14343" max="14343" width="7.875" style="3185" customWidth="1"/>
    <col min="14344" max="14344" width="9" style="3185" customWidth="1"/>
    <col min="14345" max="14345" width="0" style="3185" hidden="1" customWidth="1"/>
    <col min="14346" max="14346" width="6.5" style="3185" customWidth="1"/>
    <col min="14347" max="14347" width="7.25" style="3185" customWidth="1"/>
    <col min="14348" max="14348" width="9.375" style="3185" customWidth="1"/>
    <col min="14349" max="14349" width="6.25" style="3185" customWidth="1"/>
    <col min="14350" max="14350" width="61.125" style="3185" customWidth="1"/>
    <col min="14351" max="14592" width="9" style="3185"/>
    <col min="14593" max="14593" width="38" style="3185" customWidth="1"/>
    <col min="14594" max="14594" width="6.25" style="3185" customWidth="1"/>
    <col min="14595" max="14597" width="13.875" style="3185" customWidth="1"/>
    <col min="14598" max="14598" width="10.375" style="3185" customWidth="1"/>
    <col min="14599" max="14599" width="7.875" style="3185" customWidth="1"/>
    <col min="14600" max="14600" width="9" style="3185" customWidth="1"/>
    <col min="14601" max="14601" width="0" style="3185" hidden="1" customWidth="1"/>
    <col min="14602" max="14602" width="6.5" style="3185" customWidth="1"/>
    <col min="14603" max="14603" width="7.25" style="3185" customWidth="1"/>
    <col min="14604" max="14604" width="9.375" style="3185" customWidth="1"/>
    <col min="14605" max="14605" width="6.25" style="3185" customWidth="1"/>
    <col min="14606" max="14606" width="61.125" style="3185" customWidth="1"/>
    <col min="14607" max="14848" width="9" style="3185"/>
    <col min="14849" max="14849" width="38" style="3185" customWidth="1"/>
    <col min="14850" max="14850" width="6.25" style="3185" customWidth="1"/>
    <col min="14851" max="14853" width="13.875" style="3185" customWidth="1"/>
    <col min="14854" max="14854" width="10.375" style="3185" customWidth="1"/>
    <col min="14855" max="14855" width="7.875" style="3185" customWidth="1"/>
    <col min="14856" max="14856" width="9" style="3185" customWidth="1"/>
    <col min="14857" max="14857" width="0" style="3185" hidden="1" customWidth="1"/>
    <col min="14858" max="14858" width="6.5" style="3185" customWidth="1"/>
    <col min="14859" max="14859" width="7.25" style="3185" customWidth="1"/>
    <col min="14860" max="14860" width="9.375" style="3185" customWidth="1"/>
    <col min="14861" max="14861" width="6.25" style="3185" customWidth="1"/>
    <col min="14862" max="14862" width="61.125" style="3185" customWidth="1"/>
    <col min="14863" max="15104" width="9" style="3185"/>
    <col min="15105" max="15105" width="38" style="3185" customWidth="1"/>
    <col min="15106" max="15106" width="6.25" style="3185" customWidth="1"/>
    <col min="15107" max="15109" width="13.875" style="3185" customWidth="1"/>
    <col min="15110" max="15110" width="10.375" style="3185" customWidth="1"/>
    <col min="15111" max="15111" width="7.875" style="3185" customWidth="1"/>
    <col min="15112" max="15112" width="9" style="3185" customWidth="1"/>
    <col min="15113" max="15113" width="0" style="3185" hidden="1" customWidth="1"/>
    <col min="15114" max="15114" width="6.5" style="3185" customWidth="1"/>
    <col min="15115" max="15115" width="7.25" style="3185" customWidth="1"/>
    <col min="15116" max="15116" width="9.375" style="3185" customWidth="1"/>
    <col min="15117" max="15117" width="6.25" style="3185" customWidth="1"/>
    <col min="15118" max="15118" width="61.125" style="3185" customWidth="1"/>
    <col min="15119" max="15360" width="9" style="3185"/>
    <col min="15361" max="15361" width="38" style="3185" customWidth="1"/>
    <col min="15362" max="15362" width="6.25" style="3185" customWidth="1"/>
    <col min="15363" max="15365" width="13.875" style="3185" customWidth="1"/>
    <col min="15366" max="15366" width="10.375" style="3185" customWidth="1"/>
    <col min="15367" max="15367" width="7.875" style="3185" customWidth="1"/>
    <col min="15368" max="15368" width="9" style="3185" customWidth="1"/>
    <col min="15369" max="15369" width="0" style="3185" hidden="1" customWidth="1"/>
    <col min="15370" max="15370" width="6.5" style="3185" customWidth="1"/>
    <col min="15371" max="15371" width="7.25" style="3185" customWidth="1"/>
    <col min="15372" max="15372" width="9.375" style="3185" customWidth="1"/>
    <col min="15373" max="15373" width="6.25" style="3185" customWidth="1"/>
    <col min="15374" max="15374" width="61.125" style="3185" customWidth="1"/>
    <col min="15375" max="15616" width="9" style="3185"/>
    <col min="15617" max="15617" width="38" style="3185" customWidth="1"/>
    <col min="15618" max="15618" width="6.25" style="3185" customWidth="1"/>
    <col min="15619" max="15621" width="13.875" style="3185" customWidth="1"/>
    <col min="15622" max="15622" width="10.375" style="3185" customWidth="1"/>
    <col min="15623" max="15623" width="7.875" style="3185" customWidth="1"/>
    <col min="15624" max="15624" width="9" style="3185" customWidth="1"/>
    <col min="15625" max="15625" width="0" style="3185" hidden="1" customWidth="1"/>
    <col min="15626" max="15626" width="6.5" style="3185" customWidth="1"/>
    <col min="15627" max="15627" width="7.25" style="3185" customWidth="1"/>
    <col min="15628" max="15628" width="9.375" style="3185" customWidth="1"/>
    <col min="15629" max="15629" width="6.25" style="3185" customWidth="1"/>
    <col min="15630" max="15630" width="61.125" style="3185" customWidth="1"/>
    <col min="15631" max="15872" width="9" style="3185"/>
    <col min="15873" max="15873" width="38" style="3185" customWidth="1"/>
    <col min="15874" max="15874" width="6.25" style="3185" customWidth="1"/>
    <col min="15875" max="15877" width="13.875" style="3185" customWidth="1"/>
    <col min="15878" max="15878" width="10.375" style="3185" customWidth="1"/>
    <col min="15879" max="15879" width="7.875" style="3185" customWidth="1"/>
    <col min="15880" max="15880" width="9" style="3185" customWidth="1"/>
    <col min="15881" max="15881" width="0" style="3185" hidden="1" customWidth="1"/>
    <col min="15882" max="15882" width="6.5" style="3185" customWidth="1"/>
    <col min="15883" max="15883" width="7.25" style="3185" customWidth="1"/>
    <col min="15884" max="15884" width="9.375" style="3185" customWidth="1"/>
    <col min="15885" max="15885" width="6.25" style="3185" customWidth="1"/>
    <col min="15886" max="15886" width="61.125" style="3185" customWidth="1"/>
    <col min="15887" max="16128" width="9" style="3185"/>
    <col min="16129" max="16129" width="38" style="3185" customWidth="1"/>
    <col min="16130" max="16130" width="6.25" style="3185" customWidth="1"/>
    <col min="16131" max="16133" width="13.875" style="3185" customWidth="1"/>
    <col min="16134" max="16134" width="10.375" style="3185" customWidth="1"/>
    <col min="16135" max="16135" width="7.875" style="3185" customWidth="1"/>
    <col min="16136" max="16136" width="9" style="3185" customWidth="1"/>
    <col min="16137" max="16137" width="0" style="3185" hidden="1" customWidth="1"/>
    <col min="16138" max="16138" width="6.5" style="3185" customWidth="1"/>
    <col min="16139" max="16139" width="7.25" style="3185" customWidth="1"/>
    <col min="16140" max="16140" width="9.375" style="3185" customWidth="1"/>
    <col min="16141" max="16141" width="6.25" style="3185" customWidth="1"/>
    <col min="16142" max="16142" width="61.125" style="3185" customWidth="1"/>
    <col min="16143" max="16384" width="9" style="3185"/>
  </cols>
  <sheetData>
    <row r="1" spans="1:14" ht="14.25">
      <c r="A1" s="3185" t="s">
        <v>2987</v>
      </c>
      <c r="B1" s="3185" t="s">
        <v>2988</v>
      </c>
      <c r="C1" s="3185" t="s">
        <v>2989</v>
      </c>
      <c r="D1" s="3185" t="s">
        <v>2990</v>
      </c>
      <c r="E1" s="3185" t="s">
        <v>2991</v>
      </c>
      <c r="F1" s="3185" t="s">
        <v>2033</v>
      </c>
      <c r="G1" s="3185" t="s">
        <v>2992</v>
      </c>
      <c r="H1" s="3185" t="s">
        <v>2993</v>
      </c>
      <c r="I1" s="3185" t="s">
        <v>2994</v>
      </c>
      <c r="J1" s="3185" t="s">
        <v>2995</v>
      </c>
      <c r="K1" s="3185" t="s">
        <v>2996</v>
      </c>
      <c r="L1" s="3186" t="s">
        <v>2997</v>
      </c>
      <c r="M1" s="3185" t="s">
        <v>2998</v>
      </c>
      <c r="N1" s="3185" t="s">
        <v>2999</v>
      </c>
    </row>
    <row r="2" spans="1:14">
      <c r="A2" s="3185" t="s">
        <v>3000</v>
      </c>
      <c r="B2" s="3185" t="s">
        <v>3001</v>
      </c>
      <c r="C2" s="3185" t="s">
        <v>3002</v>
      </c>
      <c r="D2" s="3185">
        <v>9895.2900000000009</v>
      </c>
      <c r="E2" s="3185">
        <v>22462.31</v>
      </c>
      <c r="F2" s="3185" t="s">
        <v>3003</v>
      </c>
      <c r="G2" s="3185" t="s">
        <v>3004</v>
      </c>
      <c r="H2" s="3185" t="s">
        <v>3005</v>
      </c>
      <c r="I2" s="3185">
        <v>17000</v>
      </c>
      <c r="J2" s="3185">
        <v>17000</v>
      </c>
      <c r="K2" s="3185">
        <v>7568.22</v>
      </c>
      <c r="L2" s="3185">
        <f>ROUND(J2*10000/D2,0)</f>
        <v>17180</v>
      </c>
      <c r="M2" s="3185">
        <v>0</v>
      </c>
      <c r="N2" s="3185" t="s">
        <v>3006</v>
      </c>
    </row>
    <row r="3" spans="1:14">
      <c r="A3" s="3185" t="s">
        <v>3007</v>
      </c>
      <c r="B3" s="3185" t="s">
        <v>3001</v>
      </c>
      <c r="C3" s="3185" t="s">
        <v>3002</v>
      </c>
      <c r="D3" s="3185">
        <v>8430.43</v>
      </c>
      <c r="E3" s="3185">
        <v>25291.29</v>
      </c>
      <c r="F3" s="3185" t="s">
        <v>3008</v>
      </c>
      <c r="G3" s="3185" t="s">
        <v>3004</v>
      </c>
      <c r="H3" s="3185" t="s">
        <v>3009</v>
      </c>
      <c r="I3" s="3185">
        <v>17600</v>
      </c>
      <c r="J3" s="3185">
        <v>19200</v>
      </c>
      <c r="K3" s="3185">
        <v>7591.55</v>
      </c>
      <c r="L3" s="3185">
        <f t="shared" ref="L3:L51" si="0">ROUND(J3*10000/D3,0)</f>
        <v>22775</v>
      </c>
      <c r="M3" s="3185">
        <v>9.09</v>
      </c>
      <c r="N3" s="3185" t="s">
        <v>3006</v>
      </c>
    </row>
    <row r="4" spans="1:14">
      <c r="A4" s="3185" t="s">
        <v>3010</v>
      </c>
      <c r="B4" s="3185" t="s">
        <v>3001</v>
      </c>
      <c r="C4" s="3185" t="s">
        <v>3002</v>
      </c>
      <c r="D4" s="3185">
        <v>19617.41</v>
      </c>
      <c r="E4" s="3185">
        <v>58852.23</v>
      </c>
      <c r="F4" s="3185" t="s">
        <v>3008</v>
      </c>
      <c r="G4" s="3185" t="s">
        <v>3004</v>
      </c>
      <c r="H4" s="3185" t="s">
        <v>3011</v>
      </c>
      <c r="I4" s="3185">
        <v>16700</v>
      </c>
      <c r="J4" s="3185">
        <v>16700</v>
      </c>
      <c r="K4" s="3185">
        <v>2837.61</v>
      </c>
      <c r="L4" s="3185">
        <f t="shared" si="0"/>
        <v>8513</v>
      </c>
      <c r="M4" s="3185">
        <v>0</v>
      </c>
      <c r="N4" s="3185" t="s">
        <v>3012</v>
      </c>
    </row>
    <row r="5" spans="1:14">
      <c r="A5" s="3185" t="s">
        <v>3013</v>
      </c>
      <c r="B5" s="3185" t="s">
        <v>3001</v>
      </c>
      <c r="C5" s="3185" t="s">
        <v>3002</v>
      </c>
      <c r="D5" s="3185">
        <v>15935.78</v>
      </c>
      <c r="E5" s="3185">
        <v>47807.34</v>
      </c>
      <c r="F5" s="3185" t="s">
        <v>3008</v>
      </c>
      <c r="G5" s="3185" t="s">
        <v>3004</v>
      </c>
      <c r="H5" s="3185" t="s">
        <v>3014</v>
      </c>
      <c r="I5" s="3185">
        <v>71700</v>
      </c>
      <c r="J5" s="3185">
        <v>71700</v>
      </c>
      <c r="K5" s="3185">
        <v>14997.7</v>
      </c>
      <c r="L5" s="3185">
        <f t="shared" si="0"/>
        <v>44993</v>
      </c>
      <c r="M5" s="3185">
        <v>0</v>
      </c>
      <c r="N5" s="3185" t="s">
        <v>3015</v>
      </c>
    </row>
    <row r="6" spans="1:14">
      <c r="A6" s="3185" t="s">
        <v>3016</v>
      </c>
      <c r="B6" s="3185" t="s">
        <v>3001</v>
      </c>
      <c r="C6" s="3185" t="s">
        <v>3002</v>
      </c>
      <c r="D6" s="3185">
        <v>11140.74</v>
      </c>
      <c r="E6" s="3185">
        <v>33422.22</v>
      </c>
      <c r="F6" s="3185" t="s">
        <v>3008</v>
      </c>
      <c r="G6" s="3185" t="s">
        <v>3004</v>
      </c>
      <c r="H6" s="3185" t="s">
        <v>3017</v>
      </c>
      <c r="I6" s="3185">
        <v>50200</v>
      </c>
      <c r="J6" s="3185">
        <v>50200</v>
      </c>
      <c r="K6" s="3185">
        <v>15019.95</v>
      </c>
      <c r="L6" s="3185">
        <f t="shared" si="0"/>
        <v>45060</v>
      </c>
      <c r="M6" s="3185">
        <v>0</v>
      </c>
      <c r="N6" s="3185" t="s">
        <v>3018</v>
      </c>
    </row>
    <row r="7" spans="1:14">
      <c r="A7" s="3185" t="s">
        <v>3019</v>
      </c>
      <c r="B7" s="3185" t="s">
        <v>3001</v>
      </c>
      <c r="C7" s="3185" t="s">
        <v>3020</v>
      </c>
      <c r="D7" s="3185">
        <v>12058.17</v>
      </c>
      <c r="E7" s="3185">
        <v>36174.51</v>
      </c>
      <c r="F7" s="3185" t="s">
        <v>3008</v>
      </c>
      <c r="G7" s="3185" t="s">
        <v>3004</v>
      </c>
      <c r="H7" s="3185" t="s">
        <v>3017</v>
      </c>
      <c r="I7" s="3185">
        <v>54300</v>
      </c>
      <c r="J7" s="3185">
        <v>71300</v>
      </c>
      <c r="K7" s="3185">
        <v>19710</v>
      </c>
      <c r="L7" s="3185">
        <f t="shared" si="0"/>
        <v>59130</v>
      </c>
      <c r="M7" s="3185">
        <v>31.31</v>
      </c>
      <c r="N7" s="3185" t="s">
        <v>3021</v>
      </c>
    </row>
    <row r="8" spans="1:14">
      <c r="A8" s="3185" t="s">
        <v>3022</v>
      </c>
      <c r="B8" s="3185" t="s">
        <v>3001</v>
      </c>
      <c r="C8" s="3185" t="s">
        <v>3020</v>
      </c>
      <c r="D8" s="3185">
        <v>11488.18</v>
      </c>
      <c r="E8" s="3185">
        <v>34464.54</v>
      </c>
      <c r="F8" s="3185" t="s">
        <v>3008</v>
      </c>
      <c r="G8" s="3185" t="s">
        <v>3004</v>
      </c>
      <c r="H8" s="3185" t="s">
        <v>3017</v>
      </c>
      <c r="I8" s="3185">
        <v>51700</v>
      </c>
      <c r="J8" s="3185">
        <v>64700</v>
      </c>
      <c r="K8" s="3185">
        <v>18772.91</v>
      </c>
      <c r="L8" s="3185">
        <f t="shared" si="0"/>
        <v>56319</v>
      </c>
      <c r="M8" s="3185">
        <v>25.15</v>
      </c>
      <c r="N8" s="3185" t="s">
        <v>3023</v>
      </c>
    </row>
    <row r="9" spans="1:14">
      <c r="A9" s="3185" t="s">
        <v>3024</v>
      </c>
      <c r="B9" s="3185" t="s">
        <v>3001</v>
      </c>
      <c r="C9" s="3185" t="s">
        <v>3020</v>
      </c>
      <c r="D9" s="3185">
        <v>15345.24</v>
      </c>
      <c r="E9" s="3185">
        <v>46035.72</v>
      </c>
      <c r="F9" s="3185" t="s">
        <v>3008</v>
      </c>
      <c r="G9" s="3185" t="s">
        <v>3004</v>
      </c>
      <c r="H9" s="3185" t="s">
        <v>3017</v>
      </c>
      <c r="I9" s="3185">
        <v>69100</v>
      </c>
      <c r="J9" s="3185">
        <v>88800</v>
      </c>
      <c r="K9" s="3185">
        <v>19289.36</v>
      </c>
      <c r="L9" s="3185">
        <f t="shared" si="0"/>
        <v>57868</v>
      </c>
      <c r="M9" s="3185">
        <v>28.51</v>
      </c>
      <c r="N9" s="3185" t="s">
        <v>3023</v>
      </c>
    </row>
    <row r="10" spans="1:14">
      <c r="A10" s="3185" t="s">
        <v>3025</v>
      </c>
      <c r="B10" s="3185" t="s">
        <v>3001</v>
      </c>
      <c r="C10" s="3185" t="s">
        <v>3002</v>
      </c>
      <c r="D10" s="3185">
        <v>81545.39</v>
      </c>
      <c r="E10" s="3185">
        <v>179399.9</v>
      </c>
      <c r="F10" s="3185" t="s">
        <v>3026</v>
      </c>
      <c r="G10" s="3185" t="s">
        <v>3004</v>
      </c>
      <c r="H10" s="3185" t="s">
        <v>3027</v>
      </c>
      <c r="I10" s="3185">
        <v>287039.78999999998</v>
      </c>
      <c r="J10" s="3185">
        <v>340859.7</v>
      </c>
      <c r="K10" s="3185">
        <v>18999.990000000002</v>
      </c>
      <c r="L10" s="3185">
        <f t="shared" si="0"/>
        <v>41800</v>
      </c>
      <c r="M10" s="3185">
        <v>18.75</v>
      </c>
      <c r="N10" s="3185" t="s">
        <v>3028</v>
      </c>
    </row>
    <row r="11" spans="1:14">
      <c r="A11" s="3185" t="s">
        <v>3029</v>
      </c>
      <c r="B11" s="3185" t="s">
        <v>3001</v>
      </c>
      <c r="C11" s="3185" t="s">
        <v>3002</v>
      </c>
      <c r="D11" s="3185">
        <v>10000</v>
      </c>
      <c r="E11" s="3185">
        <v>20000</v>
      </c>
      <c r="F11" s="3185" t="s">
        <v>3030</v>
      </c>
      <c r="G11" s="3185" t="s">
        <v>3004</v>
      </c>
      <c r="H11" s="3185" t="s">
        <v>3031</v>
      </c>
      <c r="I11" s="3185">
        <v>6500</v>
      </c>
      <c r="J11" s="3185">
        <v>13000</v>
      </c>
      <c r="K11" s="3185">
        <v>6500</v>
      </c>
      <c r="L11" s="3185">
        <f t="shared" si="0"/>
        <v>13000</v>
      </c>
      <c r="M11" s="3185">
        <v>100</v>
      </c>
      <c r="N11" s="3185" t="s">
        <v>3032</v>
      </c>
    </row>
    <row r="12" spans="1:14">
      <c r="A12" s="3185" t="s">
        <v>3033</v>
      </c>
      <c r="B12" s="3185" t="s">
        <v>3001</v>
      </c>
      <c r="C12" s="3185" t="s">
        <v>3002</v>
      </c>
      <c r="D12" s="3185">
        <v>53718.64</v>
      </c>
      <c r="E12" s="3185">
        <v>161155.9</v>
      </c>
      <c r="F12" s="3185" t="s">
        <v>3008</v>
      </c>
      <c r="G12" s="3185" t="s">
        <v>3004</v>
      </c>
      <c r="H12" s="3185" t="s">
        <v>3034</v>
      </c>
      <c r="I12" s="3185">
        <v>80577.960000000006</v>
      </c>
      <c r="J12" s="3185">
        <v>112809.1</v>
      </c>
      <c r="K12" s="3185">
        <v>7000</v>
      </c>
      <c r="L12" s="3185">
        <f t="shared" si="0"/>
        <v>21000</v>
      </c>
      <c r="M12" s="3185">
        <v>40</v>
      </c>
      <c r="N12" s="3185" t="s">
        <v>3035</v>
      </c>
    </row>
    <row r="13" spans="1:14">
      <c r="A13" s="3185" t="s">
        <v>3036</v>
      </c>
      <c r="B13" s="3185" t="s">
        <v>3001</v>
      </c>
      <c r="C13" s="3185" t="s">
        <v>3002</v>
      </c>
      <c r="D13" s="3185">
        <v>15935.78</v>
      </c>
      <c r="E13" s="3185">
        <v>47807.34</v>
      </c>
      <c r="F13" s="3185" t="s">
        <v>3008</v>
      </c>
      <c r="G13" s="3185" t="s">
        <v>3004</v>
      </c>
      <c r="H13" s="3185" t="s">
        <v>3037</v>
      </c>
      <c r="I13" s="3185">
        <v>23903.66</v>
      </c>
      <c r="J13" s="3185">
        <v>87965.5</v>
      </c>
      <c r="K13" s="3185">
        <v>18400</v>
      </c>
      <c r="L13" s="3185">
        <f t="shared" si="0"/>
        <v>55200</v>
      </c>
      <c r="M13" s="3185">
        <v>268</v>
      </c>
      <c r="N13" s="3185" t="s">
        <v>3038</v>
      </c>
    </row>
    <row r="14" spans="1:14">
      <c r="A14" s="3185" t="s">
        <v>3039</v>
      </c>
      <c r="B14" s="3185" t="s">
        <v>3001</v>
      </c>
      <c r="C14" s="3185" t="s">
        <v>3002</v>
      </c>
      <c r="D14" s="3185">
        <v>11140.74</v>
      </c>
      <c r="E14" s="3185">
        <v>33422.22</v>
      </c>
      <c r="F14" s="3185" t="s">
        <v>3008</v>
      </c>
      <c r="G14" s="3185" t="s">
        <v>3004</v>
      </c>
      <c r="H14" s="3185" t="s">
        <v>3037</v>
      </c>
      <c r="I14" s="3185">
        <v>16711.11</v>
      </c>
      <c r="J14" s="3185">
        <v>59491.55</v>
      </c>
      <c r="K14" s="3185">
        <v>17800</v>
      </c>
      <c r="L14" s="3185">
        <f t="shared" si="0"/>
        <v>53400</v>
      </c>
      <c r="M14" s="3185">
        <v>256</v>
      </c>
      <c r="N14" s="3185" t="s">
        <v>3038</v>
      </c>
    </row>
    <row r="15" spans="1:14">
      <c r="A15" s="3185" t="s">
        <v>3040</v>
      </c>
      <c r="B15" s="3185" t="s">
        <v>3001</v>
      </c>
      <c r="C15" s="3185" t="s">
        <v>3002</v>
      </c>
      <c r="D15" s="3185">
        <v>12023.8</v>
      </c>
      <c r="E15" s="3185">
        <v>30059.5</v>
      </c>
      <c r="F15" s="3185" t="s">
        <v>3041</v>
      </c>
      <c r="G15" s="3185" t="s">
        <v>3004</v>
      </c>
      <c r="H15" s="3185" t="s">
        <v>3037</v>
      </c>
      <c r="I15" s="3185">
        <v>18035.7</v>
      </c>
      <c r="J15" s="3185">
        <v>60042.87</v>
      </c>
      <c r="K15" s="3185">
        <v>19974.68</v>
      </c>
      <c r="L15" s="3185">
        <f t="shared" si="0"/>
        <v>49937</v>
      </c>
      <c r="M15" s="3185">
        <v>232.91</v>
      </c>
      <c r="N15" s="3185" t="s">
        <v>3042</v>
      </c>
    </row>
    <row r="16" spans="1:14">
      <c r="A16" s="3185" t="s">
        <v>3043</v>
      </c>
      <c r="B16" s="3185" t="s">
        <v>3001</v>
      </c>
      <c r="C16" s="3185" t="s">
        <v>3002</v>
      </c>
      <c r="D16" s="3185">
        <v>11453.8</v>
      </c>
      <c r="E16" s="3185">
        <v>34361.4</v>
      </c>
      <c r="F16" s="3185" t="s">
        <v>3008</v>
      </c>
      <c r="G16" s="3185" t="s">
        <v>3004</v>
      </c>
      <c r="H16" s="3185" t="s">
        <v>3037</v>
      </c>
      <c r="I16" s="3185">
        <v>17180.7</v>
      </c>
      <c r="J16" s="3185">
        <v>68722.8</v>
      </c>
      <c r="K16" s="3185">
        <v>20000</v>
      </c>
      <c r="L16" s="3185">
        <f t="shared" si="0"/>
        <v>60000</v>
      </c>
      <c r="M16" s="3185">
        <v>300</v>
      </c>
      <c r="N16" s="3185" t="s">
        <v>3044</v>
      </c>
    </row>
    <row r="17" spans="1:14">
      <c r="A17" s="3185" t="s">
        <v>3045</v>
      </c>
      <c r="B17" s="3185" t="s">
        <v>3001</v>
      </c>
      <c r="C17" s="3185" t="s">
        <v>3002</v>
      </c>
      <c r="D17" s="3185">
        <v>13938.05</v>
      </c>
      <c r="E17" s="3185">
        <v>41814.15</v>
      </c>
      <c r="F17" s="3185" t="s">
        <v>3008</v>
      </c>
      <c r="G17" s="3185" t="s">
        <v>3004</v>
      </c>
      <c r="H17" s="3185" t="s">
        <v>3037</v>
      </c>
      <c r="I17" s="3185">
        <v>20907.080000000002</v>
      </c>
      <c r="J17" s="3185">
        <v>83628.3</v>
      </c>
      <c r="K17" s="3185">
        <v>20000</v>
      </c>
      <c r="L17" s="3185">
        <f t="shared" si="0"/>
        <v>60000</v>
      </c>
      <c r="M17" s="3185">
        <v>300</v>
      </c>
      <c r="N17" s="3185" t="s">
        <v>3046</v>
      </c>
    </row>
    <row r="18" spans="1:14" s="3187" customFormat="1">
      <c r="A18" s="3187" t="s">
        <v>3047</v>
      </c>
      <c r="B18" s="3187" t="s">
        <v>3001</v>
      </c>
      <c r="C18" s="3187" t="s">
        <v>3002</v>
      </c>
      <c r="D18" s="3187">
        <v>46933.8</v>
      </c>
      <c r="E18" s="3187">
        <v>117334.5</v>
      </c>
      <c r="F18" s="3187" t="s">
        <v>3048</v>
      </c>
      <c r="G18" s="3187" t="s">
        <v>3004</v>
      </c>
      <c r="H18" s="3187" t="s">
        <v>3049</v>
      </c>
      <c r="I18" s="3187">
        <v>53739.19</v>
      </c>
      <c r="J18" s="3187">
        <v>329123.28999999998</v>
      </c>
      <c r="K18" s="3187">
        <v>28050</v>
      </c>
      <c r="L18" s="3187">
        <f t="shared" si="0"/>
        <v>70125</v>
      </c>
      <c r="M18" s="3187">
        <v>512.45000000000005</v>
      </c>
      <c r="N18" s="3187" t="s">
        <v>3050</v>
      </c>
    </row>
    <row r="19" spans="1:14" s="3187" customFormat="1">
      <c r="A19" s="3187" t="s">
        <v>3051</v>
      </c>
      <c r="B19" s="3187" t="s">
        <v>3001</v>
      </c>
      <c r="C19" s="3187" t="s">
        <v>3002</v>
      </c>
      <c r="D19" s="3187">
        <v>14287.34</v>
      </c>
      <c r="E19" s="3187">
        <v>42862.02</v>
      </c>
      <c r="F19" s="3187" t="s">
        <v>3052</v>
      </c>
      <c r="G19" s="3187" t="s">
        <v>3004</v>
      </c>
      <c r="H19" s="3187" t="s">
        <v>3049</v>
      </c>
      <c r="I19" s="3187">
        <v>19330.77</v>
      </c>
      <c r="J19" s="3187">
        <v>124814.19</v>
      </c>
      <c r="K19" s="3187">
        <v>29120</v>
      </c>
      <c r="L19" s="3187">
        <f t="shared" si="0"/>
        <v>87360</v>
      </c>
      <c r="M19" s="3187">
        <v>545.67999999999995</v>
      </c>
      <c r="N19" s="3187" t="s">
        <v>3053</v>
      </c>
    </row>
    <row r="20" spans="1:14" s="3187" customFormat="1">
      <c r="A20" s="3187" t="s">
        <v>3054</v>
      </c>
      <c r="B20" s="3187" t="s">
        <v>3001</v>
      </c>
      <c r="C20" s="3187" t="s">
        <v>3002</v>
      </c>
      <c r="D20" s="3187">
        <v>15032.24</v>
      </c>
      <c r="E20" s="3187">
        <v>45096.72</v>
      </c>
      <c r="F20" s="3187" t="s">
        <v>3052</v>
      </c>
      <c r="G20" s="3187" t="s">
        <v>3004</v>
      </c>
      <c r="H20" s="3187" t="s">
        <v>3049</v>
      </c>
      <c r="I20" s="3187">
        <v>20338.61</v>
      </c>
      <c r="J20" s="3187">
        <v>127398.19</v>
      </c>
      <c r="K20" s="3187">
        <v>28249.99</v>
      </c>
      <c r="L20" s="3187">
        <f t="shared" si="0"/>
        <v>84750</v>
      </c>
      <c r="M20" s="3187">
        <v>526.39</v>
      </c>
      <c r="N20" s="3187" t="s">
        <v>3050</v>
      </c>
    </row>
    <row r="21" spans="1:14">
      <c r="A21" s="3185" t="s">
        <v>3055</v>
      </c>
      <c r="B21" s="3185" t="s">
        <v>3001</v>
      </c>
      <c r="C21" s="3185" t="s">
        <v>3002</v>
      </c>
      <c r="D21" s="3185">
        <v>22031.23</v>
      </c>
      <c r="E21" s="3185">
        <v>44062.46</v>
      </c>
      <c r="F21" s="3185" t="s">
        <v>3056</v>
      </c>
      <c r="G21" s="3185" t="s">
        <v>3004</v>
      </c>
      <c r="H21" s="3185" t="s">
        <v>3049</v>
      </c>
      <c r="I21" s="3185">
        <v>19828.11</v>
      </c>
      <c r="J21" s="3185">
        <v>123374.89</v>
      </c>
      <c r="K21" s="3185">
        <v>28000</v>
      </c>
      <c r="L21" s="3185">
        <f t="shared" si="0"/>
        <v>56000</v>
      </c>
      <c r="M21" s="3185">
        <v>522.22</v>
      </c>
      <c r="N21" s="3185" t="s">
        <v>3050</v>
      </c>
    </row>
    <row r="22" spans="1:14">
      <c r="A22" s="3185" t="s">
        <v>3057</v>
      </c>
      <c r="B22" s="3185" t="s">
        <v>3001</v>
      </c>
      <c r="C22" s="3185" t="s">
        <v>3002</v>
      </c>
      <c r="D22" s="3185">
        <v>6242.09</v>
      </c>
      <c r="E22" s="3185">
        <v>13732.6</v>
      </c>
      <c r="F22" s="3185" t="s">
        <v>3026</v>
      </c>
      <c r="G22" s="3185" t="s">
        <v>3004</v>
      </c>
      <c r="H22" s="3185" t="s">
        <v>3058</v>
      </c>
      <c r="I22" s="3185">
        <v>2271.38</v>
      </c>
      <c r="J22" s="3185">
        <v>10478.530000000001</v>
      </c>
      <c r="K22" s="3185">
        <v>7630.4</v>
      </c>
      <c r="L22" s="3185">
        <f t="shared" si="0"/>
        <v>16787</v>
      </c>
      <c r="M22" s="3185">
        <v>361.33</v>
      </c>
      <c r="N22" s="3185" t="s">
        <v>3059</v>
      </c>
    </row>
    <row r="23" spans="1:14">
      <c r="A23" s="3185" t="s">
        <v>3060</v>
      </c>
      <c r="B23" s="3185" t="s">
        <v>3001</v>
      </c>
      <c r="C23" s="3185" t="s">
        <v>3002</v>
      </c>
      <c r="D23" s="3185">
        <v>42001.3</v>
      </c>
      <c r="E23" s="3185">
        <v>66782.070000000007</v>
      </c>
      <c r="F23" s="3185" t="s">
        <v>3061</v>
      </c>
      <c r="G23" s="3185" t="s">
        <v>3004</v>
      </c>
      <c r="H23" s="3185" t="s">
        <v>3062</v>
      </c>
      <c r="I23" s="3185">
        <v>28248.81</v>
      </c>
      <c r="J23" s="3185">
        <v>44072.93</v>
      </c>
      <c r="K23" s="3185">
        <v>6599.52</v>
      </c>
      <c r="L23" s="3185">
        <f t="shared" si="0"/>
        <v>10493</v>
      </c>
      <c r="M23" s="3185">
        <v>56.02</v>
      </c>
      <c r="N23" s="3185" t="s">
        <v>3063</v>
      </c>
    </row>
    <row r="24" spans="1:14">
      <c r="A24" s="3185" t="s">
        <v>3064</v>
      </c>
      <c r="B24" s="3185" t="s">
        <v>3001</v>
      </c>
      <c r="C24" s="3185" t="s">
        <v>3002</v>
      </c>
      <c r="D24" s="3185">
        <v>80719.95</v>
      </c>
      <c r="E24" s="3185">
        <v>195759.9</v>
      </c>
      <c r="F24" s="3185" t="s">
        <v>3065</v>
      </c>
      <c r="G24" s="3185" t="s">
        <v>3004</v>
      </c>
      <c r="H24" s="3185" t="s">
        <v>3066</v>
      </c>
      <c r="I24" s="3185">
        <v>31321.58</v>
      </c>
      <c r="J24" s="3185">
        <v>31321.58</v>
      </c>
      <c r="K24" s="3185">
        <v>1600</v>
      </c>
      <c r="L24" s="3185">
        <f t="shared" si="0"/>
        <v>3880</v>
      </c>
      <c r="M24" s="3185">
        <v>0</v>
      </c>
      <c r="N24" s="3185" t="s">
        <v>3067</v>
      </c>
    </row>
    <row r="25" spans="1:14">
      <c r="A25" s="3185" t="s">
        <v>3068</v>
      </c>
      <c r="B25" s="3185" t="s">
        <v>3001</v>
      </c>
      <c r="C25" s="3185" t="s">
        <v>3020</v>
      </c>
      <c r="D25" s="3185">
        <v>11518</v>
      </c>
      <c r="E25" s="3185">
        <v>34554</v>
      </c>
      <c r="F25" s="3185" t="s">
        <v>3069</v>
      </c>
      <c r="G25" s="3185" t="s">
        <v>3004</v>
      </c>
      <c r="H25" s="3185" t="s">
        <v>3070</v>
      </c>
      <c r="I25" s="3185">
        <v>30753.06</v>
      </c>
      <c r="J25" s="3185">
        <v>60815.040000000001</v>
      </c>
      <c r="K25" s="3185">
        <v>17600</v>
      </c>
      <c r="L25" s="3185">
        <f t="shared" si="0"/>
        <v>52800</v>
      </c>
      <c r="M25" s="3185">
        <v>97.75</v>
      </c>
      <c r="N25" s="3185" t="s">
        <v>3071</v>
      </c>
    </row>
    <row r="26" spans="1:14">
      <c r="A26" s="3185" t="s">
        <v>3072</v>
      </c>
      <c r="B26" s="3185" t="s">
        <v>3001</v>
      </c>
      <c r="C26" s="3185" t="s">
        <v>3002</v>
      </c>
      <c r="D26" s="3185">
        <v>33012.49</v>
      </c>
      <c r="E26" s="3185">
        <v>64894.98</v>
      </c>
      <c r="F26" s="3185" t="s">
        <v>3073</v>
      </c>
      <c r="G26" s="3185" t="s">
        <v>3004</v>
      </c>
      <c r="H26" s="3185" t="s">
        <v>3074</v>
      </c>
      <c r="I26" s="3185">
        <v>9091.7900000000009</v>
      </c>
      <c r="J26" s="3185">
        <v>9091.7900000000009</v>
      </c>
      <c r="K26" s="3185">
        <v>1401</v>
      </c>
      <c r="L26" s="3185">
        <f t="shared" si="0"/>
        <v>2754</v>
      </c>
      <c r="M26" s="3185">
        <v>0</v>
      </c>
      <c r="N26" s="3185" t="s">
        <v>3075</v>
      </c>
    </row>
    <row r="27" spans="1:14">
      <c r="A27" s="3185" t="s">
        <v>3076</v>
      </c>
      <c r="B27" s="3185" t="s">
        <v>3001</v>
      </c>
      <c r="C27" s="3185" t="s">
        <v>3002</v>
      </c>
      <c r="D27" s="3185">
        <v>193150.1</v>
      </c>
      <c r="E27" s="3185">
        <v>314298.40000000002</v>
      </c>
      <c r="F27" s="3185" t="s">
        <v>3077</v>
      </c>
      <c r="G27" s="3185" t="s">
        <v>3004</v>
      </c>
      <c r="H27" s="3185" t="s">
        <v>3078</v>
      </c>
      <c r="I27" s="3185">
        <v>27029.65</v>
      </c>
      <c r="J27" s="3185">
        <v>27029.65</v>
      </c>
      <c r="K27" s="3185">
        <v>860</v>
      </c>
      <c r="L27" s="3185">
        <f t="shared" si="0"/>
        <v>1399</v>
      </c>
      <c r="M27" s="3185">
        <v>0</v>
      </c>
      <c r="N27" s="3185" t="s">
        <v>3079</v>
      </c>
    </row>
    <row r="28" spans="1:14">
      <c r="A28" s="3185" t="s">
        <v>3080</v>
      </c>
      <c r="B28" s="3185" t="s">
        <v>3001</v>
      </c>
      <c r="C28" s="3185" t="s">
        <v>3020</v>
      </c>
      <c r="D28" s="3185">
        <v>15876.62</v>
      </c>
      <c r="E28" s="3185">
        <v>55568.17</v>
      </c>
      <c r="F28" s="3185" t="s">
        <v>3081</v>
      </c>
      <c r="G28" s="3185" t="s">
        <v>3004</v>
      </c>
      <c r="H28" s="3185" t="s">
        <v>3082</v>
      </c>
      <c r="I28" s="3185">
        <v>44454.54</v>
      </c>
      <c r="J28" s="3185">
        <v>97799.97</v>
      </c>
      <c r="K28" s="3185">
        <v>17600</v>
      </c>
      <c r="L28" s="3185">
        <f t="shared" si="0"/>
        <v>61600</v>
      </c>
      <c r="M28" s="3185">
        <v>120</v>
      </c>
      <c r="N28" s="3185" t="s">
        <v>3083</v>
      </c>
    </row>
    <row r="29" spans="1:14">
      <c r="A29" s="3185" t="s">
        <v>3084</v>
      </c>
      <c r="B29" s="3185" t="s">
        <v>3001</v>
      </c>
      <c r="C29" s="3185" t="s">
        <v>3020</v>
      </c>
      <c r="D29" s="3185">
        <v>9024.7199999999993</v>
      </c>
      <c r="E29" s="3185">
        <v>18049.439999999999</v>
      </c>
      <c r="F29" s="3185" t="s">
        <v>3073</v>
      </c>
      <c r="G29" s="3185" t="s">
        <v>3004</v>
      </c>
      <c r="H29" s="3185" t="s">
        <v>3082</v>
      </c>
      <c r="I29" s="3185">
        <v>12634.61</v>
      </c>
      <c r="J29" s="3185">
        <v>18771.41</v>
      </c>
      <c r="K29" s="3185">
        <v>10400</v>
      </c>
      <c r="L29" s="3185">
        <f t="shared" si="0"/>
        <v>20800</v>
      </c>
      <c r="M29" s="3185">
        <v>48.57</v>
      </c>
      <c r="N29" s="3185" t="s">
        <v>3085</v>
      </c>
    </row>
    <row r="30" spans="1:14">
      <c r="A30" s="3185" t="s">
        <v>3086</v>
      </c>
      <c r="B30" s="3185" t="s">
        <v>3001</v>
      </c>
      <c r="C30" s="3185" t="s">
        <v>3002</v>
      </c>
      <c r="D30" s="3185">
        <v>101864.5</v>
      </c>
      <c r="E30" s="3185">
        <v>209473</v>
      </c>
      <c r="F30" s="3185" t="s">
        <v>3087</v>
      </c>
      <c r="G30" s="3185" t="s">
        <v>3004</v>
      </c>
      <c r="H30" s="3185" t="s">
        <v>3088</v>
      </c>
      <c r="I30" s="3185">
        <v>73315.55</v>
      </c>
      <c r="J30" s="3185">
        <v>84836.55</v>
      </c>
      <c r="K30" s="3185">
        <v>4050</v>
      </c>
      <c r="L30" s="3185">
        <f t="shared" si="0"/>
        <v>8328</v>
      </c>
      <c r="M30" s="3185">
        <v>15.71</v>
      </c>
      <c r="N30" s="3185" t="s">
        <v>3089</v>
      </c>
    </row>
    <row r="31" spans="1:14">
      <c r="A31" s="3185" t="s">
        <v>3090</v>
      </c>
      <c r="B31" s="3185" t="s">
        <v>3001</v>
      </c>
      <c r="C31" s="3185" t="s">
        <v>3020</v>
      </c>
      <c r="D31" s="3185">
        <v>5993.85</v>
      </c>
      <c r="E31" s="3185">
        <v>14417.64</v>
      </c>
      <c r="F31" s="3185" t="s">
        <v>3091</v>
      </c>
      <c r="G31" s="3185" t="s">
        <v>3004</v>
      </c>
      <c r="H31" s="3185" t="s">
        <v>3092</v>
      </c>
      <c r="I31" s="3185">
        <v>2580.7600000000002</v>
      </c>
      <c r="J31" s="3185">
        <v>2797.01</v>
      </c>
      <c r="K31" s="3185">
        <v>1940</v>
      </c>
      <c r="L31" s="3185">
        <f t="shared" si="0"/>
        <v>4666</v>
      </c>
      <c r="M31" s="3185">
        <v>8.3800000000000008</v>
      </c>
      <c r="N31" s="3185" t="s">
        <v>3093</v>
      </c>
    </row>
    <row r="32" spans="1:14">
      <c r="A32" s="3185" t="s">
        <v>3094</v>
      </c>
      <c r="B32" s="3185" t="s">
        <v>3001</v>
      </c>
      <c r="C32" s="3185" t="s">
        <v>3002</v>
      </c>
      <c r="D32" s="3185">
        <v>25864.57</v>
      </c>
      <c r="E32" s="3185">
        <v>142255.1</v>
      </c>
      <c r="F32" s="3185" t="s">
        <v>3095</v>
      </c>
      <c r="G32" s="3185" t="s">
        <v>3004</v>
      </c>
      <c r="H32" s="3185" t="s">
        <v>3096</v>
      </c>
      <c r="I32" s="3185">
        <v>102779.3</v>
      </c>
      <c r="J32" s="3185">
        <v>102779.3</v>
      </c>
      <c r="K32" s="3185">
        <v>7225</v>
      </c>
      <c r="L32" s="3185">
        <f t="shared" si="0"/>
        <v>39737</v>
      </c>
      <c r="M32" s="3185">
        <v>0</v>
      </c>
      <c r="N32" s="3185" t="s">
        <v>3097</v>
      </c>
    </row>
    <row r="33" spans="1:14">
      <c r="A33" s="3185" t="s">
        <v>3094</v>
      </c>
      <c r="B33" s="3185" t="s">
        <v>3001</v>
      </c>
      <c r="C33" s="3185" t="s">
        <v>3002</v>
      </c>
      <c r="D33" s="3185">
        <v>75542.62</v>
      </c>
      <c r="E33" s="3185">
        <v>216439.5</v>
      </c>
      <c r="F33" s="3185" t="s">
        <v>3098</v>
      </c>
      <c r="G33" s="3185" t="s">
        <v>3004</v>
      </c>
      <c r="H33" s="3185" t="s">
        <v>3096</v>
      </c>
      <c r="I33" s="3185">
        <v>231472.5</v>
      </c>
      <c r="J33" s="3185">
        <v>231472.5</v>
      </c>
      <c r="K33" s="3185">
        <v>10694.55</v>
      </c>
      <c r="L33" s="3185">
        <f t="shared" si="0"/>
        <v>30641</v>
      </c>
      <c r="M33" s="3185">
        <v>0</v>
      </c>
      <c r="N33" s="3185" t="s">
        <v>3099</v>
      </c>
    </row>
    <row r="34" spans="1:14">
      <c r="A34" s="3185" t="s">
        <v>3100</v>
      </c>
      <c r="B34" s="3185" t="s">
        <v>3001</v>
      </c>
      <c r="C34" s="3185" t="s">
        <v>3020</v>
      </c>
      <c r="D34" s="3185">
        <v>19999.95</v>
      </c>
      <c r="E34" s="3185">
        <v>49999.88</v>
      </c>
      <c r="F34" s="3185" t="s">
        <v>3101</v>
      </c>
      <c r="G34" s="3185" t="s">
        <v>3004</v>
      </c>
      <c r="H34" s="3185" t="s">
        <v>3102</v>
      </c>
      <c r="I34" s="3185">
        <v>24999.93</v>
      </c>
      <c r="J34" s="3185">
        <v>24999.93</v>
      </c>
      <c r="K34" s="3185">
        <v>5000</v>
      </c>
      <c r="L34" s="3185">
        <f t="shared" si="0"/>
        <v>12500</v>
      </c>
      <c r="M34" s="3185">
        <v>0</v>
      </c>
      <c r="N34" s="3185" t="s">
        <v>3103</v>
      </c>
    </row>
    <row r="35" spans="1:14">
      <c r="A35" s="3185" t="s">
        <v>3104</v>
      </c>
      <c r="B35" s="3185" t="s">
        <v>3001</v>
      </c>
      <c r="C35" s="3185" t="s">
        <v>3020</v>
      </c>
      <c r="D35" s="3185">
        <v>32181.25</v>
      </c>
      <c r="E35" s="3185">
        <v>112634.4</v>
      </c>
      <c r="F35" s="3185" t="s">
        <v>3105</v>
      </c>
      <c r="G35" s="3185" t="s">
        <v>3004</v>
      </c>
      <c r="H35" s="3185" t="s">
        <v>3106</v>
      </c>
      <c r="I35" s="3185">
        <v>73212.33</v>
      </c>
      <c r="J35" s="3185">
        <v>184720.39</v>
      </c>
      <c r="K35" s="3185">
        <v>16400</v>
      </c>
      <c r="L35" s="3185">
        <f t="shared" si="0"/>
        <v>57400</v>
      </c>
      <c r="M35" s="3185">
        <v>152.31</v>
      </c>
      <c r="N35" s="3185" t="s">
        <v>3107</v>
      </c>
    </row>
    <row r="36" spans="1:14">
      <c r="A36" s="3185" t="s">
        <v>3108</v>
      </c>
      <c r="B36" s="3185" t="s">
        <v>3001</v>
      </c>
      <c r="C36" s="3185" t="s">
        <v>3002</v>
      </c>
      <c r="D36" s="3185">
        <v>84738.23</v>
      </c>
      <c r="E36" s="3185">
        <v>296583.8</v>
      </c>
      <c r="F36" s="3185" t="s">
        <v>3109</v>
      </c>
      <c r="G36" s="3185" t="s">
        <v>3004</v>
      </c>
      <c r="H36" s="3185" t="s">
        <v>3110</v>
      </c>
      <c r="I36" s="3185">
        <v>98667.66</v>
      </c>
      <c r="J36" s="3185">
        <v>98667.66</v>
      </c>
      <c r="K36" s="3185">
        <v>3326.8</v>
      </c>
      <c r="L36" s="3185">
        <f t="shared" si="0"/>
        <v>11644</v>
      </c>
      <c r="M36" s="3185">
        <v>0</v>
      </c>
      <c r="N36" s="3185" t="s">
        <v>3111</v>
      </c>
    </row>
    <row r="37" spans="1:14">
      <c r="A37" s="3185" t="s">
        <v>3112</v>
      </c>
      <c r="B37" s="3185" t="s">
        <v>3001</v>
      </c>
      <c r="C37" s="3185" t="s">
        <v>3020</v>
      </c>
      <c r="D37" s="3185">
        <v>56190.720000000001</v>
      </c>
      <c r="E37" s="3185">
        <v>168572.2</v>
      </c>
      <c r="F37" s="3185" t="s">
        <v>3113</v>
      </c>
      <c r="G37" s="3185" t="s">
        <v>3004</v>
      </c>
      <c r="H37" s="3185" t="s">
        <v>3114</v>
      </c>
      <c r="I37" s="3185">
        <v>92714.69</v>
      </c>
      <c r="J37" s="3185">
        <v>193858</v>
      </c>
      <c r="K37" s="3185">
        <v>11500</v>
      </c>
      <c r="L37" s="3185">
        <f t="shared" si="0"/>
        <v>34500</v>
      </c>
      <c r="M37" s="3185">
        <v>109.09</v>
      </c>
      <c r="N37" s="3185" t="s">
        <v>3115</v>
      </c>
    </row>
    <row r="38" spans="1:14">
      <c r="A38" s="3185" t="s">
        <v>3116</v>
      </c>
      <c r="B38" s="3185" t="s">
        <v>3001</v>
      </c>
      <c r="C38" s="3185" t="s">
        <v>3002</v>
      </c>
      <c r="D38" s="3185">
        <v>132967.6</v>
      </c>
      <c r="E38" s="3185">
        <v>539568.19999999995</v>
      </c>
      <c r="F38" s="3185" t="s">
        <v>3117</v>
      </c>
      <c r="G38" s="3185" t="s">
        <v>3004</v>
      </c>
      <c r="H38" s="3185" t="s">
        <v>3118</v>
      </c>
      <c r="I38" s="3185">
        <v>264388.40000000002</v>
      </c>
      <c r="J38" s="3185">
        <v>264388.40000000002</v>
      </c>
      <c r="K38" s="3185">
        <v>4900</v>
      </c>
      <c r="L38" s="3185">
        <f t="shared" si="0"/>
        <v>19884</v>
      </c>
      <c r="M38" s="3185">
        <v>0</v>
      </c>
      <c r="N38" s="3185" t="s">
        <v>3119</v>
      </c>
    </row>
    <row r="39" spans="1:14">
      <c r="A39" s="3185" t="s">
        <v>3116</v>
      </c>
      <c r="B39" s="3185" t="s">
        <v>3001</v>
      </c>
      <c r="C39" s="3185" t="s">
        <v>3020</v>
      </c>
      <c r="D39" s="3185">
        <v>101772.1</v>
      </c>
      <c r="E39" s="3185">
        <v>388769.3</v>
      </c>
      <c r="F39" s="3185" t="s">
        <v>3120</v>
      </c>
      <c r="G39" s="3185" t="s">
        <v>3004</v>
      </c>
      <c r="H39" s="3185" t="s">
        <v>3121</v>
      </c>
      <c r="I39" s="3185" t="s">
        <v>2816</v>
      </c>
      <c r="J39" s="3185">
        <v>217644.6</v>
      </c>
      <c r="K39" s="3185">
        <v>5598.3</v>
      </c>
      <c r="L39" s="3185">
        <f t="shared" si="0"/>
        <v>21385</v>
      </c>
      <c r="M39" s="3185" t="s">
        <v>2816</v>
      </c>
      <c r="N39" s="3185" t="s">
        <v>3119</v>
      </c>
    </row>
    <row r="40" spans="1:14">
      <c r="A40" s="3185" t="s">
        <v>3122</v>
      </c>
      <c r="B40" s="3185" t="s">
        <v>3001</v>
      </c>
      <c r="C40" s="3185" t="s">
        <v>3002</v>
      </c>
      <c r="D40" s="3185">
        <v>123292.2</v>
      </c>
      <c r="E40" s="3185">
        <v>289562.5</v>
      </c>
      <c r="F40" s="3185" t="s">
        <v>3123</v>
      </c>
      <c r="G40" s="3185" t="s">
        <v>3004</v>
      </c>
      <c r="H40" s="3185" t="s">
        <v>3124</v>
      </c>
      <c r="I40" s="3185">
        <v>144781.29</v>
      </c>
      <c r="J40" s="3185">
        <v>173737.5</v>
      </c>
      <c r="K40" s="3185">
        <v>6000</v>
      </c>
      <c r="L40" s="3185">
        <f t="shared" si="0"/>
        <v>14092</v>
      </c>
      <c r="M40" s="3185">
        <v>20</v>
      </c>
      <c r="N40" s="3185" t="s">
        <v>3125</v>
      </c>
    </row>
    <row r="41" spans="1:14">
      <c r="A41" s="3185" t="s">
        <v>3126</v>
      </c>
      <c r="B41" s="3185" t="s">
        <v>3001</v>
      </c>
      <c r="C41" s="3185" t="s">
        <v>3020</v>
      </c>
      <c r="D41" s="3185">
        <v>199926.3</v>
      </c>
      <c r="E41" s="3185">
        <v>359867.3</v>
      </c>
      <c r="F41" s="3185" t="s">
        <v>3127</v>
      </c>
      <c r="G41" s="3185" t="s">
        <v>3004</v>
      </c>
      <c r="H41" s="3185" t="s">
        <v>3128</v>
      </c>
      <c r="I41" s="3185">
        <v>107960.19</v>
      </c>
      <c r="J41" s="3185">
        <v>127393</v>
      </c>
      <c r="K41" s="3185">
        <v>3540</v>
      </c>
      <c r="L41" s="3185">
        <f t="shared" si="0"/>
        <v>6372</v>
      </c>
      <c r="M41" s="3185">
        <v>18</v>
      </c>
      <c r="N41" s="3185" t="s">
        <v>3129</v>
      </c>
    </row>
    <row r="42" spans="1:14">
      <c r="A42" s="3185" t="s">
        <v>3130</v>
      </c>
      <c r="B42" s="3185" t="s">
        <v>3001</v>
      </c>
      <c r="C42" s="3185" t="s">
        <v>3020</v>
      </c>
      <c r="D42" s="3185">
        <v>46735.59</v>
      </c>
      <c r="E42" s="3185">
        <v>126186.1</v>
      </c>
      <c r="F42" s="3185" t="s">
        <v>3131</v>
      </c>
      <c r="G42" s="3185" t="s">
        <v>3004</v>
      </c>
      <c r="H42" s="3185" t="s">
        <v>3128</v>
      </c>
      <c r="I42" s="3185">
        <v>32808.370000000003</v>
      </c>
      <c r="J42" s="3185">
        <v>32808.370000000003</v>
      </c>
      <c r="K42" s="3185">
        <v>2600</v>
      </c>
      <c r="L42" s="3185">
        <f t="shared" si="0"/>
        <v>7020</v>
      </c>
      <c r="M42" s="3185">
        <v>0</v>
      </c>
      <c r="N42" s="3185" t="s">
        <v>3132</v>
      </c>
    </row>
    <row r="43" spans="1:14">
      <c r="A43" s="3185" t="s">
        <v>3133</v>
      </c>
      <c r="B43" s="3185" t="s">
        <v>3001</v>
      </c>
      <c r="C43" s="3185" t="s">
        <v>3020</v>
      </c>
      <c r="D43" s="3185">
        <v>29125.49</v>
      </c>
      <c r="E43" s="3185">
        <v>69901.179999999993</v>
      </c>
      <c r="F43" s="3185" t="s">
        <v>3134</v>
      </c>
      <c r="G43" s="3185" t="s">
        <v>3004</v>
      </c>
      <c r="H43" s="3185" t="s">
        <v>3135</v>
      </c>
      <c r="I43" s="3185">
        <v>11184.19</v>
      </c>
      <c r="J43" s="3185">
        <v>11184.19</v>
      </c>
      <c r="K43" s="3185">
        <v>1600</v>
      </c>
      <c r="L43" s="3185">
        <f t="shared" si="0"/>
        <v>3840</v>
      </c>
      <c r="M43" s="3185">
        <v>0</v>
      </c>
      <c r="N43" s="3185" t="s">
        <v>3136</v>
      </c>
    </row>
    <row r="44" spans="1:14">
      <c r="A44" s="3185" t="s">
        <v>3137</v>
      </c>
      <c r="B44" s="3185" t="s">
        <v>3001</v>
      </c>
      <c r="C44" s="3185" t="s">
        <v>3002</v>
      </c>
      <c r="D44" s="3185">
        <v>62285.35</v>
      </c>
      <c r="E44" s="3185">
        <v>152905.70000000001</v>
      </c>
      <c r="F44" s="3185" t="s">
        <v>3138</v>
      </c>
      <c r="G44" s="3185" t="s">
        <v>3004</v>
      </c>
      <c r="H44" s="3185" t="s">
        <v>3139</v>
      </c>
      <c r="I44" s="3185">
        <v>91743.39</v>
      </c>
      <c r="J44" s="3185">
        <v>91743.39</v>
      </c>
      <c r="K44" s="3185">
        <v>6000</v>
      </c>
      <c r="L44" s="3185">
        <f t="shared" si="0"/>
        <v>14730</v>
      </c>
      <c r="M44" s="3185">
        <v>0</v>
      </c>
      <c r="N44" s="3185" t="s">
        <v>3140</v>
      </c>
    </row>
    <row r="45" spans="1:14">
      <c r="A45" s="3185" t="s">
        <v>3141</v>
      </c>
      <c r="B45" s="3185" t="s">
        <v>3001</v>
      </c>
      <c r="C45" s="3185" t="s">
        <v>3002</v>
      </c>
      <c r="D45" s="3185">
        <v>165399.20000000001</v>
      </c>
      <c r="E45" s="3185">
        <v>346423.6</v>
      </c>
      <c r="F45" s="3185" t="s">
        <v>3142</v>
      </c>
      <c r="G45" s="3185" t="s">
        <v>3004</v>
      </c>
      <c r="H45" s="3185" t="s">
        <v>3139</v>
      </c>
      <c r="I45" s="3185">
        <v>207854.2</v>
      </c>
      <c r="J45" s="3185">
        <v>207854.2</v>
      </c>
      <c r="K45" s="3185">
        <v>6000</v>
      </c>
      <c r="L45" s="3185">
        <f t="shared" si="0"/>
        <v>12567</v>
      </c>
      <c r="M45" s="3185">
        <v>0</v>
      </c>
      <c r="N45" s="3185" t="s">
        <v>3140</v>
      </c>
    </row>
    <row r="46" spans="1:14">
      <c r="A46" s="3185" t="s">
        <v>3143</v>
      </c>
      <c r="B46" s="3185" t="s">
        <v>3001</v>
      </c>
      <c r="C46" s="3185" t="s">
        <v>3002</v>
      </c>
      <c r="D46" s="3185">
        <v>1755.47</v>
      </c>
      <c r="E46" s="3185">
        <v>3159.85</v>
      </c>
      <c r="F46" s="3185" t="s">
        <v>3144</v>
      </c>
      <c r="G46" s="3185" t="s">
        <v>3004</v>
      </c>
      <c r="H46" s="3185" t="s">
        <v>3145</v>
      </c>
      <c r="I46" s="3185">
        <v>82.15</v>
      </c>
      <c r="J46" s="3185">
        <v>147.88</v>
      </c>
      <c r="K46" s="3185">
        <v>468.02</v>
      </c>
      <c r="L46" s="3185">
        <f t="shared" si="0"/>
        <v>842</v>
      </c>
      <c r="M46" s="3185">
        <v>80</v>
      </c>
      <c r="N46" s="3185" t="s">
        <v>3146</v>
      </c>
    </row>
    <row r="47" spans="1:14">
      <c r="A47" s="3185" t="s">
        <v>3133</v>
      </c>
      <c r="B47" s="3185" t="s">
        <v>3001</v>
      </c>
      <c r="C47" s="3185" t="s">
        <v>3020</v>
      </c>
      <c r="D47" s="3185">
        <v>30505.5</v>
      </c>
      <c r="E47" s="3185">
        <v>73213.2</v>
      </c>
      <c r="F47" s="3185" t="s">
        <v>3134</v>
      </c>
      <c r="G47" s="3185" t="s">
        <v>3004</v>
      </c>
      <c r="H47" s="3185" t="s">
        <v>3147</v>
      </c>
      <c r="I47" s="3185">
        <v>11714.11</v>
      </c>
      <c r="J47" s="3185">
        <v>11714.11</v>
      </c>
      <c r="K47" s="3185">
        <v>1600</v>
      </c>
      <c r="L47" s="3185">
        <f t="shared" si="0"/>
        <v>3840</v>
      </c>
      <c r="M47" s="3185">
        <v>0</v>
      </c>
      <c r="N47" s="3185" t="s">
        <v>3136</v>
      </c>
    </row>
    <row r="48" spans="1:14">
      <c r="A48" s="3185" t="s">
        <v>3148</v>
      </c>
      <c r="B48" s="3185" t="s">
        <v>3001</v>
      </c>
      <c r="C48" s="3185" t="s">
        <v>3002</v>
      </c>
      <c r="D48" s="3185">
        <v>200000</v>
      </c>
      <c r="E48" s="3185">
        <v>500000</v>
      </c>
      <c r="F48" s="3185">
        <v>2.5</v>
      </c>
      <c r="G48" s="3185" t="s">
        <v>3004</v>
      </c>
      <c r="H48" s="3185" t="s">
        <v>3149</v>
      </c>
      <c r="I48" s="3185">
        <v>100000</v>
      </c>
      <c r="J48" s="3185">
        <v>100000</v>
      </c>
      <c r="K48" s="3185">
        <v>2000</v>
      </c>
      <c r="L48" s="3185">
        <f t="shared" si="0"/>
        <v>5000</v>
      </c>
      <c r="M48" s="3185">
        <v>0</v>
      </c>
      <c r="N48" s="3185" t="s">
        <v>3150</v>
      </c>
    </row>
    <row r="49" spans="1:14">
      <c r="A49" s="3185" t="s">
        <v>3151</v>
      </c>
      <c r="B49" s="3185" t="s">
        <v>3001</v>
      </c>
      <c r="C49" s="3185" t="s">
        <v>3002</v>
      </c>
      <c r="D49" s="3185">
        <v>339573.2</v>
      </c>
      <c r="E49" s="3185">
        <v>1394254</v>
      </c>
      <c r="F49" s="3185" t="s">
        <v>3152</v>
      </c>
      <c r="G49" s="3185" t="s">
        <v>3004</v>
      </c>
      <c r="H49" s="3185" t="s">
        <v>3153</v>
      </c>
      <c r="I49" s="3185">
        <v>117613.3</v>
      </c>
      <c r="J49" s="3185">
        <v>661489.9</v>
      </c>
      <c r="K49" s="3185">
        <v>4744.3900000000003</v>
      </c>
      <c r="L49" s="3185">
        <f t="shared" si="0"/>
        <v>19480</v>
      </c>
      <c r="M49" s="3185">
        <v>462.43</v>
      </c>
      <c r="N49" s="3185" t="s">
        <v>3053</v>
      </c>
    </row>
    <row r="50" spans="1:14">
      <c r="A50" s="3185" t="s">
        <v>3154</v>
      </c>
      <c r="B50" s="3185" t="s">
        <v>3001</v>
      </c>
      <c r="C50" s="3185" t="s">
        <v>3002</v>
      </c>
      <c r="D50" s="3185">
        <v>534708.19999999995</v>
      </c>
      <c r="E50" s="3185">
        <v>1871479</v>
      </c>
      <c r="F50" s="3185">
        <v>3.5</v>
      </c>
      <c r="G50" s="3185" t="s">
        <v>3004</v>
      </c>
      <c r="H50" s="3185" t="s">
        <v>3155</v>
      </c>
      <c r="I50" s="3185">
        <v>524014</v>
      </c>
      <c r="J50" s="3185">
        <v>701804.5</v>
      </c>
      <c r="K50" s="3185">
        <v>3750</v>
      </c>
      <c r="L50" s="3185">
        <f t="shared" si="0"/>
        <v>13125</v>
      </c>
      <c r="M50" s="3185">
        <v>33.93</v>
      </c>
      <c r="N50" s="3185" t="s">
        <v>3156</v>
      </c>
    </row>
    <row r="51" spans="1:14">
      <c r="A51" s="3185" t="s">
        <v>3157</v>
      </c>
      <c r="B51" s="3185" t="s">
        <v>3001</v>
      </c>
      <c r="C51" s="3185" t="s">
        <v>3002</v>
      </c>
      <c r="D51" s="3185">
        <v>272218.8</v>
      </c>
      <c r="E51" s="3185">
        <v>603893.6</v>
      </c>
      <c r="F51" s="3185" t="s">
        <v>3158</v>
      </c>
      <c r="G51" s="3185" t="s">
        <v>3004</v>
      </c>
      <c r="H51" s="3185" t="s">
        <v>3159</v>
      </c>
      <c r="I51" s="3185" t="s">
        <v>2816</v>
      </c>
      <c r="J51" s="3185">
        <v>464998.09</v>
      </c>
      <c r="K51" s="3185">
        <v>7700</v>
      </c>
      <c r="L51" s="3185">
        <f t="shared" si="0"/>
        <v>17082</v>
      </c>
      <c r="M51" s="3185" t="s">
        <v>2816</v>
      </c>
      <c r="N51" s="3185" t="s">
        <v>3160</v>
      </c>
    </row>
  </sheetData>
  <phoneticPr fontId="233"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9</v>
      </c>
    </row>
    <row r="2" spans="1:31" s="2043" customFormat="1" ht="18" customHeight="1">
      <c r="A2" s="2103" t="s">
        <v>466</v>
      </c>
      <c r="B2" s="2107">
        <f ca="1">C36</f>
        <v>394244</v>
      </c>
      <c r="C2" s="2106"/>
      <c r="D2" s="2106"/>
      <c r="E2" s="2106"/>
      <c r="F2" s="2106"/>
      <c r="G2" s="2106"/>
      <c r="H2" s="2106"/>
      <c r="I2" s="2106"/>
      <c r="J2" s="2106"/>
      <c r="K2" s="2106"/>
    </row>
    <row r="3" spans="1:31" s="2043" customFormat="1" ht="18" customHeight="1">
      <c r="A3" s="2108" t="s">
        <v>1683</v>
      </c>
      <c r="B3" s="2109">
        <f ca="1">ROUND(B2*10000/IF(B1="",'数据-汇总表'!E3,INDIRECT("'数据-取费表'!K"&amp;$K$1)),0)</f>
        <v>25281</v>
      </c>
      <c r="C3" s="2106"/>
      <c r="D3" s="2106"/>
      <c r="E3" s="2106"/>
      <c r="F3" s="2106"/>
      <c r="G3" s="2106"/>
      <c r="H3" s="2106"/>
      <c r="I3" s="2106"/>
      <c r="J3" s="2106"/>
      <c r="K3" s="2106"/>
    </row>
    <row r="4" spans="1:31" s="2043" customFormat="1" ht="18" customHeight="1">
      <c r="A4" s="426" t="s">
        <v>467</v>
      </c>
      <c r="B4" s="427">
        <f ca="1">ROUND(B2*10000/IF(B1="",'数据-汇总表'!D3,INDIRECT("'数据-取费表'!R"&amp;$K$1)),0)</f>
        <v>281601</v>
      </c>
      <c r="C4" s="428"/>
      <c r="D4" s="422"/>
      <c r="E4" s="422"/>
      <c r="F4" s="422"/>
      <c r="G4" s="422"/>
      <c r="H4" s="422"/>
      <c r="I4" s="422"/>
      <c r="J4" s="422"/>
      <c r="K4" s="422"/>
    </row>
    <row r="5" spans="1:31" s="2043" customFormat="1" ht="18" customHeight="1" thickBot="1">
      <c r="A5" s="429"/>
      <c r="B5" s="430">
        <f ca="1">ROUND(B2/(IF(B1="",'数据-汇总表'!D3,INDIRECT("'数据-取费表'!R"&amp;$K$1))/666.67),0)</f>
        <v>18774</v>
      </c>
      <c r="C5" s="431" t="s">
        <v>468</v>
      </c>
      <c r="D5" s="422"/>
      <c r="E5" s="422"/>
      <c r="F5" s="422"/>
      <c r="G5" s="422"/>
      <c r="H5" s="422"/>
      <c r="I5" s="422"/>
      <c r="J5" s="422"/>
      <c r="K5" s="422"/>
    </row>
    <row r="6" spans="1:31" s="2113" customFormat="1" ht="16.5" customHeight="1">
      <c r="A6" s="2830" t="s">
        <v>1841</v>
      </c>
      <c r="B6" s="2831"/>
      <c r="C6" s="2832">
        <f ca="1">SUM(C10:K10)</f>
        <v>623715</v>
      </c>
      <c r="D6" s="2831"/>
      <c r="E6" s="2831"/>
      <c r="F6" s="2831"/>
      <c r="G6" s="2831"/>
      <c r="H6" s="2831"/>
      <c r="I6" s="2831"/>
      <c r="J6" s="2831"/>
      <c r="K6" s="2833"/>
    </row>
    <row r="7" spans="1:31" s="2115" customFormat="1" ht="15">
      <c r="A7" s="2834" t="s">
        <v>469</v>
      </c>
      <c r="B7" s="2835" t="s">
        <v>470</v>
      </c>
      <c r="C7" s="436" t="s">
        <v>922</v>
      </c>
      <c r="D7" s="436" t="s">
        <v>3222</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471</v>
      </c>
      <c r="C8" s="2836">
        <f>'不动产比较法-住宅'!B3</f>
        <v>56440</v>
      </c>
      <c r="D8" s="2836">
        <f ca="1">不动产收益法会所!C43</f>
        <v>22983</v>
      </c>
      <c r="E8" s="2836">
        <f ca="1">不动产收益法车库!C43</f>
        <v>5566</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472</v>
      </c>
      <c r="C9" s="441">
        <f>SUMIF('数据-汇总表'!$C19:$C33,'剩余法-待开发'!C7,'数据-汇总表'!$E19:$E33)</f>
        <v>105477.65</v>
      </c>
      <c r="D9" s="441">
        <f>SUMIF('数据-汇总表'!$C19:$C33,'剩余法-待开发'!D7,'数据-汇总表'!$E19:$E33)</f>
        <v>2906.04</v>
      </c>
      <c r="E9" s="441">
        <f>SUMIF('数据-汇总表'!$C19:$C33,'剩余法-待开发'!E7,'数据-汇总表'!$E19:$E33)</f>
        <v>39021.96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1846</v>
      </c>
      <c r="B10" s="2824" t="s">
        <v>473</v>
      </c>
      <c r="C10" s="3031">
        <f>'不动产比较法-住宅'!B2</f>
        <v>595316</v>
      </c>
      <c r="D10" s="3031">
        <f ca="1">不动产收益法会所!C40</f>
        <v>6679</v>
      </c>
      <c r="E10" s="3031">
        <f ca="1">不动产收益法车库!C40</f>
        <v>21720</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1842</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1847</v>
      </c>
      <c r="B13" s="2845" t="s">
        <v>478</v>
      </c>
      <c r="C13" s="450">
        <f ca="1">IF(B1="",'数据-取费表'!P16,INDIRECT("'数据-取费表'!p"&amp;$K$1)+INDIRECT("'数据-取费表'!t"&amp;$K$1))</f>
        <v>40425</v>
      </c>
      <c r="D13" s="2846"/>
      <c r="E13" s="2847"/>
      <c r="F13" s="2848"/>
      <c r="G13" s="2814"/>
      <c r="H13" s="2815"/>
      <c r="I13" s="2815"/>
      <c r="J13" s="2815"/>
      <c r="K13" s="2816"/>
    </row>
    <row r="14" spans="1:31" s="2118" customFormat="1" ht="13.5" customHeight="1">
      <c r="A14" s="2844" t="s">
        <v>1848</v>
      </c>
      <c r="B14" s="2845" t="s">
        <v>479</v>
      </c>
      <c r="C14" s="53">
        <f ca="1">ROUND(C13*F14,0)</f>
        <v>1213</v>
      </c>
      <c r="D14" s="2846"/>
      <c r="E14" s="2847"/>
      <c r="F14" s="2849">
        <f>'数据-取费表'!B33</f>
        <v>0.03</v>
      </c>
      <c r="G14" s="2814" t="s">
        <v>480</v>
      </c>
      <c r="H14" s="2815"/>
      <c r="I14" s="2815"/>
      <c r="J14" s="2815"/>
      <c r="K14" s="2816"/>
    </row>
    <row r="15" spans="1:31" s="2118" customFormat="1" ht="13.5" customHeight="1">
      <c r="A15" s="2844" t="s">
        <v>1849</v>
      </c>
      <c r="B15" s="2845" t="s">
        <v>481</v>
      </c>
      <c r="C15" s="53">
        <f ca="1">ROUND(IF(B1="",SUMIF('数据-取费表'!C:C,"住宅",'数据-取费表'!P:P)*F15,IF(INDIRECT("'数据-取费表'!c"&amp;$K$1)="住宅",INDIRECT("'数据-取费表'!P"&amp;$K$1)*F15,0)),0)</f>
        <v>1371</v>
      </c>
      <c r="D15" s="2846"/>
      <c r="E15" s="2847"/>
      <c r="F15" s="2849">
        <f>'数据-取费表'!B34</f>
        <v>0.05</v>
      </c>
      <c r="G15" s="2814" t="s">
        <v>482</v>
      </c>
      <c r="H15" s="2815"/>
      <c r="I15" s="2815"/>
      <c r="J15" s="2815"/>
      <c r="K15" s="2816"/>
    </row>
    <row r="16" spans="1:31" s="2119" customFormat="1" ht="13.5" customHeight="1">
      <c r="A16" s="2844" t="s">
        <v>1850</v>
      </c>
      <c r="B16" s="2845" t="s">
        <v>483</v>
      </c>
      <c r="C16" s="53">
        <f ca="1">ROUND(D16*E16/10000,0)</f>
        <v>3119</v>
      </c>
      <c r="D16" s="2846">
        <f ca="1">IF(B1="",'数据-汇总表'!E3,INDIRECT("'数据-取费表'!K"&amp;$K$1)+INDIRECT("'数据-取费表'!S"&amp;$K$1))</f>
        <v>155944.13</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1851</v>
      </c>
      <c r="B17" s="2845" t="s">
        <v>484</v>
      </c>
      <c r="C17" s="2850">
        <f ca="1">ROUND(C13*F17,0)</f>
        <v>606</v>
      </c>
      <c r="D17" s="475"/>
      <c r="E17" s="2850"/>
      <c r="F17" s="2851">
        <f>'数据-取费表'!B36</f>
        <v>1.4999999999999999E-2</v>
      </c>
      <c r="G17" s="261" t="s">
        <v>485</v>
      </c>
      <c r="H17" s="2817"/>
      <c r="I17" s="2817"/>
      <c r="J17" s="2817"/>
      <c r="K17" s="279"/>
    </row>
    <row r="18" spans="1:14" s="2118" customFormat="1" ht="13.5" customHeight="1">
      <c r="A18" s="2852" t="s">
        <v>1852</v>
      </c>
      <c r="B18" s="2853" t="s">
        <v>486</v>
      </c>
      <c r="C18" s="2854">
        <f ca="1">SUM(C13:C17)</f>
        <v>46734</v>
      </c>
      <c r="D18" s="2855"/>
      <c r="E18" s="468"/>
      <c r="F18" s="468"/>
      <c r="G18" s="2818" t="s">
        <v>2430</v>
      </c>
      <c r="H18" s="2819"/>
      <c r="I18" s="2819"/>
      <c r="J18" s="2819"/>
      <c r="K18" s="2820"/>
    </row>
    <row r="19" spans="1:14" s="2118" customFormat="1" ht="13.5" customHeight="1">
      <c r="A19" s="2852" t="s">
        <v>1853</v>
      </c>
      <c r="B19" s="2853" t="s">
        <v>487</v>
      </c>
      <c r="C19" s="2810">
        <f ca="1">ROUND(D19*E19/10000,0)</f>
        <v>1559</v>
      </c>
      <c r="D19" s="2856">
        <f ca="1">D16</f>
        <v>155944.13</v>
      </c>
      <c r="E19" s="2810">
        <f>'数据-取费表'!B32</f>
        <v>100</v>
      </c>
      <c r="F19" s="468"/>
      <c r="G19" s="2814" t="s">
        <v>488</v>
      </c>
      <c r="H19" s="2815"/>
      <c r="I19" s="2819"/>
      <c r="J19" s="2819"/>
      <c r="K19" s="2820"/>
    </row>
    <row r="20" spans="1:14" s="2118" customFormat="1" ht="13.5" customHeight="1">
      <c r="A20" s="2852" t="s">
        <v>1854</v>
      </c>
      <c r="B20" s="2853" t="s">
        <v>489</v>
      </c>
      <c r="C20" s="2810">
        <f ca="1">C21+C22-IF(B1="",'数据-取费表'!B29,IF(G20="已全部缴纳",C21+C22,H20))</f>
        <v>1560</v>
      </c>
      <c r="D20" s="2856"/>
      <c r="E20" s="2810"/>
      <c r="F20" s="2857"/>
      <c r="G20" s="3089"/>
      <c r="H20" s="2812"/>
      <c r="I20" s="2813" t="s">
        <v>2649</v>
      </c>
      <c r="J20" s="2819"/>
      <c r="K20" s="2820"/>
    </row>
    <row r="21" spans="1:14" s="2118" customFormat="1" ht="13.5" customHeight="1">
      <c r="A21" s="2844" t="s">
        <v>1855</v>
      </c>
      <c r="B21" s="2845" t="s">
        <v>490</v>
      </c>
      <c r="C21" s="53">
        <f ca="1">ROUND(D21*E21/10000,0)</f>
        <v>1055</v>
      </c>
      <c r="D21" s="2846">
        <f ca="1">IF(B1="",'数据-汇总表'!E5,IF(INDIRECT("'数据-取费表'!c"&amp;$K$1)="住宅",INDIRECT("'数据-取费表'!k"&amp;$K$1),0))</f>
        <v>105477.65</v>
      </c>
      <c r="E21" s="53">
        <f>'数据-取费表'!B27</f>
        <v>100</v>
      </c>
      <c r="F21" s="2849"/>
      <c r="G21" s="26"/>
      <c r="H21" s="51"/>
      <c r="I21" s="51"/>
      <c r="J21" s="51"/>
      <c r="K21" s="2821"/>
    </row>
    <row r="22" spans="1:14" s="2118" customFormat="1" ht="13.5" customHeight="1">
      <c r="A22" s="2844" t="s">
        <v>1856</v>
      </c>
      <c r="B22" s="2845" t="s">
        <v>491</v>
      </c>
      <c r="C22" s="53">
        <f ca="1">ROUND(D22*E22/10000,0)</f>
        <v>505</v>
      </c>
      <c r="D22" s="2846">
        <f ca="1">IF(B1="",'数据-汇总表'!E6,IF(INDIRECT("'数据-取费表'!c"&amp;$K$1)="住宅",INDIRECT("'数据-取费表'!s"&amp;$K$1),INDIRECT("'数据-取费表'!k"&amp;$K$1)+INDIRECT("'数据-取费表'!s"&amp;$K$1)))</f>
        <v>50466.48000000001</v>
      </c>
      <c r="E22" s="53">
        <f>'数据-取费表'!B28</f>
        <v>100</v>
      </c>
      <c r="F22" s="2849"/>
      <c r="G22" s="26"/>
      <c r="H22" s="51"/>
      <c r="I22" s="51"/>
      <c r="J22" s="51"/>
      <c r="K22" s="2821"/>
    </row>
    <row r="23" spans="1:14" s="2118" customFormat="1" ht="13.5" customHeight="1">
      <c r="A23" s="2852" t="s">
        <v>1857</v>
      </c>
      <c r="B23" s="3037" t="s">
        <v>2832</v>
      </c>
      <c r="C23" s="2854">
        <f ca="1">ROUND((C18+C19+C20)*F23,0)</f>
        <v>1496</v>
      </c>
      <c r="D23" s="468"/>
      <c r="E23" s="468"/>
      <c r="F23" s="2858">
        <f>'数据-取费表'!B37</f>
        <v>0.03</v>
      </c>
      <c r="G23" s="2814" t="s">
        <v>2431</v>
      </c>
      <c r="H23" s="2815"/>
      <c r="I23" s="2815"/>
      <c r="J23" s="2815"/>
      <c r="K23" s="2816"/>
      <c r="L23" s="2120"/>
      <c r="M23" s="2120"/>
      <c r="N23" s="2120"/>
    </row>
    <row r="24" spans="1:14" s="2118" customFormat="1" ht="13.5" customHeight="1">
      <c r="A24" s="2852" t="s">
        <v>1858</v>
      </c>
      <c r="B24" s="3037" t="s">
        <v>2835</v>
      </c>
      <c r="C24" s="2854">
        <f ca="1">ROUND(C6*F24,0)</f>
        <v>12474</v>
      </c>
      <c r="D24" s="475"/>
      <c r="E24" s="473"/>
      <c r="F24" s="2858">
        <f>'数据-取费表'!B38</f>
        <v>0.02</v>
      </c>
      <c r="G24" s="2823" t="s">
        <v>498</v>
      </c>
      <c r="H24" s="2817"/>
      <c r="I24" s="2817"/>
      <c r="J24" s="2817"/>
      <c r="K24" s="279"/>
      <c r="L24" s="2120"/>
      <c r="M24" s="2120"/>
      <c r="N24" s="2120"/>
    </row>
    <row r="25" spans="1:14" s="2121" customFormat="1" ht="13.5" customHeight="1">
      <c r="A25" s="2852" t="s">
        <v>1859</v>
      </c>
      <c r="B25" s="3037" t="s">
        <v>2833</v>
      </c>
      <c r="C25" s="467">
        <f>ROUND(F25/(1+'数据-取费表'!C42),4)</f>
        <v>2.9000000000000001E-2</v>
      </c>
      <c r="D25" s="462" t="s">
        <v>2827</v>
      </c>
      <c r="E25" s="469"/>
      <c r="F25" s="2858">
        <f>'数据-取费表'!B48+'数据-取费表'!B49</f>
        <v>3.0499999999999999E-2</v>
      </c>
      <c r="G25" s="2822" t="s">
        <v>2289</v>
      </c>
      <c r="H25" s="2815"/>
      <c r="I25" s="2815"/>
      <c r="J25" s="2815"/>
      <c r="K25" s="2816"/>
    </row>
    <row r="26" spans="1:14" s="2120" customFormat="1" ht="13.5" customHeight="1">
      <c r="A26" s="2852" t="s">
        <v>1860</v>
      </c>
      <c r="B26" s="3038" t="s">
        <v>2834</v>
      </c>
      <c r="C26" s="2859">
        <f ca="1">C28</f>
        <v>4601</v>
      </c>
      <c r="D26" s="467">
        <f ca="1">C27</f>
        <v>0.1537</v>
      </c>
      <c r="E26" s="469" t="s">
        <v>494</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1855</v>
      </c>
      <c r="B27" s="2860" t="s">
        <v>495</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1856</v>
      </c>
      <c r="B28" s="2860" t="s">
        <v>2836</v>
      </c>
      <c r="C28" s="2862">
        <f ca="1">ROUND(IF('数据-取费表'!B22&lt;=1,(C18+C19+C20+C23+C24)*F26*'数据-取费表'!B24/2,(C18+C19+C20+C23+C24)*(POWER((1+F26),'数据-取费表'!B24/2)-1)),0)</f>
        <v>4601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1861</v>
      </c>
      <c r="B29" s="2853" t="s">
        <v>496</v>
      </c>
      <c r="C29" s="2854">
        <f ca="1">ROUND(C6*F29/(1+'数据-取费表'!C42),0)</f>
        <v>32671</v>
      </c>
      <c r="D29" s="468"/>
      <c r="E29" s="468"/>
      <c r="F29" s="3039">
        <f>'数据-取费表'!B41</f>
        <v>5.5000000000000007E-2</v>
      </c>
      <c r="G29" s="2823" t="s">
        <v>497</v>
      </c>
      <c r="H29" s="2815"/>
      <c r="I29" s="2815"/>
      <c r="J29" s="2815"/>
      <c r="K29" s="2816"/>
    </row>
    <row r="30" spans="1:14" s="2123" customFormat="1" ht="13.5" customHeight="1">
      <c r="A30" s="1636" t="s">
        <v>1862</v>
      </c>
      <c r="B30" s="2864" t="s">
        <v>499</v>
      </c>
      <c r="C30" s="2859">
        <f ca="1">C31</f>
        <v>101095</v>
      </c>
      <c r="D30" s="477">
        <f ca="1">C32</f>
        <v>0.1827</v>
      </c>
      <c r="E30" s="469" t="s">
        <v>494</v>
      </c>
      <c r="F30" s="471"/>
      <c r="G30" s="2822" t="s">
        <v>2969</v>
      </c>
      <c r="H30" s="2815"/>
      <c r="I30" s="2815"/>
      <c r="J30" s="2815"/>
      <c r="K30" s="2816"/>
    </row>
    <row r="31" spans="1:14" s="2122" customFormat="1" ht="13.5" customHeight="1">
      <c r="A31" s="803" t="s">
        <v>1855</v>
      </c>
      <c r="B31" s="2860"/>
      <c r="C31" s="450">
        <f ca="1">C18+C19+C20+C23+C24+C26+C29</f>
        <v>101095</v>
      </c>
      <c r="D31" s="472"/>
      <c r="E31" s="473"/>
      <c r="F31" s="474"/>
      <c r="G31" s="261"/>
      <c r="H31" s="2817"/>
      <c r="I31" s="2817"/>
      <c r="J31" s="2817"/>
      <c r="K31" s="279"/>
    </row>
    <row r="32" spans="1:14" s="2122" customFormat="1" ht="13.5" customHeight="1">
      <c r="A32" s="803" t="s">
        <v>1856</v>
      </c>
      <c r="B32" s="2860"/>
      <c r="C32" s="53">
        <f ca="1">ROUND(C25+D26,4)</f>
        <v>0.1827</v>
      </c>
      <c r="D32" s="472"/>
      <c r="E32" s="473"/>
      <c r="F32" s="474"/>
      <c r="G32" s="261"/>
      <c r="H32" s="2817"/>
      <c r="I32" s="2817"/>
      <c r="J32" s="2817"/>
      <c r="K32" s="279"/>
    </row>
    <row r="33" spans="1:11" s="2124" customFormat="1" ht="13.5" customHeight="1">
      <c r="A33" s="3036" t="s">
        <v>2831</v>
      </c>
      <c r="B33" s="3034" t="s">
        <v>2829</v>
      </c>
      <c r="C33" s="478">
        <f ca="1">C35</f>
        <v>7659</v>
      </c>
      <c r="D33" s="467">
        <f ca="1">C34</f>
        <v>0.1235</v>
      </c>
      <c r="E33" s="469" t="s">
        <v>494</v>
      </c>
      <c r="F33" s="479">
        <f ca="1">IF(B1="",'数据-取费表'!Q16,INDIRECT("'数据-取费表'!q"&amp;$K$1))</f>
        <v>0.12</v>
      </c>
      <c r="G33" s="2818"/>
      <c r="H33" s="2819"/>
      <c r="I33" s="2819"/>
      <c r="J33" s="2819"/>
      <c r="K33" s="2820"/>
    </row>
    <row r="34" spans="1:11" s="2125" customFormat="1" ht="13.5" customHeight="1">
      <c r="A34" s="375" t="s">
        <v>1855</v>
      </c>
      <c r="B34" s="2865" t="s">
        <v>500</v>
      </c>
      <c r="C34" s="472">
        <f ca="1">ROUND((1+C25)*F33,4)</f>
        <v>0.1235</v>
      </c>
      <c r="D34" s="472"/>
      <c r="E34" s="473"/>
      <c r="F34" s="480"/>
      <c r="G34" s="261" t="s">
        <v>2290</v>
      </c>
      <c r="H34" s="2817"/>
      <c r="I34" s="2817"/>
      <c r="J34" s="2817"/>
      <c r="K34" s="279"/>
    </row>
    <row r="35" spans="1:11" s="2125" customFormat="1" ht="13.5" customHeight="1" thickBot="1">
      <c r="A35" s="1637" t="s">
        <v>1856</v>
      </c>
      <c r="B35" s="3035" t="s">
        <v>2837</v>
      </c>
      <c r="C35" s="1629">
        <f ca="1">ROUND((C18+C19+C20+C23+C24)*F33,0)</f>
        <v>7659</v>
      </c>
      <c r="D35" s="1630"/>
      <c r="E35" s="2866"/>
      <c r="F35" s="1631"/>
      <c r="G35" s="2824"/>
      <c r="H35" s="2825"/>
      <c r="I35" s="2825"/>
      <c r="J35" s="2825"/>
      <c r="K35" s="2826"/>
    </row>
    <row r="36" spans="1:11" s="2087" customFormat="1" ht="13.5" customHeight="1" thickBot="1">
      <c r="A36" s="284" t="s">
        <v>1843</v>
      </c>
      <c r="B36" s="2828"/>
      <c r="C36" s="2867">
        <f ca="1">ROUND((C6-C30-C33)/(1+D30+D33),0)</f>
        <v>394244</v>
      </c>
      <c r="D36" s="2828"/>
      <c r="E36" s="2828"/>
      <c r="F36" s="2828"/>
      <c r="G36" s="2827" t="s">
        <v>2838</v>
      </c>
      <c r="H36" s="2828"/>
      <c r="I36" s="2828"/>
      <c r="J36" s="2828"/>
      <c r="K36" s="282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2650</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1847</v>
      </c>
      <c r="B13" s="449" t="s">
        <v>478</v>
      </c>
      <c r="C13" s="450">
        <f ca="1">IF(B1="",'数据-取费表'!M16,INDIRECT("'数据-取费表'!M"&amp;$K$1)+INDIRECT("'数据-取费表'!t"&amp;$K$1))</f>
        <v>40425</v>
      </c>
      <c r="D13" s="451"/>
      <c r="E13" s="365"/>
      <c r="F13" s="452"/>
      <c r="G13" s="444"/>
      <c r="H13" s="447"/>
      <c r="I13" s="447"/>
      <c r="J13" s="447"/>
      <c r="K13" s="448"/>
    </row>
    <row r="14" spans="1:41" s="2118" customFormat="1" ht="13.5" customHeight="1">
      <c r="A14" s="1634" t="s">
        <v>1848</v>
      </c>
      <c r="B14" s="449" t="s">
        <v>479</v>
      </c>
      <c r="C14" s="53">
        <f ca="1">ROUND(C13*F14,0)</f>
        <v>1213</v>
      </c>
      <c r="D14" s="451"/>
      <c r="E14" s="365"/>
      <c r="F14" s="453">
        <f>'数据-取费表'!B33</f>
        <v>0.03</v>
      </c>
      <c r="G14" s="444" t="s">
        <v>501</v>
      </c>
      <c r="H14" s="447"/>
      <c r="I14" s="447"/>
      <c r="J14" s="447"/>
      <c r="K14" s="448"/>
    </row>
    <row r="15" spans="1:41" s="2118" customFormat="1" ht="13.5" customHeight="1">
      <c r="A15" s="1634" t="s">
        <v>1849</v>
      </c>
      <c r="B15" s="449" t="s">
        <v>481</v>
      </c>
      <c r="C15" s="53">
        <f ca="1">ROUND(IF(B1="",SUMIF('数据-取费表'!C:C,"住宅",'数据-取费表'!M:M)*F15,IF(INDIRECT("'数据-取费表'!c"&amp;$K$1)="住宅",INDIRECT("'数据-取费表'!M"&amp;$K$1)*F15,0)),0)</f>
        <v>1371</v>
      </c>
      <c r="D15" s="451"/>
      <c r="E15" s="365"/>
      <c r="F15" s="453">
        <f>'数据-取费表'!B34</f>
        <v>0.05</v>
      </c>
      <c r="G15" s="444" t="s">
        <v>501</v>
      </c>
      <c r="H15" s="447"/>
      <c r="I15" s="447"/>
      <c r="J15" s="447"/>
      <c r="K15" s="448"/>
    </row>
    <row r="16" spans="1:41" s="2119" customFormat="1" ht="13.5" customHeight="1">
      <c r="A16" s="1634" t="s">
        <v>1850</v>
      </c>
      <c r="B16" s="449" t="s">
        <v>483</v>
      </c>
      <c r="C16" s="53">
        <f ca="1">ROUND(D16*E16/10000,0)</f>
        <v>3119</v>
      </c>
      <c r="D16" s="451">
        <f ca="1">IF(B1="",'数据-汇总表'!E3,INDIRECT("'数据-取费表'!K"&amp;$K$1)+INDIRECT("'数据-取费表'!S"&amp;$K$1))</f>
        <v>155944.13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484</v>
      </c>
      <c r="C17" s="454">
        <f ca="1">ROUND(C13*F17,0)</f>
        <v>606</v>
      </c>
      <c r="D17" s="455"/>
      <c r="E17" s="454"/>
      <c r="F17" s="456">
        <f>'数据-取费表'!B36</f>
        <v>1.4999999999999999E-2</v>
      </c>
      <c r="G17" s="444" t="s">
        <v>501</v>
      </c>
      <c r="H17" s="457"/>
      <c r="I17" s="457"/>
      <c r="J17" s="457"/>
      <c r="K17" s="458"/>
    </row>
    <row r="18" spans="1:14" s="2121" customFormat="1" ht="13.5" customHeight="1">
      <c r="A18" s="1635" t="s">
        <v>1852</v>
      </c>
      <c r="B18" s="459" t="s">
        <v>486</v>
      </c>
      <c r="C18" s="460">
        <f ca="1">SUM(C13:C17)</f>
        <v>46734</v>
      </c>
      <c r="D18" s="461"/>
      <c r="E18" s="462"/>
      <c r="F18" s="462"/>
      <c r="G18" s="1327" t="s">
        <v>2432</v>
      </c>
      <c r="H18" s="447"/>
      <c r="I18" s="447"/>
      <c r="J18" s="447"/>
      <c r="K18" s="448"/>
    </row>
    <row r="19" spans="1:14" s="2121" customFormat="1" ht="13.5" customHeight="1">
      <c r="A19" s="1635" t="s">
        <v>1853</v>
      </c>
      <c r="B19" s="459" t="s">
        <v>492</v>
      </c>
      <c r="C19" s="460">
        <f ca="1">ROUND(C18*F19,0)</f>
        <v>1402</v>
      </c>
      <c r="D19" s="462"/>
      <c r="E19" s="462"/>
      <c r="F19" s="466">
        <f>'数据-取费表'!B37</f>
        <v>0.03</v>
      </c>
      <c r="G19" s="444" t="s">
        <v>502</v>
      </c>
      <c r="H19" s="447"/>
      <c r="I19" s="447"/>
      <c r="J19" s="447"/>
      <c r="K19" s="448"/>
      <c r="L19" s="2123"/>
      <c r="M19" s="2123"/>
      <c r="N19" s="2123"/>
    </row>
    <row r="20" spans="1:14" s="2121" customFormat="1" ht="13.5" customHeight="1">
      <c r="A20" s="1635" t="s">
        <v>1854</v>
      </c>
      <c r="B20" s="459" t="s">
        <v>503</v>
      </c>
      <c r="C20" s="3032">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1857</v>
      </c>
      <c r="B21" s="461" t="s">
        <v>493</v>
      </c>
      <c r="C21" s="470">
        <f ca="1">C22</f>
        <v>3470</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1847</v>
      </c>
      <c r="B22" s="1328" t="s">
        <v>2435</v>
      </c>
      <c r="C22" s="487">
        <f ca="1">ROUND(IF('数据-取费表'!B22&lt;=1,(C18+C19)*F21*'数据-取费表'!B20/2,(C18+C19)*(POWER((1+F21),'数据-取费表'!B20/2)-1)),0)</f>
        <v>3470</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1848</v>
      </c>
      <c r="B23" s="1328" t="s">
        <v>507</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34" t="s">
        <v>2830</v>
      </c>
      <c r="C24" s="478">
        <f ca="1">C25</f>
        <v>5776</v>
      </c>
      <c r="D24" s="489">
        <f ca="1">C26</f>
        <v>2.3999999999999998E-3</v>
      </c>
      <c r="E24" s="469" t="s">
        <v>506</v>
      </c>
      <c r="F24" s="479">
        <f ca="1">IF(B1="",'数据-取费表'!Q16,INDIRECT("'数据-取费表'!q"&amp;$K$1))</f>
        <v>0.12</v>
      </c>
      <c r="G24" s="444"/>
      <c r="H24" s="447"/>
      <c r="I24" s="447"/>
      <c r="J24" s="447"/>
      <c r="K24" s="448"/>
    </row>
    <row r="25" spans="1:14" s="2122" customFormat="1" ht="13.5" customHeight="1">
      <c r="A25" s="1634" t="s">
        <v>1847</v>
      </c>
      <c r="B25" s="1328" t="s">
        <v>2436</v>
      </c>
      <c r="C25" s="490">
        <f ca="1">ROUND((C18+C19)*F24,0)</f>
        <v>5776</v>
      </c>
      <c r="D25" s="472"/>
      <c r="E25" s="473"/>
      <c r="F25" s="480"/>
      <c r="G25" s="1326" t="s">
        <v>2433</v>
      </c>
      <c r="H25" s="457"/>
      <c r="I25" s="457"/>
      <c r="J25" s="457"/>
      <c r="K25" s="458"/>
    </row>
    <row r="26" spans="1:14" s="2122" customFormat="1" ht="13.5" customHeight="1">
      <c r="A26" s="1634" t="s">
        <v>1848</v>
      </c>
      <c r="B26" s="1328" t="s">
        <v>508</v>
      </c>
      <c r="C26" s="491">
        <f ca="1">ROUND(F20*F24,4)</f>
        <v>2.3999999999999998E-3</v>
      </c>
      <c r="D26" s="472"/>
      <c r="E26" s="481"/>
      <c r="F26" s="480"/>
      <c r="G26" s="1326" t="s">
        <v>509</v>
      </c>
      <c r="H26" s="457"/>
      <c r="I26" s="457"/>
      <c r="J26" s="457"/>
      <c r="K26" s="458"/>
    </row>
    <row r="27" spans="1:14" s="2122" customFormat="1" ht="13.5" customHeight="1">
      <c r="A27" s="1638" t="s">
        <v>1866</v>
      </c>
      <c r="B27" s="459" t="s">
        <v>510</v>
      </c>
      <c r="C27" s="3033">
        <f>ROUND(F27/(1+'数据-取费表'!C42),4)</f>
        <v>5.2400000000000002E-2</v>
      </c>
      <c r="D27" s="462" t="s">
        <v>2828</v>
      </c>
      <c r="E27" s="462"/>
      <c r="F27" s="466">
        <f>'数据-取费表'!B41</f>
        <v>5.5000000000000007E-2</v>
      </c>
      <c r="G27" s="1962" t="s">
        <v>2291</v>
      </c>
      <c r="H27" s="447"/>
      <c r="I27" s="447"/>
      <c r="J27" s="447"/>
      <c r="K27" s="448"/>
    </row>
    <row r="28" spans="1:14" s="2123" customFormat="1" ht="13.5" customHeight="1">
      <c r="A28" s="1638" t="s">
        <v>1867</v>
      </c>
      <c r="B28" s="476" t="s">
        <v>511</v>
      </c>
      <c r="C28" s="470">
        <f ca="1">ROUND((C18+C19+C21+C24)/(1-C20-D21-D24-C27),0)</f>
        <v>62115</v>
      </c>
      <c r="D28" s="477"/>
      <c r="E28" s="469"/>
      <c r="F28" s="471"/>
      <c r="G28" s="1327" t="s">
        <v>2434</v>
      </c>
      <c r="H28" s="447"/>
      <c r="I28" s="447"/>
      <c r="J28" s="447"/>
      <c r="K28" s="448"/>
    </row>
    <row r="29" spans="1:14" s="2123" customFormat="1" ht="13.5" customHeight="1">
      <c r="A29" s="1638" t="s">
        <v>1868</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1864</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5"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92" t="s">
        <v>521</v>
      </c>
      <c r="D6" s="3393"/>
      <c r="E6" s="3426" t="s">
        <v>522</v>
      </c>
      <c r="F6" s="3427"/>
      <c r="G6" s="3392" t="s">
        <v>523</v>
      </c>
      <c r="H6" s="3393"/>
      <c r="I6" s="3392" t="s">
        <v>524</v>
      </c>
      <c r="J6" s="3393"/>
      <c r="K6" s="514" t="s">
        <v>525</v>
      </c>
      <c r="L6" s="2135"/>
      <c r="M6" s="2136"/>
      <c r="N6" s="2136"/>
      <c r="O6" s="2136"/>
      <c r="P6" s="3394" t="s">
        <v>526</v>
      </c>
      <c r="Q6" s="3395"/>
      <c r="R6" s="3400" t="s">
        <v>522</v>
      </c>
      <c r="S6" s="3401"/>
      <c r="T6" s="3400" t="s">
        <v>523</v>
      </c>
      <c r="U6" s="3401"/>
      <c r="V6" s="3387" t="s">
        <v>524</v>
      </c>
      <c r="W6" s="3387"/>
      <c r="X6" s="1568"/>
      <c r="Y6" s="3400" t="s">
        <v>526</v>
      </c>
      <c r="Z6" s="3401"/>
      <c r="AA6" s="3389" t="s">
        <v>522</v>
      </c>
      <c r="AB6" s="3390" t="s">
        <v>523</v>
      </c>
      <c r="AC6" s="3389" t="s">
        <v>524</v>
      </c>
    </row>
    <row r="7" spans="1:29" ht="15">
      <c r="A7" s="515"/>
      <c r="B7" s="516"/>
      <c r="C7" s="3408" t="s">
        <v>2925</v>
      </c>
      <c r="D7" s="3409"/>
      <c r="E7" s="3428" t="s">
        <v>2926</v>
      </c>
      <c r="F7" s="3429"/>
      <c r="G7" s="3408" t="s">
        <v>2927</v>
      </c>
      <c r="H7" s="3409"/>
      <c r="I7" s="3408" t="s">
        <v>2928</v>
      </c>
      <c r="J7" s="3409"/>
      <c r="K7" s="514"/>
      <c r="L7" s="2135"/>
      <c r="M7" s="2136"/>
      <c r="N7" s="2136"/>
      <c r="O7" s="2136"/>
      <c r="P7" s="3396"/>
      <c r="Q7" s="3397"/>
      <c r="R7" s="3402"/>
      <c r="S7" s="3403"/>
      <c r="T7" s="3402"/>
      <c r="U7" s="3403"/>
      <c r="V7" s="3387"/>
      <c r="W7" s="3387"/>
      <c r="X7" s="1568"/>
      <c r="Y7" s="3402"/>
      <c r="Z7" s="3403"/>
      <c r="AA7" s="3390"/>
      <c r="AB7" s="3390"/>
      <c r="AC7" s="3390"/>
    </row>
    <row r="8" spans="1:29" ht="15.75" thickBot="1">
      <c r="A8" s="517"/>
      <c r="B8" s="518"/>
      <c r="C8" s="3406" t="s">
        <v>2929</v>
      </c>
      <c r="D8" s="3407"/>
      <c r="E8" s="3424" t="s">
        <v>2929</v>
      </c>
      <c r="F8" s="3425"/>
      <c r="G8" s="3406" t="s">
        <v>2929</v>
      </c>
      <c r="H8" s="3407"/>
      <c r="I8" s="3406" t="s">
        <v>2929</v>
      </c>
      <c r="J8" s="3407"/>
      <c r="K8" s="514" t="s">
        <v>527</v>
      </c>
      <c r="L8" s="2135"/>
      <c r="M8" s="2136"/>
      <c r="N8" s="2136"/>
      <c r="O8" s="2136"/>
      <c r="P8" s="3398"/>
      <c r="Q8" s="3399"/>
      <c r="R8" s="3402"/>
      <c r="S8" s="3403"/>
      <c r="T8" s="3404"/>
      <c r="U8" s="3405"/>
      <c r="V8" s="3387"/>
      <c r="W8" s="3387"/>
      <c r="X8" s="1568"/>
      <c r="Y8" s="3404"/>
      <c r="Z8" s="3405"/>
      <c r="AA8" s="3391"/>
      <c r="AB8" s="3391"/>
      <c r="AC8" s="3391"/>
    </row>
    <row r="9" spans="1:29" s="1220" customFormat="1" ht="15.75" thickBot="1">
      <c r="A9" s="2914"/>
      <c r="B9" s="2921" t="s">
        <v>528</v>
      </c>
      <c r="C9" s="519">
        <f>'数据-取费表'!B2</f>
        <v>43390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7" t="s">
        <v>529</v>
      </c>
      <c r="Q9" s="3419"/>
      <c r="R9" s="1569" t="s">
        <v>8</v>
      </c>
      <c r="S9" s="1570">
        <f t="shared" ref="S9:S17" si="0">F9</f>
        <v>0</v>
      </c>
      <c r="T9" s="1569" t="s">
        <v>8</v>
      </c>
      <c r="U9" s="1570">
        <f t="shared" ref="U9:U17" si="1">H9</f>
        <v>0</v>
      </c>
      <c r="V9" s="1569" t="s">
        <v>8</v>
      </c>
      <c r="W9" s="1570">
        <f t="shared" ref="W9:W17" si="2">J9</f>
        <v>0</v>
      </c>
      <c r="X9" s="1571"/>
      <c r="Y9" s="3417" t="s">
        <v>529</v>
      </c>
      <c r="Z9" s="3418"/>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7" t="s">
        <v>532</v>
      </c>
      <c r="Q10" s="3418"/>
      <c r="R10" s="1569" t="s">
        <v>8</v>
      </c>
      <c r="S10" s="1570">
        <f t="shared" si="0"/>
        <v>0</v>
      </c>
      <c r="T10" s="1569" t="s">
        <v>8</v>
      </c>
      <c r="U10" s="1570">
        <f t="shared" si="1"/>
        <v>0</v>
      </c>
      <c r="V10" s="1569" t="s">
        <v>8</v>
      </c>
      <c r="W10" s="1570">
        <f t="shared" si="2"/>
        <v>0</v>
      </c>
      <c r="X10" s="1571"/>
      <c r="Y10" s="3417" t="s">
        <v>532</v>
      </c>
      <c r="Z10" s="3418"/>
      <c r="AA10" s="1572" t="e">
        <f t="shared" ref="AA10:AA42" si="3">D10/F10</f>
        <v>#DIV/0!</v>
      </c>
      <c r="AB10" s="1572" t="e">
        <f t="shared" ref="AB10:AB42" si="4">D10/H10</f>
        <v>#DIV/0!</v>
      </c>
      <c r="AC10" s="1572" t="e">
        <f t="shared" ref="AC10:AC42" si="5">D10/J10</f>
        <v>#DIV/0!</v>
      </c>
    </row>
    <row r="11" spans="1:29" s="1220" customFormat="1" ht="15">
      <c r="A11" s="2916"/>
      <c r="B11" s="2923" t="s">
        <v>2754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6" t="s">
        <v>534</v>
      </c>
      <c r="Q11" s="1151" t="str">
        <f t="shared" ref="Q11:Q17" si="6">B11</f>
        <v>用途</v>
      </c>
      <c r="R11" s="1569" t="s">
        <v>8</v>
      </c>
      <c r="S11" s="1570">
        <f t="shared" si="0"/>
        <v>100</v>
      </c>
      <c r="T11" s="1569" t="s">
        <v>8</v>
      </c>
      <c r="U11" s="1570">
        <f t="shared" si="1"/>
        <v>100</v>
      </c>
      <c r="V11" s="1569" t="s">
        <v>8</v>
      </c>
      <c r="W11" s="1570">
        <f t="shared" si="2"/>
        <v>100</v>
      </c>
      <c r="X11" s="1571"/>
      <c r="Y11" s="3332" t="s">
        <v>535</v>
      </c>
      <c r="Z11" s="1150" t="str">
        <f t="shared" ref="Z11:Z17" si="7">Q11</f>
        <v>用途</v>
      </c>
      <c r="AA11" s="1572">
        <f t="shared" si="3"/>
        <v>1</v>
      </c>
      <c r="AB11" s="1572">
        <f t="shared" si="4"/>
        <v>1</v>
      </c>
      <c r="AC11" s="1572">
        <f t="shared" si="5"/>
        <v>1</v>
      </c>
    </row>
    <row r="12" spans="1:29" s="1338" customFormat="1" ht="27">
      <c r="A12" s="2917"/>
      <c r="B12" s="2922" t="s">
        <v>2755</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86"/>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29" ht="15">
      <c r="A13" s="2918"/>
      <c r="B13" s="2922"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6"/>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12" t="s">
        <v>2752</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0" t="s">
        <v>539</v>
      </c>
      <c r="Q17" s="1573" t="str">
        <f t="shared" si="6"/>
        <v>产业集聚程度</v>
      </c>
      <c r="R17" s="1574" t="s">
        <v>8</v>
      </c>
      <c r="S17" s="1575">
        <f t="shared" si="0"/>
        <v>100</v>
      </c>
      <c r="T17" s="1574" t="s">
        <v>8</v>
      </c>
      <c r="U17" s="1575">
        <f t="shared" si="1"/>
        <v>100</v>
      </c>
      <c r="V17" s="1574" t="s">
        <v>8</v>
      </c>
      <c r="W17" s="1575">
        <f t="shared" si="2"/>
        <v>100</v>
      </c>
      <c r="X17" s="1568"/>
      <c r="Y17" s="3420"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1"/>
      <c r="Q18" s="1573"/>
      <c r="R18" s="1574"/>
      <c r="S18" s="1575"/>
      <c r="T18" s="1574"/>
      <c r="U18" s="1575"/>
      <c r="V18" s="1574"/>
      <c r="W18" s="1575"/>
      <c r="X18" s="1568"/>
      <c r="Y18" s="3421"/>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1"/>
      <c r="Q19" s="1573" t="str">
        <f>B19</f>
        <v>交通便捷度</v>
      </c>
      <c r="R19" s="1574" t="s">
        <v>8</v>
      </c>
      <c r="S19" s="1575">
        <f>F19</f>
        <v>100</v>
      </c>
      <c r="T19" s="1574" t="s">
        <v>8</v>
      </c>
      <c r="U19" s="1575">
        <f>H19</f>
        <v>100</v>
      </c>
      <c r="V19" s="1574" t="s">
        <v>8</v>
      </c>
      <c r="W19" s="1575">
        <f>J19</f>
        <v>100</v>
      </c>
      <c r="X19" s="1568"/>
      <c r="Y19" s="342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1"/>
      <c r="Q21" s="1573" t="str">
        <f t="shared" ref="Q21:Q35" si="8">B21</f>
        <v>区域土地利用方向</v>
      </c>
      <c r="R21" s="1574" t="s">
        <v>8</v>
      </c>
      <c r="S21" s="1575">
        <f>F21</f>
        <v>100</v>
      </c>
      <c r="T21" s="1574" t="s">
        <v>8</v>
      </c>
      <c r="U21" s="1575">
        <f>H21</f>
        <v>100</v>
      </c>
      <c r="V21" s="1574" t="s">
        <v>8</v>
      </c>
      <c r="W21" s="1575">
        <f>J21</f>
        <v>100</v>
      </c>
      <c r="X21" s="1568"/>
      <c r="Y21" s="342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1"/>
      <c r="Q22" s="1573"/>
      <c r="R22" s="1574"/>
      <c r="S22" s="1575"/>
      <c r="T22" s="1574"/>
      <c r="U22" s="1575"/>
      <c r="V22" s="1574"/>
      <c r="W22" s="1575"/>
      <c r="X22" s="1568"/>
      <c r="Y22" s="3421"/>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1"/>
      <c r="Q23" s="1573" t="str">
        <f t="shared" si="8"/>
        <v>环境状况</v>
      </c>
      <c r="R23" s="1574" t="s">
        <v>8</v>
      </c>
      <c r="S23" s="1575">
        <f>F23</f>
        <v>100</v>
      </c>
      <c r="T23" s="1574" t="s">
        <v>8</v>
      </c>
      <c r="U23" s="1575">
        <f>H23</f>
        <v>100</v>
      </c>
      <c r="V23" s="1574" t="s">
        <v>8</v>
      </c>
      <c r="W23" s="1575">
        <f>J23</f>
        <v>100</v>
      </c>
      <c r="X23" s="1568"/>
      <c r="Y23" s="342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1"/>
      <c r="Q24" s="1573"/>
      <c r="R24" s="1574"/>
      <c r="S24" s="1575"/>
      <c r="T24" s="1574"/>
      <c r="U24" s="1575"/>
      <c r="V24" s="1574"/>
      <c r="W24" s="1575"/>
      <c r="X24" s="1568"/>
      <c r="Y24" s="3421"/>
      <c r="Z24" s="1576"/>
      <c r="AA24" s="1577">
        <v>1</v>
      </c>
      <c r="AB24" s="1577">
        <v>1</v>
      </c>
      <c r="AC24" s="1577">
        <v>1</v>
      </c>
    </row>
    <row r="25" spans="1:29" s="1220" customFormat="1" ht="42.75">
      <c r="A25" s="577"/>
      <c r="B25" s="259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1"/>
      <c r="Q25" s="1151" t="str">
        <f t="shared" si="8"/>
        <v>公共配套设施</v>
      </c>
      <c r="R25" s="1569" t="s">
        <v>8</v>
      </c>
      <c r="S25" s="1570">
        <f>F25</f>
        <v>100</v>
      </c>
      <c r="T25" s="1569" t="s">
        <v>8</v>
      </c>
      <c r="U25" s="1570">
        <f>H25</f>
        <v>100</v>
      </c>
      <c r="V25" s="1569" t="s">
        <v>8</v>
      </c>
      <c r="W25" s="1570">
        <f>J25</f>
        <v>100</v>
      </c>
      <c r="X25" s="1571"/>
      <c r="Y25" s="342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21"/>
      <c r="Q26" s="1151"/>
      <c r="R26" s="1569"/>
      <c r="S26" s="1570"/>
      <c r="T26" s="1569"/>
      <c r="U26" s="1570"/>
      <c r="V26" s="1569"/>
      <c r="W26" s="1570"/>
      <c r="X26" s="1571"/>
      <c r="Y26" s="3421"/>
      <c r="Z26" s="1150"/>
      <c r="AA26" s="1572">
        <v>1</v>
      </c>
      <c r="AB26" s="1572">
        <v>1</v>
      </c>
      <c r="AC26" s="1572">
        <v>1</v>
      </c>
    </row>
    <row r="27" spans="1:29" s="1220" customFormat="1" ht="28.5">
      <c r="A27" s="577"/>
      <c r="B27" s="259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1"/>
      <c r="Q27" s="2580" t="str">
        <f t="shared" ref="Q27" si="9">B27</f>
        <v>基础设施水平</v>
      </c>
      <c r="R27" s="1569" t="s">
        <v>8</v>
      </c>
      <c r="S27" s="1570">
        <f>F27</f>
        <v>100</v>
      </c>
      <c r="T27" s="1569" t="s">
        <v>8</v>
      </c>
      <c r="U27" s="1570">
        <f>H27</f>
        <v>100</v>
      </c>
      <c r="V27" s="1569" t="s">
        <v>8</v>
      </c>
      <c r="W27" s="1570">
        <f>J27</f>
        <v>100</v>
      </c>
      <c r="X27" s="1571"/>
      <c r="Y27" s="342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21"/>
      <c r="Q28" s="2580"/>
      <c r="R28" s="1569"/>
      <c r="S28" s="1570"/>
      <c r="T28" s="1569"/>
      <c r="U28" s="1570"/>
      <c r="V28" s="1569"/>
      <c r="W28" s="1570"/>
      <c r="X28" s="1571"/>
      <c r="Y28" s="3421"/>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1"/>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1"/>
      <c r="Q30" s="1573" t="str">
        <f t="shared" si="8"/>
        <v>毗邻道路的类型与等级</v>
      </c>
      <c r="R30" s="1574" t="s">
        <v>8</v>
      </c>
      <c r="S30" s="1575">
        <f t="shared" si="10"/>
        <v>100</v>
      </c>
      <c r="T30" s="1574" t="s">
        <v>8</v>
      </c>
      <c r="U30" s="1575">
        <f t="shared" si="11"/>
        <v>100</v>
      </c>
      <c r="V30" s="1574" t="s">
        <v>8</v>
      </c>
      <c r="W30" s="1575">
        <f t="shared" si="12"/>
        <v>100</v>
      </c>
      <c r="X30" s="1568"/>
      <c r="Y30" s="342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1"/>
      <c r="Q31" s="1573"/>
      <c r="R31" s="1574"/>
      <c r="S31" s="1575"/>
      <c r="T31" s="1574"/>
      <c r="U31" s="1575"/>
      <c r="V31" s="1574"/>
      <c r="W31" s="1575"/>
      <c r="X31" s="1568"/>
      <c r="Y31" s="3421"/>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1"/>
      <c r="Q32" s="1573" t="str">
        <f t="shared" si="8"/>
        <v>土地级别</v>
      </c>
      <c r="R32" s="1574" t="s">
        <v>8</v>
      </c>
      <c r="S32" s="1575">
        <f t="shared" si="10"/>
        <v>100</v>
      </c>
      <c r="T32" s="1574" t="s">
        <v>8</v>
      </c>
      <c r="U32" s="1575">
        <f t="shared" si="11"/>
        <v>100</v>
      </c>
      <c r="V32" s="1574" t="s">
        <v>8</v>
      </c>
      <c r="W32" s="1575">
        <f t="shared" si="12"/>
        <v>100</v>
      </c>
      <c r="X32" s="1568"/>
      <c r="Y32" s="342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1"/>
      <c r="Q33" s="1573">
        <f t="shared" si="8"/>
        <v>111</v>
      </c>
      <c r="R33" s="1574" t="s">
        <v>8</v>
      </c>
      <c r="S33" s="1575">
        <f t="shared" si="10"/>
        <v>100</v>
      </c>
      <c r="T33" s="1574" t="s">
        <v>8</v>
      </c>
      <c r="U33" s="1575">
        <f t="shared" si="11"/>
        <v>100</v>
      </c>
      <c r="V33" s="1574" t="s">
        <v>8</v>
      </c>
      <c r="W33" s="1575">
        <f t="shared" si="12"/>
        <v>100</v>
      </c>
      <c r="X33" s="1568"/>
      <c r="Y33" s="342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2" t="s">
        <v>549</v>
      </c>
      <c r="Q34" s="1573">
        <f t="shared" si="8"/>
        <v>111</v>
      </c>
      <c r="R34" s="1574" t="s">
        <v>8</v>
      </c>
      <c r="S34" s="1575">
        <f t="shared" si="10"/>
        <v>100</v>
      </c>
      <c r="T34" s="1574" t="s">
        <v>8</v>
      </c>
      <c r="U34" s="1575">
        <f t="shared" si="11"/>
        <v>100</v>
      </c>
      <c r="V34" s="1574" t="s">
        <v>8</v>
      </c>
      <c r="W34" s="1575">
        <f t="shared" si="12"/>
        <v>100</v>
      </c>
      <c r="X34" s="1568"/>
      <c r="Y34" s="3423"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3"/>
      <c r="Q35" s="1573">
        <f t="shared" si="8"/>
        <v>111</v>
      </c>
      <c r="R35" s="1578" t="s">
        <v>8</v>
      </c>
      <c r="S35" s="1579">
        <f t="shared" si="10"/>
        <v>100</v>
      </c>
      <c r="T35" s="1578" t="s">
        <v>8</v>
      </c>
      <c r="U35" s="1579">
        <f t="shared" si="11"/>
        <v>100</v>
      </c>
      <c r="V35" s="1578" t="s">
        <v>8</v>
      </c>
      <c r="W35" s="1579">
        <f t="shared" si="12"/>
        <v>100</v>
      </c>
      <c r="X35" s="1580"/>
      <c r="Y35" s="3423"/>
      <c r="Z35" s="1581">
        <f t="shared" si="13"/>
        <v>111</v>
      </c>
      <c r="AA35" s="1577">
        <f t="shared" si="3"/>
        <v>1</v>
      </c>
      <c r="AB35" s="1577">
        <f t="shared" si="4"/>
        <v>1</v>
      </c>
      <c r="AC35" s="1577">
        <f t="shared" si="5"/>
        <v>1</v>
      </c>
    </row>
    <row r="36" spans="1:29" ht="15">
      <c r="A36" s="2909"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3"/>
      <c r="Q36" s="1573" t="str">
        <f>B36</f>
        <v>宗地面积</v>
      </c>
      <c r="R36" s="1574" t="s">
        <v>8</v>
      </c>
      <c r="S36" s="1575" t="e">
        <f t="shared" si="10"/>
        <v>#N/A</v>
      </c>
      <c r="T36" s="1574" t="s">
        <v>8</v>
      </c>
      <c r="U36" s="1575" t="e">
        <f t="shared" si="11"/>
        <v>#N/A</v>
      </c>
      <c r="V36" s="1574" t="s">
        <v>8</v>
      </c>
      <c r="W36" s="1575" t="e">
        <f t="shared" si="12"/>
        <v>#N/A</v>
      </c>
      <c r="X36" s="1568"/>
      <c r="Y36" s="3423"/>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3"/>
      <c r="Q37" s="1573" t="str">
        <f t="shared" ref="Q37:Q42" si="14">B37</f>
        <v>宗地形状</v>
      </c>
      <c r="R37" s="1574" t="s">
        <v>8</v>
      </c>
      <c r="S37" s="1575">
        <f t="shared" si="10"/>
        <v>100</v>
      </c>
      <c r="T37" s="1574" t="s">
        <v>8</v>
      </c>
      <c r="U37" s="1575">
        <f t="shared" si="11"/>
        <v>100</v>
      </c>
      <c r="V37" s="1574" t="s">
        <v>8</v>
      </c>
      <c r="W37" s="1575">
        <f t="shared" si="12"/>
        <v>100</v>
      </c>
      <c r="X37" s="1568"/>
      <c r="Y37" s="3423"/>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3"/>
      <c r="Q38" s="1573" t="str">
        <f t="shared" si="14"/>
        <v>宗地开发程度</v>
      </c>
      <c r="R38" s="1569" t="s">
        <v>8</v>
      </c>
      <c r="S38" s="1570">
        <f t="shared" si="10"/>
        <v>100</v>
      </c>
      <c r="T38" s="1569" t="s">
        <v>8</v>
      </c>
      <c r="U38" s="1570">
        <f t="shared" si="11"/>
        <v>100</v>
      </c>
      <c r="V38" s="1569" t="s">
        <v>8</v>
      </c>
      <c r="W38" s="1570">
        <f t="shared" si="12"/>
        <v>100</v>
      </c>
      <c r="X38" s="1571"/>
      <c r="Y38" s="3423"/>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t="s">
        <v>600</v>
      </c>
      <c r="Q39" s="1573" t="str">
        <f t="shared" si="14"/>
        <v>工程地质条件</v>
      </c>
      <c r="R39" s="1574" t="s">
        <v>8</v>
      </c>
      <c r="S39" s="1575">
        <f t="shared" si="10"/>
        <v>100</v>
      </c>
      <c r="T39" s="1574" t="s">
        <v>8</v>
      </c>
      <c r="U39" s="1575">
        <f t="shared" si="11"/>
        <v>100</v>
      </c>
      <c r="V39" s="1574" t="s">
        <v>8</v>
      </c>
      <c r="W39" s="1575">
        <f t="shared" si="12"/>
        <v>100</v>
      </c>
      <c r="X39" s="1568"/>
      <c r="Y39" s="3423"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3"/>
      <c r="Q40" s="1573">
        <f t="shared" si="14"/>
        <v>111</v>
      </c>
      <c r="R40" s="1574" t="s">
        <v>8</v>
      </c>
      <c r="S40" s="1575">
        <f t="shared" si="10"/>
        <v>100</v>
      </c>
      <c r="T40" s="1574" t="s">
        <v>8</v>
      </c>
      <c r="U40" s="1575">
        <f t="shared" si="11"/>
        <v>100</v>
      </c>
      <c r="V40" s="1574" t="s">
        <v>8</v>
      </c>
      <c r="W40" s="1575">
        <f t="shared" si="12"/>
        <v>100</v>
      </c>
      <c r="X40" s="1568"/>
      <c r="Y40" s="342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3"/>
      <c r="Q41" s="1573">
        <f t="shared" si="14"/>
        <v>111</v>
      </c>
      <c r="R41" s="1574" t="s">
        <v>8</v>
      </c>
      <c r="S41" s="1575">
        <f t="shared" si="10"/>
        <v>100</v>
      </c>
      <c r="T41" s="1574" t="s">
        <v>8</v>
      </c>
      <c r="U41" s="1575">
        <f t="shared" si="11"/>
        <v>100</v>
      </c>
      <c r="V41" s="1574" t="s">
        <v>8</v>
      </c>
      <c r="W41" s="1575">
        <f t="shared" si="12"/>
        <v>100</v>
      </c>
      <c r="X41" s="1568"/>
      <c r="Y41" s="342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3"/>
      <c r="Q42" s="1573">
        <f t="shared" si="14"/>
        <v>111</v>
      </c>
      <c r="R42" s="1578" t="s">
        <v>8</v>
      </c>
      <c r="S42" s="1579">
        <f t="shared" si="10"/>
        <v>100</v>
      </c>
      <c r="T42" s="1578" t="s">
        <v>8</v>
      </c>
      <c r="U42" s="1579">
        <f t="shared" si="11"/>
        <v>100</v>
      </c>
      <c r="V42" s="1578" t="s">
        <v>8</v>
      </c>
      <c r="W42" s="1579">
        <f t="shared" si="12"/>
        <v>100</v>
      </c>
      <c r="X42" s="1580"/>
      <c r="Y42" s="3423"/>
      <c r="Z42" s="1581">
        <f t="shared" si="13"/>
        <v>111</v>
      </c>
      <c r="AA42" s="1577">
        <f t="shared" si="3"/>
        <v>1</v>
      </c>
      <c r="AB42" s="1577">
        <f t="shared" si="4"/>
        <v>1</v>
      </c>
      <c r="AC42" s="1577">
        <f t="shared" si="5"/>
        <v>1</v>
      </c>
    </row>
    <row r="43" spans="1:29" ht="15">
      <c r="A43" s="607" t="s">
        <v>555</v>
      </c>
      <c r="B43" s="608" t="s">
        <v>2930</v>
      </c>
      <c r="C43" s="609" t="s">
        <v>1</v>
      </c>
      <c r="D43" s="610"/>
      <c r="E43" s="611"/>
      <c r="F43" s="612"/>
      <c r="G43" s="613"/>
      <c r="H43" s="614"/>
      <c r="I43" s="611"/>
      <c r="J43" s="614"/>
      <c r="K43" s="1340"/>
      <c r="L43" s="2146"/>
      <c r="M43" s="2136"/>
      <c r="N43" s="2136"/>
      <c r="O43" s="2147"/>
      <c r="P43" s="3386" t="str">
        <f>A43</f>
        <v>成交单价</v>
      </c>
      <c r="Q43" s="3386"/>
      <c r="R43" s="3387">
        <f>E43</f>
        <v>0</v>
      </c>
      <c r="S43" s="3387"/>
      <c r="T43" s="3387">
        <f>G43</f>
        <v>0</v>
      </c>
      <c r="U43" s="3387"/>
      <c r="V43" s="3387">
        <f>I43</f>
        <v>0</v>
      </c>
      <c r="W43" s="3387"/>
      <c r="X43" s="1560"/>
      <c r="Y43" s="1582"/>
      <c r="Z43" s="1560"/>
      <c r="AA43" s="1560"/>
      <c r="AB43" s="1560"/>
      <c r="AC43" s="1560"/>
    </row>
    <row r="44" spans="1:29" ht="15.75" thickBot="1">
      <c r="A44" s="615" t="s">
        <v>2691</v>
      </c>
      <c r="B44" s="616"/>
      <c r="C44" s="617" t="e">
        <f>R45</f>
        <v>#DIV/0!</v>
      </c>
      <c r="D44" s="618"/>
      <c r="E44" s="617" t="e">
        <f>R44</f>
        <v>#DIV/0!</v>
      </c>
      <c r="F44" s="619"/>
      <c r="G44" s="620" t="e">
        <f>T44</f>
        <v>#DIV/0!</v>
      </c>
      <c r="H44" s="618"/>
      <c r="I44" s="617" t="e">
        <f>V44</f>
        <v>#DIV/0!</v>
      </c>
      <c r="J44" s="618"/>
      <c r="K44" s="1341"/>
      <c r="L44" s="2146"/>
      <c r="M44" s="2136"/>
      <c r="N44" s="2136"/>
      <c r="O44" s="2147"/>
      <c r="P44" s="3386" t="str">
        <f>A44</f>
        <v>比较价格（元/平方米）</v>
      </c>
      <c r="Q44" s="3386"/>
      <c r="R44" s="3388" t="e">
        <f>ROUND(PRODUCT(R43,AA9:AA42),0)</f>
        <v>#DIV/0!</v>
      </c>
      <c r="S44" s="3388"/>
      <c r="T44" s="3388" t="e">
        <f>ROUND(PRODUCT(T43,AB9:AB42),0)</f>
        <v>#DIV/0!</v>
      </c>
      <c r="U44" s="3388"/>
      <c r="V44" s="3388" t="e">
        <f>ROUND(PRODUCT(V43,AC9:AC42),0)</f>
        <v>#DIV/0!</v>
      </c>
      <c r="W44" s="3388"/>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383" t="str">
        <f>A45</f>
        <v>估价对象XX用房的比较价格（楼面单价，元/平方米）</v>
      </c>
      <c r="Q45" s="3384"/>
      <c r="R45" s="3385" t="e">
        <f>ROUND(AVERAGE(R44:V44),0)</f>
        <v>#DIV/0!</v>
      </c>
      <c r="S45" s="3385"/>
      <c r="T45" s="3385"/>
      <c r="U45" s="3385"/>
      <c r="V45" s="3385"/>
      <c r="W45" s="338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1723</v>
      </c>
      <c r="D52" s="2229" t="s">
        <v>2293</v>
      </c>
      <c r="E52" s="631" t="s">
        <v>561</v>
      </c>
      <c r="F52" s="1953" t="s">
        <v>562</v>
      </c>
      <c r="G52" s="3430" t="s">
        <v>2284</v>
      </c>
      <c r="H52" s="3431"/>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108383.68999999999</v>
      </c>
      <c r="F53" s="1952" t="e">
        <f t="shared" ref="F53:F62" si="15">ROUND(B53*E53/10000,0)</f>
        <v>#DIV/0!</v>
      </c>
      <c r="G53" s="3432"/>
      <c r="H53" s="343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34"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3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3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3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39021.96</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2294</v>
      </c>
      <c r="E63" s="643">
        <f>IF(B43="楼面地价",SUM(E53:E62),'数据-汇总表'!D3)</f>
        <v>14000.08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2531</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2647</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2546</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2548</v>
      </c>
      <c r="C95" s="2600" t="s">
        <v>2549</v>
      </c>
      <c r="D95" s="2600" t="s">
        <v>2550</v>
      </c>
      <c r="E95" s="2600" t="s">
        <v>2551</v>
      </c>
      <c r="F95" s="2600" t="s">
        <v>2552</v>
      </c>
      <c r="G95" s="2600" t="s">
        <v>2553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2426</v>
      </c>
      <c r="D1" s="1522">
        <f>SUM(D29:D30,D33:D39)</f>
        <v>0</v>
      </c>
      <c r="E1" s="1407" t="s">
        <v>2427</v>
      </c>
      <c r="F1" s="2454"/>
      <c r="G1" s="1402"/>
      <c r="H1" s="1402"/>
      <c r="I1" s="1402"/>
      <c r="J1" s="1402"/>
      <c r="K1" s="1402"/>
      <c r="L1" s="1884" t="s">
        <v>2239</v>
      </c>
      <c r="M1" s="1885">
        <f>SUMPRODUCT((区片价!B5:B9=I2)*(区片价!C3:F3=E2)*(区片价!C5:F9))</f>
        <v>0</v>
      </c>
      <c r="N1" s="1886">
        <f>SUMPRODUCT((因素修正幅度!B5:B9=I2)*(因素修正幅度!C3:F3=E2)*(因素修正幅度!C5:F9))</f>
        <v>0</v>
      </c>
      <c r="O1" s="2191"/>
      <c r="P1" s="2191"/>
      <c r="Q1" s="2191"/>
      <c r="R1" s="2938" t="s">
        <v>2760</v>
      </c>
      <c r="S1" s="2938" t="s">
        <v>2761</v>
      </c>
      <c r="T1" s="2938" t="s">
        <v>2782</v>
      </c>
      <c r="U1" s="2938" t="s">
        <v>2783</v>
      </c>
      <c r="V1" s="2938" t="s">
        <v>2784</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1686</v>
      </c>
      <c r="B3" s="1038" t="e">
        <f>ROUND(B2*10000/D1,0)</f>
        <v>#DIV/0!</v>
      </c>
      <c r="C3" s="1408" t="s">
        <v>926</v>
      </c>
      <c r="D3" s="1409" t="s">
        <v>927</v>
      </c>
      <c r="E3" s="1413"/>
      <c r="F3" s="1414" t="s">
        <v>2932</v>
      </c>
      <c r="G3" s="1039">
        <f>IF(F3="宗地容积率",'数据-汇总表'!I4,IF(F3="估价对象容积率",'数据-汇总表'!I6,'数据-汇总表'!I7))</f>
        <v>8.08</v>
      </c>
      <c r="H3" s="1415" t="s">
        <v>928</v>
      </c>
      <c r="I3" s="1040">
        <v>8</v>
      </c>
      <c r="J3" s="1411" t="s">
        <v>929</v>
      </c>
      <c r="K3" s="1402"/>
      <c r="L3" s="1887" t="s">
        <v>2241</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2280</v>
      </c>
      <c r="B4" s="2455"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1822</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930</v>
      </c>
      <c r="C6" s="1042">
        <f>SUMIF(L1:L12,基准地价!G2,M1:M12)</f>
        <v>0</v>
      </c>
      <c r="D6" s="1424" t="s">
        <v>1694</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931</v>
      </c>
      <c r="C7" s="1043" t="e">
        <f>IF(C8="不临58条商业街",1,ROUND(1+(1.6*E8+1.2*E9+0.8*E10+0.4*E11)*C9,4))</f>
        <v>#DIV/0!</v>
      </c>
      <c r="D7" s="1429" t="s">
        <v>932</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2763</v>
      </c>
      <c r="X7" s="2929">
        <f>G2</f>
        <v>0</v>
      </c>
      <c r="Y7" s="2929" t="s">
        <v>2764</v>
      </c>
      <c r="Z7" s="2930">
        <f>G3</f>
        <v>8.08</v>
      </c>
      <c r="AA7" s="2194"/>
      <c r="AB7" s="2194"/>
      <c r="AC7" s="2195"/>
      <c r="AD7" s="2931"/>
      <c r="AE7" s="2931"/>
      <c r="AF7" s="2931"/>
      <c r="AG7" s="2931"/>
      <c r="AH7" s="2931"/>
      <c r="AI7" s="2931"/>
      <c r="AJ7" s="2932"/>
    </row>
    <row r="8" spans="1:39" ht="15">
      <c r="A8" s="3445"/>
      <c r="B8" s="1415" t="s">
        <v>933</v>
      </c>
      <c r="C8" s="1530"/>
      <c r="D8" s="1045" t="s">
        <v>934</v>
      </c>
      <c r="E8" s="1046" t="e">
        <f>ROUND(C11/E7,4)</f>
        <v>#DIV/0!</v>
      </c>
      <c r="F8" s="1433" t="s">
        <v>935</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6" t="s">
        <v>2781</v>
      </c>
      <c r="X8" s="3437"/>
      <c r="Y8" s="1851" t="s">
        <v>2765</v>
      </c>
      <c r="Z8" s="1851" t="s">
        <v>2766</v>
      </c>
      <c r="AA8" s="1851" t="s">
        <v>2767</v>
      </c>
      <c r="AB8" s="1851" t="s">
        <v>2768</v>
      </c>
      <c r="AC8" s="1851" t="s">
        <v>2769</v>
      </c>
      <c r="AD8" s="1851" t="s">
        <v>2770</v>
      </c>
      <c r="AE8" s="1851" t="s">
        <v>2771</v>
      </c>
      <c r="AF8" s="1851" t="s">
        <v>2772</v>
      </c>
      <c r="AG8" s="1851" t="s">
        <v>2773</v>
      </c>
      <c r="AH8" s="1851" t="s">
        <v>2774</v>
      </c>
      <c r="AI8" s="1851" t="s">
        <v>2775</v>
      </c>
      <c r="AJ8" s="1851" t="s">
        <v>2776</v>
      </c>
    </row>
    <row r="9" spans="1:39" ht="15">
      <c r="A9" s="3445"/>
      <c r="B9" s="1415" t="s">
        <v>936</v>
      </c>
      <c r="C9" s="1047">
        <f>SUMIF(修正!C59:C119,C8,修正!E59:E119)</f>
        <v>0</v>
      </c>
      <c r="D9" s="1048" t="s">
        <v>937</v>
      </c>
      <c r="E9" s="1048" t="e">
        <f>ROUND(C11/E7,4)</f>
        <v>#DIV/0!</v>
      </c>
      <c r="F9" s="1433" t="s">
        <v>938</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5" t="s">
        <v>2777</v>
      </c>
      <c r="X9" s="2933" t="s">
        <v>2778</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5"/>
      <c r="B10" s="1415" t="s">
        <v>939</v>
      </c>
      <c r="C10" s="1048">
        <f>SUMIF(修正!C59:C119,C8,修正!F59:F119)</f>
        <v>0</v>
      </c>
      <c r="D10" s="1048" t="s">
        <v>940</v>
      </c>
      <c r="E10" s="1048" t="e">
        <f>ROUND(C11/E7,4)</f>
        <v>#DIV/0!</v>
      </c>
      <c r="F10" s="1433" t="s">
        <v>941</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5"/>
      <c r="B11" s="1436" t="s">
        <v>942</v>
      </c>
      <c r="C11" s="1049">
        <f>C10/4</f>
        <v>0</v>
      </c>
      <c r="D11" s="1049" t="s">
        <v>943</v>
      </c>
      <c r="E11" s="1049" t="e">
        <f>ROUND(C11/E7,4)</f>
        <v>#DIV/0!</v>
      </c>
      <c r="F11" s="1437" t="s">
        <v>944</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5" t="s">
        <v>2779</v>
      </c>
      <c r="X11" s="1048" t="s">
        <v>2764</v>
      </c>
      <c r="Y11" s="1654">
        <f>$G$3</f>
        <v>8.08</v>
      </c>
      <c r="Z11" s="1654">
        <f t="shared" ref="Z11:AJ11" si="3">$G$3</f>
        <v>8.08</v>
      </c>
      <c r="AA11" s="1654">
        <f t="shared" si="3"/>
        <v>8.08</v>
      </c>
      <c r="AB11" s="1654">
        <f t="shared" si="3"/>
        <v>8.08</v>
      </c>
      <c r="AC11" s="1654">
        <f t="shared" si="3"/>
        <v>8.08</v>
      </c>
      <c r="AD11" s="1654">
        <f t="shared" si="3"/>
        <v>8.08</v>
      </c>
      <c r="AE11" s="1654">
        <f t="shared" si="3"/>
        <v>8.08</v>
      </c>
      <c r="AF11" s="1654">
        <f t="shared" si="3"/>
        <v>8.08</v>
      </c>
      <c r="AG11" s="1654">
        <f t="shared" si="3"/>
        <v>8.08</v>
      </c>
      <c r="AH11" s="1654">
        <f t="shared" si="3"/>
        <v>8.08</v>
      </c>
      <c r="AI11" s="1654">
        <f t="shared" si="3"/>
        <v>8.08</v>
      </c>
      <c r="AJ11" s="1654">
        <f t="shared" si="3"/>
        <v>8.08</v>
      </c>
    </row>
    <row r="12" spans="1:39" ht="25.5" thickBot="1">
      <c r="A12" s="3444" t="s">
        <v>1870</v>
      </c>
      <c r="B12" s="1440" t="s">
        <v>945</v>
      </c>
      <c r="C12" s="1043">
        <f>ROUND(C15*D15*E15*F15*G15*H15*I15*J15,4)</f>
        <v>1</v>
      </c>
      <c r="D12" s="1441" t="s">
        <v>946</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5"/>
      <c r="X12" s="2936" t="s">
        <v>2780</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6"/>
      <c r="B13" s="1445" t="s">
        <v>1695</v>
      </c>
      <c r="C13" s="1446" t="s">
        <v>1696</v>
      </c>
      <c r="D13" s="1089" t="s">
        <v>1697</v>
      </c>
      <c r="E13" s="1089" t="s">
        <v>1698</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35"/>
      <c r="X13" s="2936"/>
      <c r="Y13" s="2935">
        <f>(-0.163*(Y12^2)-0.59*Y12+7617)*(10^(-4))/Y11</f>
        <v>9.426980198019802E-2</v>
      </c>
      <c r="Z13" s="2935">
        <f t="shared" ref="Z13:AJ13" si="5">(-0.163*(Z12^2)-0.59*Z12+7617)*(10^(-4))/Z11</f>
        <v>9.426980198019802E-2</v>
      </c>
      <c r="AA13" s="2935">
        <f t="shared" si="5"/>
        <v>9.426980198019802E-2</v>
      </c>
      <c r="AB13" s="2935">
        <f t="shared" si="5"/>
        <v>9.426980198019802E-2</v>
      </c>
      <c r="AC13" s="2935">
        <f t="shared" si="5"/>
        <v>9.426980198019802E-2</v>
      </c>
      <c r="AD13" s="2935">
        <f t="shared" si="5"/>
        <v>9.426980198019802E-2</v>
      </c>
      <c r="AE13" s="2935">
        <f t="shared" si="5"/>
        <v>9.426980198019802E-2</v>
      </c>
      <c r="AF13" s="2935">
        <f t="shared" si="5"/>
        <v>9.426980198019802E-2</v>
      </c>
      <c r="AG13" s="2935">
        <f t="shared" si="5"/>
        <v>9.426980198019802E-2</v>
      </c>
      <c r="AH13" s="2935">
        <f t="shared" si="5"/>
        <v>9.426980198019802E-2</v>
      </c>
      <c r="AI13" s="2935">
        <f t="shared" si="5"/>
        <v>9.426980198019802E-2</v>
      </c>
      <c r="AJ13" s="2935">
        <f t="shared" si="5"/>
        <v>9.426980198019802E-2</v>
      </c>
    </row>
    <row r="14" spans="1:39" ht="12.75" customHeight="1" thickBot="1">
      <c r="A14" s="3446"/>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7"/>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44" t="s">
        <v>1837</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5"/>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43390</v>
      </c>
      <c r="H19" s="1476" t="s">
        <v>2933</v>
      </c>
      <c r="I19" s="2786" t="str">
        <f>IF(H19="季度增幅（自定义）",SUMIF(N21:N24,E2,O21:O24),"")</f>
        <v/>
      </c>
      <c r="J19" s="1472"/>
      <c r="K19" s="1482"/>
      <c r="L19" s="3042" t="s">
        <v>2839</v>
      </c>
      <c r="M19" s="3043">
        <f>ROUND(SUMIF(地价!B2:F2,E2,地价!B24:F24),0)</f>
        <v>0</v>
      </c>
      <c r="N19" s="2788" t="s">
        <v>1676</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1835</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2840</v>
      </c>
      <c r="M20" s="3045">
        <f>ROUND(SUMPRODUCT((地价!A4:A24=YEAR(G19)&amp;"-"&amp;ROUNDUP(MONTH(G19)/3,0))*(地价!B2:F2=E2)*(地价!B4:F24)),0)</f>
        <v>0</v>
      </c>
      <c r="N20" s="2791" t="s">
        <v>2643</v>
      </c>
      <c r="O20" s="2789" t="s">
        <v>2642</v>
      </c>
      <c r="P20" s="2790" t="s">
        <v>2648</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1836</v>
      </c>
      <c r="B21" s="1481" t="s">
        <v>2759</v>
      </c>
      <c r="C21" s="1158">
        <f>IF(B21="容积率修正",IF(G3&lt;=10,D22,J22),C23)</f>
        <v>0</v>
      </c>
      <c r="D21" s="1482"/>
      <c r="E21" s="1482"/>
      <c r="F21" s="1482"/>
      <c r="G21" s="1482"/>
      <c r="H21" s="1482"/>
      <c r="I21" s="1482"/>
      <c r="J21" s="1483"/>
      <c r="K21" s="1482"/>
      <c r="L21" s="1482"/>
      <c r="M21" s="1482"/>
      <c r="N21" s="1479" t="s">
        <v>975</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1869</v>
      </c>
      <c r="B22" s="1484" t="s">
        <v>976</v>
      </c>
      <c r="C22" s="1060" t="s">
        <v>1701</v>
      </c>
      <c r="D22" s="1060">
        <f>IF(E22=G22,F22,IF(G3&lt;=10,ROUND(F22+(H22-F22)*(G3-E22)/(G22-E22),4),"——"))</f>
        <v>0</v>
      </c>
      <c r="E22" s="1039">
        <f>ROUNDDOWN(G3,1)</f>
        <v>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1870</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1871</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1872</v>
      </c>
      <c r="B25" s="1487" t="s">
        <v>982</v>
      </c>
      <c r="C25" s="1488"/>
      <c r="D25" s="1431"/>
      <c r="E25" s="1431"/>
      <c r="F25" s="1489"/>
      <c r="G25" s="1431"/>
      <c r="H25" s="1431"/>
      <c r="I25" s="1431"/>
      <c r="J25" s="1432"/>
      <c r="K25" s="1402"/>
      <c r="L25" s="2197"/>
      <c r="M25" s="2197"/>
      <c r="N25" s="2799" t="s">
        <v>2646</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1700</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2959</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2251</v>
      </c>
      <c r="G46" s="2433" t="s">
        <v>1014</v>
      </c>
      <c r="H46" s="2416" t="s">
        <v>2418</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48">
      <c r="A47" s="1067" t="s">
        <v>1020</v>
      </c>
      <c r="B47" s="2413" t="str">
        <f>估价对象房地状况!C16</f>
        <v>估价对象周边商业氛围较成熟，多为社区配套底商人流量较大，商业繁华度较好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10" t="str">
        <f>估价对象房地状况!C18</f>
        <v>估价对象周边道路通达状况较好、公共交通通达情况一般、停车较便捷，综合评价交通便捷度较好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2935</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次干道——情侣南路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2934</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估价对象所在区域公共配套设施齐备情况较好</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估价对象所在区域基础设施水平达六通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1028</v>
      </c>
      <c r="B55" s="2414" t="str">
        <f>估价对象房地状况!C20</f>
        <v>区域自然环境好；人文环境一般；综合评价环境状况较好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2252</v>
      </c>
      <c r="G57" s="2433" t="s">
        <v>1014</v>
      </c>
      <c r="H57" s="2416" t="s">
        <v>2418</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10" t="str">
        <f>估价对象房地状况!C18</f>
        <v>估价对象周边道路通达状况较好、公共交通通达情况一般、停车较便捷，综合评价交通便捷度较好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2936</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次干道——情侣南路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2934</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估价对象所在区域公共配套设施齐备情况较好</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估价对象所在区域基础设施水平达六通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1028</v>
      </c>
      <c r="B66" s="2415" t="str">
        <f>估价对象房地状况!C20</f>
        <v>区域自然环境好；人文环境一般；综合评价环境状况较好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2253</v>
      </c>
      <c r="G68" s="2433" t="s">
        <v>1014</v>
      </c>
      <c r="H68" s="2416" t="s">
        <v>2418</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1032</v>
      </c>
      <c r="B69" s="2413" t="str">
        <f>估价对象房地状况!C15</f>
        <v>估价对象周边居住用地比例较大、有海愉半岛花园、钰海帝景等居住小区，社区发展较完善，综合评价居住社区成熟度较好</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10" t="str">
        <f>估价对象房地状况!C18</f>
        <v>估价对象周边道路通达状况较好、公共交通通达情况一般、停车较便捷，综合评价交通便捷度较好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次干道——情侣南路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估价对象所在区域公共配套设施齐备情况较好</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估价对象所在区域基础设施水平达六通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2934</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3" t="str">
        <f>估价对象房地状况!C20</f>
        <v>区域自然环境好；人文环境一般；综合评价环境状况较好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2254</v>
      </c>
      <c r="G79" s="2433" t="s">
        <v>1014</v>
      </c>
      <c r="H79" s="2416" t="s">
        <v>2418</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2934</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8" t="s">
        <v>1633</v>
      </c>
      <c r="B90" s="3448"/>
      <c r="C90" s="3448"/>
      <c r="D90" s="3448"/>
      <c r="E90" s="3448"/>
      <c r="F90" s="3448"/>
      <c r="G90" s="3448"/>
      <c r="H90" s="3448"/>
      <c r="I90" s="3448"/>
      <c r="J90" s="3448"/>
      <c r="K90" s="2452"/>
      <c r="L90" s="2452"/>
      <c r="M90" s="2452"/>
      <c r="N90" s="2452"/>
    </row>
    <row r="91" spans="1:40">
      <c r="A91" s="3449" t="s">
        <v>1443</v>
      </c>
      <c r="B91" s="3449" t="s">
        <v>1634</v>
      </c>
      <c r="C91" s="1140" t="s">
        <v>1635</v>
      </c>
      <c r="D91" s="1141"/>
      <c r="E91" s="1141"/>
      <c r="F91" s="1141"/>
      <c r="G91" s="1141"/>
      <c r="H91" s="1141"/>
      <c r="I91" s="1141"/>
      <c r="J91" s="1142"/>
      <c r="K91" s="1134"/>
      <c r="L91" s="1134"/>
      <c r="M91" s="1134"/>
      <c r="N91" s="1134"/>
    </row>
    <row r="92" spans="1:40">
      <c r="A92" s="3449"/>
      <c r="B92" s="3449"/>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38"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1637</v>
      </c>
      <c r="B101" s="1147" t="s">
        <v>905</v>
      </c>
      <c r="C101" s="1148">
        <f>$G$3</f>
        <v>8.08</v>
      </c>
      <c r="D101" s="1148">
        <f t="shared" ref="D101:N101" si="31">$G$3</f>
        <v>8.08</v>
      </c>
      <c r="E101" s="1148">
        <f t="shared" si="31"/>
        <v>8.08</v>
      </c>
      <c r="F101" s="1148">
        <f t="shared" si="31"/>
        <v>8.08</v>
      </c>
      <c r="G101" s="1148">
        <f t="shared" si="31"/>
        <v>8.08</v>
      </c>
      <c r="H101" s="1148">
        <f t="shared" si="31"/>
        <v>8.08</v>
      </c>
      <c r="I101" s="1148">
        <f t="shared" si="31"/>
        <v>8.08</v>
      </c>
      <c r="J101" s="1148">
        <f t="shared" si="31"/>
        <v>8.08</v>
      </c>
      <c r="K101" s="1148">
        <f t="shared" si="31"/>
        <v>8.08</v>
      </c>
      <c r="L101" s="1148">
        <f t="shared" si="31"/>
        <v>8.08</v>
      </c>
      <c r="M101" s="1148">
        <f t="shared" si="31"/>
        <v>8.08</v>
      </c>
      <c r="N101" s="1148">
        <f t="shared" si="31"/>
        <v>8.08</v>
      </c>
    </row>
    <row r="102" spans="1:14">
      <c r="A102" s="3439"/>
      <c r="B102" s="1143">
        <v>1</v>
      </c>
      <c r="C102" s="1144">
        <f>1.9362/C101</f>
        <v>0.23962871287128712</v>
      </c>
      <c r="D102" s="1144">
        <f>1.9362/D101</f>
        <v>0.23962871287128712</v>
      </c>
      <c r="E102" s="1144">
        <f>1.8629/E101</f>
        <v>0.23055693069306932</v>
      </c>
      <c r="F102" s="1144">
        <f>1.8629/F101</f>
        <v>0.23055693069306932</v>
      </c>
      <c r="G102" s="1144">
        <f>1.8629/G101</f>
        <v>0.23055693069306932</v>
      </c>
      <c r="H102" s="1144">
        <f>1.8629/H101</f>
        <v>0.23055693069306932</v>
      </c>
      <c r="I102" s="1144">
        <f>1.8629/I101</f>
        <v>0.23055693069306932</v>
      </c>
      <c r="J102" s="1144">
        <f>1.942/J101</f>
        <v>0.24034653465346534</v>
      </c>
      <c r="K102" s="1144">
        <f>1.942/K101</f>
        <v>0.24034653465346534</v>
      </c>
      <c r="L102" s="1144">
        <f>1.942/L101</f>
        <v>0.24034653465346534</v>
      </c>
      <c r="M102" s="1144">
        <f>1.942/M101</f>
        <v>0.24034653465346534</v>
      </c>
      <c r="N102" s="1144">
        <f>1.942/N101</f>
        <v>0.24034653465346534</v>
      </c>
    </row>
    <row r="103" spans="1:14">
      <c r="A103" s="3439"/>
      <c r="B103" s="1143">
        <v>2</v>
      </c>
      <c r="C103" s="1144">
        <f>1.4198/C101</f>
        <v>0.17571782178217821</v>
      </c>
      <c r="D103" s="1144">
        <f>1.4198/D101</f>
        <v>0.17571782178217821</v>
      </c>
      <c r="E103" s="1144">
        <f>1.3372/E101</f>
        <v>0.16549504950495048</v>
      </c>
      <c r="F103" s="1144">
        <f>1.3372/F101</f>
        <v>0.16549504950495048</v>
      </c>
      <c r="G103" s="1144">
        <f>1.3372/G101</f>
        <v>0.16549504950495048</v>
      </c>
      <c r="H103" s="1144">
        <f>1.3372/H101</f>
        <v>0.16549504950495048</v>
      </c>
      <c r="I103" s="1144">
        <f>1.3372/I101</f>
        <v>0.16549504950495048</v>
      </c>
      <c r="J103" s="1144">
        <f>1.2799/J101</f>
        <v>0.15840346534653466</v>
      </c>
      <c r="K103" s="1144">
        <f>1.2799/K101</f>
        <v>0.15840346534653466</v>
      </c>
      <c r="L103" s="1144">
        <f>1.2799/L101</f>
        <v>0.15840346534653466</v>
      </c>
      <c r="M103" s="1144">
        <f>1.2799/M101</f>
        <v>0.15840346534653466</v>
      </c>
      <c r="N103" s="1144">
        <f>1.2799/N101</f>
        <v>0.15840346534653466</v>
      </c>
    </row>
    <row r="104" spans="1:14">
      <c r="A104" s="3439"/>
      <c r="B104" s="1143">
        <v>3</v>
      </c>
      <c r="C104" s="1144">
        <f>1.1594/C101</f>
        <v>0.14349009900990098</v>
      </c>
      <c r="D104" s="1144">
        <f>1.1594/D101</f>
        <v>0.14349009900990098</v>
      </c>
      <c r="E104" s="1144">
        <f>1.0788/E101</f>
        <v>0.13351485148514852</v>
      </c>
      <c r="F104" s="1144">
        <f>1.0788/F101</f>
        <v>0.13351485148514852</v>
      </c>
      <c r="G104" s="1144">
        <f>1.0788/G101</f>
        <v>0.13351485148514852</v>
      </c>
      <c r="H104" s="1144">
        <f>1.0788/H101</f>
        <v>0.13351485148514852</v>
      </c>
      <c r="I104" s="1144">
        <f>1.0788/I101</f>
        <v>0.13351485148514852</v>
      </c>
      <c r="J104" s="1144">
        <f>1.0072/J101</f>
        <v>0.12465346534653467</v>
      </c>
      <c r="K104" s="1144">
        <f>1.0072/K101</f>
        <v>0.12465346534653467</v>
      </c>
      <c r="L104" s="1144">
        <f>1.0072/L101</f>
        <v>0.12465346534653467</v>
      </c>
      <c r="M104" s="1144">
        <f>1.0072/M101</f>
        <v>0.12465346534653467</v>
      </c>
      <c r="N104" s="1144">
        <f>1.0072/N101</f>
        <v>0.12465346534653467</v>
      </c>
    </row>
    <row r="105" spans="1:14">
      <c r="A105" s="3439"/>
      <c r="B105" s="1143">
        <v>4</v>
      </c>
      <c r="C105" s="1144">
        <f>0.9622/C101</f>
        <v>0.11908415841584159</v>
      </c>
      <c r="D105" s="1144">
        <f>0.9622/D101</f>
        <v>0.11908415841584159</v>
      </c>
      <c r="E105" s="1144">
        <f>0.8656/E101</f>
        <v>0.10712871287128713</v>
      </c>
      <c r="F105" s="1144">
        <f>0.8656/F101</f>
        <v>0.10712871287128713</v>
      </c>
      <c r="G105" s="1144">
        <f>0.8656/G101</f>
        <v>0.10712871287128713</v>
      </c>
      <c r="H105" s="1144">
        <f>0.8656/H101</f>
        <v>0.10712871287128713</v>
      </c>
      <c r="I105" s="1144">
        <f>0.8656/I101</f>
        <v>0.10712871287128713</v>
      </c>
      <c r="J105" s="1144">
        <f>0.7525/J101</f>
        <v>9.3131188118811881E-2</v>
      </c>
      <c r="K105" s="1144">
        <f>0.7525/K101</f>
        <v>9.3131188118811881E-2</v>
      </c>
      <c r="L105" s="1144">
        <f>0.7525/L101</f>
        <v>9.3131188118811881E-2</v>
      </c>
      <c r="M105" s="1144">
        <f>0.7525/M101</f>
        <v>9.3131188118811881E-2</v>
      </c>
      <c r="N105" s="1144">
        <f>0.7525/N101</f>
        <v>9.3131188118811881E-2</v>
      </c>
    </row>
    <row r="106" spans="1:14">
      <c r="A106" s="3439"/>
      <c r="B106" s="1143">
        <v>5</v>
      </c>
      <c r="C106" s="1144">
        <f>0.8417/C101</f>
        <v>0.10417079207920792</v>
      </c>
      <c r="D106" s="1144">
        <f>0.8417/D101</f>
        <v>0.10417079207920792</v>
      </c>
      <c r="E106" s="1144">
        <f>0.7371/E101</f>
        <v>9.1225247524752473E-2</v>
      </c>
      <c r="F106" s="1144">
        <f>0.7371/F101</f>
        <v>9.1225247524752473E-2</v>
      </c>
      <c r="G106" s="1144">
        <f>0.7371/G101</f>
        <v>9.1225247524752473E-2</v>
      </c>
      <c r="H106" s="1144">
        <f>0.7371/H101</f>
        <v>9.1225247524752473E-2</v>
      </c>
      <c r="I106" s="1144">
        <f>0.7371/I101</f>
        <v>9.1225247524752473E-2</v>
      </c>
      <c r="J106" s="1144">
        <f>0.5659/J101</f>
        <v>7.003712871287128E-2</v>
      </c>
      <c r="K106" s="1144">
        <f>0.5659/K101</f>
        <v>7.003712871287128E-2</v>
      </c>
      <c r="L106" s="1144">
        <f>0.5659/L101</f>
        <v>7.003712871287128E-2</v>
      </c>
      <c r="M106" s="1144">
        <f>0.5659/M101</f>
        <v>7.003712871287128E-2</v>
      </c>
      <c r="N106" s="1144">
        <f>0.5659/N101</f>
        <v>7.003712871287128E-2</v>
      </c>
    </row>
    <row r="107" spans="1:14">
      <c r="A107" s="3439"/>
      <c r="B107" s="1143">
        <v>6</v>
      </c>
      <c r="C107" s="1144">
        <f>0.7608/C101</f>
        <v>9.4158415841584159E-2</v>
      </c>
      <c r="D107" s="1144">
        <f>0.7608/D101</f>
        <v>9.4158415841584159E-2</v>
      </c>
      <c r="E107" s="1144">
        <f>0.6482/E101</f>
        <v>8.0222772277227725E-2</v>
      </c>
      <c r="F107" s="1144">
        <f>0.6482/F101</f>
        <v>8.0222772277227725E-2</v>
      </c>
      <c r="G107" s="1144">
        <f>0.6482/G101</f>
        <v>8.0222772277227725E-2</v>
      </c>
      <c r="H107" s="1144">
        <f>0.6482/H101</f>
        <v>8.0222772277227725E-2</v>
      </c>
      <c r="I107" s="1144">
        <f>0.6482/I101</f>
        <v>8.0222772277227725E-2</v>
      </c>
      <c r="J107" s="1144">
        <f>0.4525/J101</f>
        <v>5.6002475247524754E-2</v>
      </c>
      <c r="K107" s="1144">
        <f>0.4525/K101</f>
        <v>5.6002475247524754E-2</v>
      </c>
      <c r="L107" s="1144">
        <f>0.4525/L101</f>
        <v>5.6002475247524754E-2</v>
      </c>
      <c r="M107" s="1144">
        <f>0.4525/M101</f>
        <v>5.6002475247524754E-2</v>
      </c>
      <c r="N107" s="1144">
        <f>0.4525/N101</f>
        <v>5.6002475247524754E-2</v>
      </c>
    </row>
    <row r="108" spans="1:14">
      <c r="A108" s="3439"/>
      <c r="B108" s="344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9.4082277227722777E-2</v>
      </c>
      <c r="D109" s="1146">
        <f>(-0.163*(D108^2)-0.59*D108+7617)*(10^(-4))/D101</f>
        <v>9.4082277227722777E-2</v>
      </c>
      <c r="E109" s="1146">
        <f>(-0.161*(E108^2)-7.509*E108+6533)*(10^(-4))/E101</f>
        <v>7.9982970297029707E-2</v>
      </c>
      <c r="F109" s="1146">
        <f>(-0.161*(F108^2)-7.509*F108+6533)*(10^(-4))/F101</f>
        <v>7.9982970297029707E-2</v>
      </c>
      <c r="G109" s="1146">
        <f>(-0.161*(G108^2)-7.509*G108+6533)*(10^(-4))/G101</f>
        <v>7.9982970297029707E-2</v>
      </c>
      <c r="H109" s="1146">
        <f>(-0.161*(H108^2)-7.509*H108+6533)*(10^(-4))/H101</f>
        <v>7.9982970297029707E-2</v>
      </c>
      <c r="I109" s="1146">
        <f>(-0.161*(I108^2)-7.509*I108+6533)*(10^(-4))/I101</f>
        <v>7.9982970297029707E-2</v>
      </c>
      <c r="J109" s="1146">
        <f>(-0.214*(J108^2)-21.991*J108+4665)*(10^(-4))/J101</f>
        <v>5.5388316831683174E-2</v>
      </c>
      <c r="K109" s="1146">
        <f>(-0.214*(K108^2)-21.991*K108+4665)*(10^(-4))/K101</f>
        <v>5.5388316831683174E-2</v>
      </c>
      <c r="L109" s="1146">
        <f>(-0.214*(L108^2)-21.991*L108+4665)*(10^(-4))/L101</f>
        <v>5.5388316831683174E-2</v>
      </c>
      <c r="M109" s="1146">
        <f>(-0.214*(M108^2)-21.991*M108+4665)*(10^(-4))/M101</f>
        <v>5.5388316831683174E-2</v>
      </c>
      <c r="N109" s="1146">
        <f>(-0.214*(N108^2)-21.991*N108+4665)*(10^(-4))/N101</f>
        <v>5.5388316831683174E-2</v>
      </c>
    </row>
    <row r="110" spans="1:14">
      <c r="A110" s="3443" t="s">
        <v>1639</v>
      </c>
      <c r="B110" s="3443"/>
      <c r="C110" s="3443"/>
      <c r="D110" s="3443"/>
      <c r="E110" s="3443"/>
      <c r="F110" s="3443"/>
      <c r="G110" s="3443"/>
      <c r="H110" s="3443"/>
      <c r="I110" s="3443"/>
      <c r="J110" s="3443"/>
      <c r="K110" s="2450"/>
      <c r="L110" s="2450"/>
      <c r="M110" s="2450"/>
      <c r="N110" s="2450"/>
    </row>
    <row r="112" spans="1:14" ht="12.75" thickBot="1"/>
    <row r="113" spans="1:13" ht="25.5" thickBot="1">
      <c r="A113" s="1016" t="s">
        <v>895</v>
      </c>
      <c r="B113" s="2453">
        <f>G3</f>
        <v>8.08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0.85750000000000004</v>
      </c>
      <c r="C115" s="1030">
        <f>B115</f>
        <v>0.85750000000000004</v>
      </c>
      <c r="D115" s="1030">
        <f>ROUND(0.8331-0.0109*B113,4)</f>
        <v>0.745</v>
      </c>
      <c r="E115" s="1030">
        <f>D115</f>
        <v>0.745</v>
      </c>
      <c r="F115" s="1030">
        <f>E115</f>
        <v>0.745</v>
      </c>
      <c r="G115" s="1030">
        <f>F115</f>
        <v>0.745</v>
      </c>
      <c r="H115" s="1030">
        <f>G115</f>
        <v>0.745</v>
      </c>
      <c r="I115" s="1030">
        <f>ROUND(0.689-0.0155*B113,4)</f>
        <v>0.56379999999999997</v>
      </c>
      <c r="J115" s="1030">
        <f t="shared" ref="J115:M118" si="33">I115</f>
        <v>0.56379999999999997</v>
      </c>
      <c r="K115" s="1030">
        <f t="shared" si="33"/>
        <v>0.56379999999999997</v>
      </c>
      <c r="L115" s="1030">
        <f t="shared" si="33"/>
        <v>0.56379999999999997</v>
      </c>
      <c r="M115" s="1031">
        <f t="shared" si="33"/>
        <v>0.56379999999999997</v>
      </c>
    </row>
    <row r="116" spans="1:13" ht="12.75">
      <c r="A116" s="1029" t="s">
        <v>900</v>
      </c>
      <c r="B116" s="1030">
        <f>ROUND(0.949-0.012*B113,4)</f>
        <v>0.85199999999999998</v>
      </c>
      <c r="C116" s="1030">
        <f>B116</f>
        <v>0.85199999999999998</v>
      </c>
      <c r="D116" s="1030">
        <f>ROUND(0.8567-0.013*B113,4)</f>
        <v>0.75170000000000003</v>
      </c>
      <c r="E116" s="1030">
        <f t="shared" ref="E116:H117" si="34">D116</f>
        <v>0.75170000000000003</v>
      </c>
      <c r="F116" s="1030">
        <f t="shared" si="34"/>
        <v>0.75170000000000003</v>
      </c>
      <c r="G116" s="1030">
        <f t="shared" si="34"/>
        <v>0.75170000000000003</v>
      </c>
      <c r="H116" s="1030">
        <f t="shared" si="34"/>
        <v>0.75170000000000003</v>
      </c>
      <c r="I116" s="1030">
        <f>ROUND(0.7694-0.014*B113,4)</f>
        <v>0.65629999999999999</v>
      </c>
      <c r="J116" s="1030">
        <f t="shared" si="33"/>
        <v>0.65629999999999999</v>
      </c>
      <c r="K116" s="1030">
        <f t="shared" si="33"/>
        <v>0.65629999999999999</v>
      </c>
      <c r="L116" s="1030">
        <f t="shared" si="33"/>
        <v>0.65629999999999999</v>
      </c>
      <c r="M116" s="1031">
        <f t="shared" si="33"/>
        <v>0.65629999999999999</v>
      </c>
    </row>
    <row r="117" spans="1:13" ht="12.75">
      <c r="A117" s="1032" t="s">
        <v>901</v>
      </c>
      <c r="B117" s="1030">
        <f>ROUND(0.8808-0.006*B113,4)</f>
        <v>0.83230000000000004</v>
      </c>
      <c r="C117" s="1030">
        <f>B117</f>
        <v>0.83230000000000004</v>
      </c>
      <c r="D117" s="1030">
        <f>ROUND(0.8748-0.008*B113,4)</f>
        <v>0.81020000000000003</v>
      </c>
      <c r="E117" s="1030">
        <f t="shared" si="34"/>
        <v>0.81020000000000003</v>
      </c>
      <c r="F117" s="1030">
        <f t="shared" si="34"/>
        <v>0.81020000000000003</v>
      </c>
      <c r="G117" s="1030">
        <f t="shared" si="34"/>
        <v>0.81020000000000003</v>
      </c>
      <c r="H117" s="1030">
        <f t="shared" si="34"/>
        <v>0.81020000000000003</v>
      </c>
      <c r="I117" s="1030">
        <f>ROUND(0.7412-0.0095*B113,4)</f>
        <v>0.66439999999999999</v>
      </c>
      <c r="J117" s="1030">
        <f t="shared" si="33"/>
        <v>0.66439999999999999</v>
      </c>
      <c r="K117" s="1030">
        <f t="shared" si="33"/>
        <v>0.66439999999999999</v>
      </c>
      <c r="L117" s="1030">
        <f t="shared" si="33"/>
        <v>0.66439999999999999</v>
      </c>
      <c r="M117" s="1031">
        <f t="shared" si="33"/>
        <v>0.66439999999999999</v>
      </c>
    </row>
    <row r="118" spans="1:13" ht="13.5" thickBot="1">
      <c r="A118" s="1033" t="s">
        <v>902</v>
      </c>
      <c r="B118" s="1034">
        <f>ROUND(0.7275-0.01*B113,4)</f>
        <v>0.64670000000000005</v>
      </c>
      <c r="C118" s="1034">
        <f>B118</f>
        <v>0.64670000000000005</v>
      </c>
      <c r="D118" s="1034">
        <f>ROUND(0.7043-0.012*B113,4)</f>
        <v>0.60729999999999995</v>
      </c>
      <c r="E118" s="1034">
        <f>D118</f>
        <v>0.60729999999999995</v>
      </c>
      <c r="F118" s="1034">
        <f>E118</f>
        <v>0.60729999999999995</v>
      </c>
      <c r="G118" s="1034">
        <f>ROUND(0.6299-0.0122*B113,4)</f>
        <v>0.53129999999999999</v>
      </c>
      <c r="H118" s="1034">
        <f>G118</f>
        <v>0.53129999999999999</v>
      </c>
      <c r="I118" s="1034">
        <f>ROUND(0.5667-0.0136*B113,4)</f>
        <v>0.45679999999999998</v>
      </c>
      <c r="J118" s="1034">
        <f t="shared" si="33"/>
        <v>0.45679999999999998</v>
      </c>
      <c r="K118" s="1034">
        <f t="shared" si="33"/>
        <v>0.45679999999999998</v>
      </c>
      <c r="L118" s="1034">
        <f t="shared" si="33"/>
        <v>0.45679999999999998</v>
      </c>
      <c r="M118" s="1035">
        <f t="shared" si="33"/>
        <v>0.45679999999999998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9" t="s">
        <v>1007</v>
      </c>
      <c r="B18" s="1154" t="s">
        <v>1446</v>
      </c>
      <c r="C18" s="1131" t="s">
        <v>1447</v>
      </c>
      <c r="D18" s="1132"/>
      <c r="E18" s="1154">
        <v>1</v>
      </c>
      <c r="F18" s="1133" t="s">
        <v>1448</v>
      </c>
      <c r="G18" s="1134"/>
      <c r="H18" s="1105"/>
      <c r="I18" s="1105"/>
    </row>
    <row r="19" spans="1:9" s="1600" customFormat="1" ht="19.5" customHeight="1">
      <c r="A19" s="3449"/>
      <c r="B19" s="3449" t="s">
        <v>1449</v>
      </c>
      <c r="C19" s="1131" t="s">
        <v>1450</v>
      </c>
      <c r="D19" s="1132"/>
      <c r="E19" s="1154">
        <v>0.9</v>
      </c>
      <c r="F19" s="1133" t="s">
        <v>1451</v>
      </c>
      <c r="G19" s="1134"/>
      <c r="H19" s="1105"/>
      <c r="I19" s="1105"/>
    </row>
    <row r="20" spans="1:9" s="1600" customFormat="1" ht="19.5" customHeight="1">
      <c r="A20" s="3449"/>
      <c r="B20" s="3449"/>
      <c r="C20" s="1131" t="s">
        <v>1452</v>
      </c>
      <c r="D20" s="1132"/>
      <c r="E20" s="1154">
        <v>1.1000000000000001</v>
      </c>
      <c r="F20" s="1133" t="s">
        <v>1453</v>
      </c>
      <c r="G20" s="1134"/>
      <c r="H20" s="1105"/>
      <c r="I20" s="1105"/>
    </row>
    <row r="21" spans="1:9" s="1600" customFormat="1" ht="19.5" customHeight="1">
      <c r="A21" s="3449"/>
      <c r="B21" s="3449"/>
      <c r="C21" s="1131" t="s">
        <v>1454</v>
      </c>
      <c r="D21" s="1132"/>
      <c r="E21" s="1154">
        <v>0.8</v>
      </c>
      <c r="F21" s="1133" t="s">
        <v>1455</v>
      </c>
      <c r="G21" s="1134"/>
      <c r="H21" s="1105"/>
      <c r="I21" s="1105"/>
    </row>
    <row r="22" spans="1:9" s="1600" customFormat="1" ht="19.5" customHeight="1">
      <c r="A22" s="3449"/>
      <c r="B22" s="3449"/>
      <c r="C22" s="1131" t="s">
        <v>1456</v>
      </c>
      <c r="D22" s="1132"/>
      <c r="E22" s="1154">
        <v>0.5</v>
      </c>
      <c r="F22" s="1133"/>
      <c r="G22" s="1134"/>
      <c r="H22" s="1105"/>
      <c r="I22" s="1105"/>
    </row>
    <row r="23" spans="1:9" s="1600" customFormat="1" ht="19.5" customHeight="1">
      <c r="A23" s="3449" t="s">
        <v>1029</v>
      </c>
      <c r="B23" s="1154" t="s">
        <v>1446</v>
      </c>
      <c r="C23" s="1131" t="s">
        <v>1457</v>
      </c>
      <c r="D23" s="1132"/>
      <c r="E23" s="1154">
        <v>1</v>
      </c>
      <c r="F23" s="1133" t="s">
        <v>1458</v>
      </c>
      <c r="G23" s="1134"/>
      <c r="H23" s="1105"/>
      <c r="I23" s="1105"/>
    </row>
    <row r="24" spans="1:9" s="1600" customFormat="1" ht="19.5" customHeight="1">
      <c r="A24" s="3449"/>
      <c r="B24" s="3449" t="s">
        <v>1449</v>
      </c>
      <c r="C24" s="1131" t="s">
        <v>1459</v>
      </c>
      <c r="D24" s="1132"/>
      <c r="E24" s="1154">
        <v>0.5</v>
      </c>
      <c r="F24" s="1133"/>
      <c r="G24" s="1134"/>
      <c r="H24" s="1105"/>
      <c r="I24" s="1105"/>
    </row>
    <row r="25" spans="1:9" s="1600" customFormat="1" ht="19.5" customHeight="1">
      <c r="A25" s="3449"/>
      <c r="B25" s="3449"/>
      <c r="C25" s="1131" t="s">
        <v>1460</v>
      </c>
      <c r="D25" s="1132"/>
      <c r="E25" s="1154">
        <v>1.1000000000000001</v>
      </c>
      <c r="F25" s="1133"/>
      <c r="G25" s="1134"/>
      <c r="H25" s="1105"/>
      <c r="I25" s="1105"/>
    </row>
    <row r="26" spans="1:9" s="1600" customFormat="1" ht="19.5" customHeight="1">
      <c r="A26" s="3449"/>
      <c r="B26" s="3449"/>
      <c r="C26" s="1131" t="s">
        <v>1461</v>
      </c>
      <c r="D26" s="1132"/>
      <c r="E26" s="1154">
        <v>1.1000000000000001</v>
      </c>
      <c r="F26" s="1133"/>
      <c r="G26" s="1134"/>
      <c r="H26" s="1105"/>
      <c r="I26" s="1105"/>
    </row>
    <row r="27" spans="1:9" s="1600" customFormat="1" ht="19.5" customHeight="1">
      <c r="A27" s="3449"/>
      <c r="B27" s="3449"/>
      <c r="C27" s="1131" t="s">
        <v>1462</v>
      </c>
      <c r="D27" s="1132"/>
      <c r="E27" s="1154">
        <v>0.9</v>
      </c>
      <c r="F27" s="1133" t="s">
        <v>1463</v>
      </c>
      <c r="G27" s="1134"/>
      <c r="H27" s="1105"/>
      <c r="I27" s="1105"/>
    </row>
    <row r="28" spans="1:9" s="1600" customFormat="1" ht="19.5" customHeight="1">
      <c r="A28" s="3449"/>
      <c r="B28" s="3449"/>
      <c r="C28" s="1131" t="s">
        <v>1464</v>
      </c>
      <c r="D28" s="1132"/>
      <c r="E28" s="1154">
        <v>0.9</v>
      </c>
      <c r="F28" s="1133" t="s">
        <v>1465</v>
      </c>
      <c r="G28" s="1134"/>
      <c r="H28" s="1105"/>
      <c r="I28" s="1105"/>
    </row>
    <row r="29" spans="1:9" s="1600" customFormat="1" ht="19.5" customHeight="1">
      <c r="A29" s="3449"/>
      <c r="B29" s="3449"/>
      <c r="C29" s="1131" t="s">
        <v>1466</v>
      </c>
      <c r="D29" s="1132"/>
      <c r="E29" s="1154">
        <v>0.9</v>
      </c>
      <c r="F29" s="1133" t="s">
        <v>1467</v>
      </c>
      <c r="G29" s="1134"/>
      <c r="H29" s="1105"/>
      <c r="I29" s="1105"/>
    </row>
    <row r="30" spans="1:9" s="1600" customFormat="1" ht="19.5" customHeight="1">
      <c r="A30" s="3449"/>
      <c r="B30" s="3449"/>
      <c r="C30" s="1131" t="s">
        <v>1468</v>
      </c>
      <c r="D30" s="1132"/>
      <c r="E30" s="1154">
        <v>0.9</v>
      </c>
      <c r="F30" s="1133" t="s">
        <v>1469</v>
      </c>
      <c r="G30" s="1134"/>
      <c r="H30" s="1105"/>
      <c r="I30" s="1105"/>
    </row>
    <row r="31" spans="1:9" s="1600" customFormat="1" ht="19.5" customHeight="1">
      <c r="A31" s="3449"/>
      <c r="B31" s="3449"/>
      <c r="C31" s="1131" t="s">
        <v>1470</v>
      </c>
      <c r="D31" s="1132"/>
      <c r="E31" s="1154">
        <v>0.8</v>
      </c>
      <c r="F31" s="1133" t="s">
        <v>1471</v>
      </c>
      <c r="G31" s="1134"/>
      <c r="H31" s="1105"/>
      <c r="I31" s="1105"/>
    </row>
    <row r="32" spans="1:9" s="1600" customFormat="1" ht="19.5" customHeight="1">
      <c r="A32" s="3449"/>
      <c r="B32" s="3449"/>
      <c r="C32" s="1131" t="s">
        <v>1472</v>
      </c>
      <c r="D32" s="1132"/>
      <c r="E32" s="1154">
        <v>0.8</v>
      </c>
      <c r="F32" s="1133" t="s">
        <v>1473</v>
      </c>
      <c r="G32" s="1134"/>
      <c r="H32" s="1105"/>
      <c r="I32" s="1105"/>
    </row>
    <row r="33" spans="1:9" s="1600" customFormat="1" ht="19.5" customHeight="1">
      <c r="A33" s="3449" t="s">
        <v>1474</v>
      </c>
      <c r="B33" s="1154" t="s">
        <v>1446</v>
      </c>
      <c r="C33" s="1131" t="s">
        <v>1475</v>
      </c>
      <c r="D33" s="1132"/>
      <c r="E33" s="1154">
        <v>1</v>
      </c>
      <c r="F33" s="1133" t="s">
        <v>1476</v>
      </c>
      <c r="G33" s="1134"/>
      <c r="H33" s="1105"/>
      <c r="I33" s="1105"/>
    </row>
    <row r="34" spans="1:9" s="1600" customFormat="1" ht="19.5" customHeight="1">
      <c r="A34" s="3449"/>
      <c r="B34" s="1154" t="s">
        <v>1449</v>
      </c>
      <c r="C34" s="1131" t="s">
        <v>1477</v>
      </c>
      <c r="D34" s="1132"/>
      <c r="E34" s="1154">
        <v>1.5</v>
      </c>
      <c r="F34" s="1133" t="s">
        <v>1478</v>
      </c>
      <c r="G34" s="1134"/>
      <c r="H34" s="1105"/>
      <c r="I34" s="1105"/>
    </row>
    <row r="35" spans="1:9" s="1600" customFormat="1" ht="19.5" customHeight="1">
      <c r="A35" s="3449" t="s">
        <v>1432</v>
      </c>
      <c r="B35" s="1154" t="s">
        <v>1446</v>
      </c>
      <c r="C35" s="1131" t="s">
        <v>1479</v>
      </c>
      <c r="D35" s="1132"/>
      <c r="E35" s="1154">
        <v>1</v>
      </c>
      <c r="F35" s="1133" t="s">
        <v>1480</v>
      </c>
      <c r="G35" s="1134"/>
      <c r="H35" s="1105"/>
      <c r="I35" s="1105"/>
    </row>
    <row r="36" spans="1:9" s="1600" customFormat="1" ht="19.5" customHeight="1">
      <c r="A36" s="3449"/>
      <c r="B36" s="3449" t="s">
        <v>1449</v>
      </c>
      <c r="C36" s="1131" t="s">
        <v>1481</v>
      </c>
      <c r="D36" s="1132"/>
      <c r="E36" s="1154">
        <v>1</v>
      </c>
      <c r="F36" s="1133" t="s">
        <v>1482</v>
      </c>
      <c r="G36" s="1134"/>
      <c r="H36" s="1105"/>
      <c r="I36" s="1105"/>
    </row>
    <row r="37" spans="1:9" s="1600" customFormat="1" ht="19.5" customHeight="1">
      <c r="A37" s="3449"/>
      <c r="B37" s="3449"/>
      <c r="C37" s="1131" t="s">
        <v>1483</v>
      </c>
      <c r="D37" s="1132"/>
      <c r="E37" s="1154">
        <v>1.5</v>
      </c>
      <c r="F37" s="1133" t="s">
        <v>1484</v>
      </c>
      <c r="G37" s="1134"/>
      <c r="H37" s="1105"/>
      <c r="I37" s="1105"/>
    </row>
    <row r="38" spans="1:9" s="1600" customFormat="1" ht="19.5" customHeight="1">
      <c r="A38" s="3449"/>
      <c r="B38" s="3449"/>
      <c r="C38" s="1131" t="s">
        <v>1485</v>
      </c>
      <c r="D38" s="1132"/>
      <c r="E38" s="1154">
        <v>1</v>
      </c>
      <c r="F38" s="1133" t="s">
        <v>1486</v>
      </c>
      <c r="G38" s="1134"/>
      <c r="H38" s="1105"/>
      <c r="I38" s="1105"/>
    </row>
    <row r="39" spans="1:9" s="1600" customFormat="1" ht="19.5" customHeight="1">
      <c r="A39" s="3449"/>
      <c r="B39" s="3449"/>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9" t="s">
        <v>1501</v>
      </c>
      <c r="C61" s="1068" t="s">
        <v>1502</v>
      </c>
      <c r="D61" s="1068" t="s">
        <v>1503</v>
      </c>
      <c r="E61" s="1139">
        <v>0.5</v>
      </c>
      <c r="F61" s="1154">
        <v>80</v>
      </c>
      <c r="H61" s="1105">
        <f>SUMIF(C59:C119,基准地价!C8,E59:E119)</f>
        <v>0</v>
      </c>
    </row>
    <row r="62" spans="1:8" s="1105" customFormat="1" ht="24">
      <c r="A62" s="1154">
        <v>2</v>
      </c>
      <c r="B62" s="3449"/>
      <c r="C62" s="1068" t="s">
        <v>1504</v>
      </c>
      <c r="D62" s="1068" t="s">
        <v>1505</v>
      </c>
      <c r="E62" s="1139">
        <v>0.5</v>
      </c>
      <c r="F62" s="1154">
        <v>80</v>
      </c>
    </row>
    <row r="63" spans="1:8" s="1105" customFormat="1" ht="36">
      <c r="A63" s="1154">
        <v>3</v>
      </c>
      <c r="B63" s="3449"/>
      <c r="C63" s="1068" t="s">
        <v>1506</v>
      </c>
      <c r="D63" s="1068" t="s">
        <v>1507</v>
      </c>
      <c r="E63" s="1139">
        <v>0.5</v>
      </c>
      <c r="F63" s="1154">
        <v>80</v>
      </c>
    </row>
    <row r="64" spans="1:8" s="1105" customFormat="1" ht="36">
      <c r="A64" s="1154">
        <v>4</v>
      </c>
      <c r="B64" s="3449"/>
      <c r="C64" s="1068" t="s">
        <v>1508</v>
      </c>
      <c r="D64" s="1068" t="s">
        <v>1509</v>
      </c>
      <c r="E64" s="1139">
        <v>0.4</v>
      </c>
      <c r="F64" s="1154">
        <v>60</v>
      </c>
    </row>
    <row r="65" spans="1:6" s="1105" customFormat="1" ht="36">
      <c r="A65" s="1154">
        <v>5</v>
      </c>
      <c r="B65" s="3449"/>
      <c r="C65" s="1068" t="s">
        <v>1510</v>
      </c>
      <c r="D65" s="1068" t="s">
        <v>1511</v>
      </c>
      <c r="E65" s="1139">
        <v>0.2</v>
      </c>
      <c r="F65" s="1154">
        <v>30</v>
      </c>
    </row>
    <row r="66" spans="1:6" s="1105" customFormat="1" ht="36">
      <c r="A66" s="1154">
        <v>6</v>
      </c>
      <c r="B66" s="3449"/>
      <c r="C66" s="1068" t="s">
        <v>1512</v>
      </c>
      <c r="D66" s="1068" t="s">
        <v>1513</v>
      </c>
      <c r="E66" s="1139">
        <v>0.3</v>
      </c>
      <c r="F66" s="1154">
        <v>50</v>
      </c>
    </row>
    <row r="67" spans="1:6" s="1105" customFormat="1" ht="36">
      <c r="A67" s="1154">
        <v>7</v>
      </c>
      <c r="B67" s="3449"/>
      <c r="C67" s="1068" t="s">
        <v>1514</v>
      </c>
      <c r="D67" s="1068" t="s">
        <v>1515</v>
      </c>
      <c r="E67" s="1139">
        <v>0.2</v>
      </c>
      <c r="F67" s="1154">
        <v>30</v>
      </c>
    </row>
    <row r="68" spans="1:6" s="1105" customFormat="1" ht="36">
      <c r="A68" s="1154">
        <v>8</v>
      </c>
      <c r="B68" s="3449"/>
      <c r="C68" s="1068" t="s">
        <v>1516</v>
      </c>
      <c r="D68" s="1068" t="s">
        <v>1517</v>
      </c>
      <c r="E68" s="1139">
        <v>0.2</v>
      </c>
      <c r="F68" s="1154">
        <v>30</v>
      </c>
    </row>
    <row r="69" spans="1:6" s="1105" customFormat="1" ht="36">
      <c r="A69" s="1154">
        <v>9</v>
      </c>
      <c r="B69" s="3449"/>
      <c r="C69" s="1068" t="s">
        <v>1518</v>
      </c>
      <c r="D69" s="1068" t="s">
        <v>1519</v>
      </c>
      <c r="E69" s="1139">
        <v>0.2</v>
      </c>
      <c r="F69" s="1154">
        <v>30</v>
      </c>
    </row>
    <row r="70" spans="1:6" s="1105" customFormat="1" ht="48">
      <c r="A70" s="1154">
        <v>10</v>
      </c>
      <c r="B70" s="3449"/>
      <c r="C70" s="1068" t="s">
        <v>1520</v>
      </c>
      <c r="D70" s="1068" t="s">
        <v>1521</v>
      </c>
      <c r="E70" s="1139">
        <v>0.2</v>
      </c>
      <c r="F70" s="1154">
        <v>30</v>
      </c>
    </row>
    <row r="71" spans="1:6" s="1105" customFormat="1" ht="48">
      <c r="A71" s="1154">
        <v>11</v>
      </c>
      <c r="B71" s="3449"/>
      <c r="C71" s="1068" t="s">
        <v>1522</v>
      </c>
      <c r="D71" s="1068" t="s">
        <v>1523</v>
      </c>
      <c r="E71" s="1139">
        <v>0.2</v>
      </c>
      <c r="F71" s="1154">
        <v>30</v>
      </c>
    </row>
    <row r="72" spans="1:6" s="1105" customFormat="1" ht="36">
      <c r="A72" s="1154">
        <v>12</v>
      </c>
      <c r="B72" s="3449"/>
      <c r="C72" s="1068" t="s">
        <v>1524</v>
      </c>
      <c r="D72" s="1068" t="s">
        <v>1525</v>
      </c>
      <c r="E72" s="1139">
        <v>0.5</v>
      </c>
      <c r="F72" s="1154">
        <v>80</v>
      </c>
    </row>
    <row r="73" spans="1:6" s="1105" customFormat="1" ht="24">
      <c r="A73" s="1154">
        <v>13</v>
      </c>
      <c r="B73" s="3449"/>
      <c r="C73" s="1068" t="s">
        <v>1526</v>
      </c>
      <c r="D73" s="1068" t="s">
        <v>1527</v>
      </c>
      <c r="E73" s="1139">
        <v>0.4</v>
      </c>
      <c r="F73" s="1154">
        <v>60</v>
      </c>
    </row>
    <row r="74" spans="1:6" s="1105" customFormat="1" ht="24">
      <c r="A74" s="1154">
        <v>14</v>
      </c>
      <c r="B74" s="3449"/>
      <c r="C74" s="1068" t="s">
        <v>1528</v>
      </c>
      <c r="D74" s="1068" t="s">
        <v>1529</v>
      </c>
      <c r="E74" s="1139">
        <v>0.2</v>
      </c>
      <c r="F74" s="1154">
        <v>30</v>
      </c>
    </row>
    <row r="75" spans="1:6" s="1105" customFormat="1" ht="24">
      <c r="A75" s="1154">
        <v>15</v>
      </c>
      <c r="B75" s="3449"/>
      <c r="C75" s="1068" t="s">
        <v>1530</v>
      </c>
      <c r="D75" s="1068" t="s">
        <v>1531</v>
      </c>
      <c r="E75" s="1139">
        <v>0.2</v>
      </c>
      <c r="F75" s="1154">
        <v>30</v>
      </c>
    </row>
    <row r="76" spans="1:6" s="1105" customFormat="1" ht="24">
      <c r="A76" s="1154">
        <v>16</v>
      </c>
      <c r="B76" s="3449" t="s">
        <v>1532</v>
      </c>
      <c r="C76" s="1068" t="s">
        <v>1533</v>
      </c>
      <c r="D76" s="1068" t="s">
        <v>1534</v>
      </c>
      <c r="E76" s="1139">
        <v>0.5</v>
      </c>
      <c r="F76" s="1154">
        <v>80</v>
      </c>
    </row>
    <row r="77" spans="1:6" s="1105" customFormat="1" ht="24">
      <c r="A77" s="1154">
        <v>17</v>
      </c>
      <c r="B77" s="3449"/>
      <c r="C77" s="1068" t="s">
        <v>1535</v>
      </c>
      <c r="D77" s="1068" t="s">
        <v>1536</v>
      </c>
      <c r="E77" s="1139">
        <v>0.5</v>
      </c>
      <c r="F77" s="1154">
        <v>80</v>
      </c>
    </row>
    <row r="78" spans="1:6" s="1105" customFormat="1" ht="24">
      <c r="A78" s="1154">
        <v>18</v>
      </c>
      <c r="B78" s="3449"/>
      <c r="C78" s="1068" t="s">
        <v>1537</v>
      </c>
      <c r="D78" s="1068" t="s">
        <v>1538</v>
      </c>
      <c r="E78" s="1139">
        <v>0.2</v>
      </c>
      <c r="F78" s="1154">
        <v>30</v>
      </c>
    </row>
    <row r="79" spans="1:6" s="1105" customFormat="1" ht="24">
      <c r="A79" s="1154">
        <v>19</v>
      </c>
      <c r="B79" s="3449"/>
      <c r="C79" s="1068" t="s">
        <v>1539</v>
      </c>
      <c r="D79" s="1068" t="s">
        <v>1540</v>
      </c>
      <c r="E79" s="1139">
        <v>0.5</v>
      </c>
      <c r="F79" s="1154">
        <v>80</v>
      </c>
    </row>
    <row r="80" spans="1:6" s="1105" customFormat="1" ht="36">
      <c r="A80" s="1154">
        <v>20</v>
      </c>
      <c r="B80" s="3449"/>
      <c r="C80" s="1068" t="s">
        <v>1541</v>
      </c>
      <c r="D80" s="1068" t="s">
        <v>1542</v>
      </c>
      <c r="E80" s="1139">
        <v>0.2</v>
      </c>
      <c r="F80" s="1154">
        <v>30</v>
      </c>
    </row>
    <row r="81" spans="1:6" s="1105" customFormat="1" ht="36">
      <c r="A81" s="1154">
        <v>21</v>
      </c>
      <c r="B81" s="3449"/>
      <c r="C81" s="1068" t="s">
        <v>1543</v>
      </c>
      <c r="D81" s="1068" t="s">
        <v>1544</v>
      </c>
      <c r="E81" s="1139">
        <v>0.2</v>
      </c>
      <c r="F81" s="1154">
        <v>30</v>
      </c>
    </row>
    <row r="82" spans="1:6" s="1105" customFormat="1" ht="48">
      <c r="A82" s="1154">
        <v>22</v>
      </c>
      <c r="B82" s="3449"/>
      <c r="C82" s="1068" t="s">
        <v>1545</v>
      </c>
      <c r="D82" s="1068" t="s">
        <v>1546</v>
      </c>
      <c r="E82" s="1139">
        <v>0.2</v>
      </c>
      <c r="F82" s="1154">
        <v>30</v>
      </c>
    </row>
    <row r="83" spans="1:6" s="1105" customFormat="1" ht="48">
      <c r="A83" s="1154">
        <v>23</v>
      </c>
      <c r="B83" s="3449"/>
      <c r="C83" s="1068" t="s">
        <v>1547</v>
      </c>
      <c r="D83" s="1068" t="s">
        <v>1548</v>
      </c>
      <c r="E83" s="1139">
        <v>0.2</v>
      </c>
      <c r="F83" s="1154">
        <v>30</v>
      </c>
    </row>
    <row r="84" spans="1:6" s="1105" customFormat="1" ht="36">
      <c r="A84" s="1154">
        <v>24</v>
      </c>
      <c r="B84" s="3449"/>
      <c r="C84" s="1068" t="s">
        <v>1549</v>
      </c>
      <c r="D84" s="1068" t="s">
        <v>1550</v>
      </c>
      <c r="E84" s="1139">
        <v>0.2</v>
      </c>
      <c r="F84" s="1154">
        <v>30</v>
      </c>
    </row>
    <row r="85" spans="1:6" s="1105" customFormat="1" ht="36">
      <c r="A85" s="1154">
        <v>25</v>
      </c>
      <c r="B85" s="3449"/>
      <c r="C85" s="1068" t="s">
        <v>1551</v>
      </c>
      <c r="D85" s="1068" t="s">
        <v>1552</v>
      </c>
      <c r="E85" s="1139">
        <v>0.5</v>
      </c>
      <c r="F85" s="1154">
        <v>80</v>
      </c>
    </row>
    <row r="86" spans="1:6" s="1105" customFormat="1" ht="36">
      <c r="A86" s="1154">
        <v>26</v>
      </c>
      <c r="B86" s="3449"/>
      <c r="C86" s="1068" t="s">
        <v>1553</v>
      </c>
      <c r="D86" s="1068" t="s">
        <v>1554</v>
      </c>
      <c r="E86" s="1139">
        <v>0.2</v>
      </c>
      <c r="F86" s="1154">
        <v>30</v>
      </c>
    </row>
    <row r="87" spans="1:6" s="1105" customFormat="1" ht="36">
      <c r="A87" s="1154">
        <v>27</v>
      </c>
      <c r="B87" s="3449"/>
      <c r="C87" s="1068" t="s">
        <v>1555</v>
      </c>
      <c r="D87" s="1068" t="s">
        <v>1556</v>
      </c>
      <c r="E87" s="1139">
        <v>0.2</v>
      </c>
      <c r="F87" s="1154">
        <v>30</v>
      </c>
    </row>
    <row r="88" spans="1:6" s="1105" customFormat="1" ht="36">
      <c r="A88" s="1154">
        <v>28</v>
      </c>
      <c r="B88" s="3449"/>
      <c r="C88" s="1068" t="s">
        <v>1557</v>
      </c>
      <c r="D88" s="1068" t="s">
        <v>1558</v>
      </c>
      <c r="E88" s="1139">
        <v>0.2</v>
      </c>
      <c r="F88" s="1154">
        <v>30</v>
      </c>
    </row>
    <row r="89" spans="1:6" s="1105" customFormat="1" ht="24">
      <c r="A89" s="1154">
        <v>29</v>
      </c>
      <c r="B89" s="3449"/>
      <c r="C89" s="1068" t="s">
        <v>1559</v>
      </c>
      <c r="D89" s="1068" t="s">
        <v>1560</v>
      </c>
      <c r="E89" s="1139">
        <v>0.2</v>
      </c>
      <c r="F89" s="1154">
        <v>30</v>
      </c>
    </row>
    <row r="90" spans="1:6" s="1105" customFormat="1" ht="24">
      <c r="A90" s="1154">
        <v>30</v>
      </c>
      <c r="B90" s="3449"/>
      <c r="C90" s="1068" t="s">
        <v>1561</v>
      </c>
      <c r="D90" s="1068" t="s">
        <v>1562</v>
      </c>
      <c r="E90" s="1139">
        <v>0.2</v>
      </c>
      <c r="F90" s="1154">
        <v>30</v>
      </c>
    </row>
    <row r="91" spans="1:6" s="1105" customFormat="1" ht="36">
      <c r="A91" s="1154">
        <v>31</v>
      </c>
      <c r="B91" s="3449"/>
      <c r="C91" s="1068" t="s">
        <v>1563</v>
      </c>
      <c r="D91" s="1068" t="s">
        <v>1564</v>
      </c>
      <c r="E91" s="1139">
        <v>0.2</v>
      </c>
      <c r="F91" s="1154">
        <v>30</v>
      </c>
    </row>
    <row r="92" spans="1:6" s="1105" customFormat="1" ht="24">
      <c r="A92" s="1154">
        <v>32</v>
      </c>
      <c r="B92" s="3449" t="s">
        <v>1565</v>
      </c>
      <c r="C92" s="1154" t="s">
        <v>1566</v>
      </c>
      <c r="D92" s="1068" t="s">
        <v>1567</v>
      </c>
      <c r="E92" s="1139">
        <v>0.2</v>
      </c>
      <c r="F92" s="1154">
        <v>30</v>
      </c>
    </row>
    <row r="93" spans="1:6" s="1105" customFormat="1" ht="36">
      <c r="A93" s="1154">
        <v>33</v>
      </c>
      <c r="B93" s="3449"/>
      <c r="C93" s="1154" t="s">
        <v>1568</v>
      </c>
      <c r="D93" s="1068" t="s">
        <v>1569</v>
      </c>
      <c r="E93" s="1139">
        <v>0.2</v>
      </c>
      <c r="F93" s="1154">
        <v>30</v>
      </c>
    </row>
    <row r="94" spans="1:6" s="1105" customFormat="1" ht="48">
      <c r="A94" s="1154">
        <v>34</v>
      </c>
      <c r="B94" s="3449"/>
      <c r="C94" s="1154" t="s">
        <v>1570</v>
      </c>
      <c r="D94" s="1068" t="s">
        <v>1571</v>
      </c>
      <c r="E94" s="1139">
        <v>0.2</v>
      </c>
      <c r="F94" s="1154">
        <v>30</v>
      </c>
    </row>
    <row r="95" spans="1:6" s="1105" customFormat="1" ht="36">
      <c r="A95" s="1154">
        <v>35</v>
      </c>
      <c r="B95" s="3449"/>
      <c r="C95" s="1154" t="s">
        <v>1572</v>
      </c>
      <c r="D95" s="1068" t="s">
        <v>1573</v>
      </c>
      <c r="E95" s="1139">
        <v>0.2</v>
      </c>
      <c r="F95" s="1154">
        <v>30</v>
      </c>
    </row>
    <row r="96" spans="1:6" s="1105" customFormat="1" ht="48">
      <c r="A96" s="1154">
        <v>36</v>
      </c>
      <c r="B96" s="3449"/>
      <c r="C96" s="1068" t="s">
        <v>1574</v>
      </c>
      <c r="D96" s="1068" t="s">
        <v>1575</v>
      </c>
      <c r="E96" s="1139">
        <v>0.2</v>
      </c>
      <c r="F96" s="1154">
        <v>30</v>
      </c>
    </row>
    <row r="97" spans="1:6" s="1105" customFormat="1" ht="36">
      <c r="A97" s="1154">
        <v>37</v>
      </c>
      <c r="B97" s="3449"/>
      <c r="C97" s="1154" t="s">
        <v>1576</v>
      </c>
      <c r="D97" s="1068" t="s">
        <v>1577</v>
      </c>
      <c r="E97" s="1139">
        <v>0.2</v>
      </c>
      <c r="F97" s="1154">
        <v>30</v>
      </c>
    </row>
    <row r="98" spans="1:6" s="1105" customFormat="1" ht="36">
      <c r="A98" s="1154">
        <v>38</v>
      </c>
      <c r="B98" s="3449"/>
      <c r="C98" s="1154" t="s">
        <v>1578</v>
      </c>
      <c r="D98" s="1068" t="s">
        <v>1579</v>
      </c>
      <c r="E98" s="1139">
        <v>0.2</v>
      </c>
      <c r="F98" s="1154">
        <v>30</v>
      </c>
    </row>
    <row r="99" spans="1:6" s="1105" customFormat="1" ht="36">
      <c r="A99" s="1154">
        <v>39</v>
      </c>
      <c r="B99" s="3449" t="s">
        <v>1580</v>
      </c>
      <c r="C99" s="1154" t="s">
        <v>1581</v>
      </c>
      <c r="D99" s="1068" t="s">
        <v>1582</v>
      </c>
      <c r="E99" s="1139">
        <v>0.3</v>
      </c>
      <c r="F99" s="1154">
        <v>50</v>
      </c>
    </row>
    <row r="100" spans="1:6" s="1105" customFormat="1" ht="24">
      <c r="A100" s="1154">
        <v>40</v>
      </c>
      <c r="B100" s="3449"/>
      <c r="C100" s="1154" t="s">
        <v>1583</v>
      </c>
      <c r="D100" s="1068" t="s">
        <v>1584</v>
      </c>
      <c r="E100" s="1139">
        <v>0.2</v>
      </c>
      <c r="F100" s="1154">
        <v>30</v>
      </c>
    </row>
    <row r="101" spans="1:6" s="1105" customFormat="1" ht="36">
      <c r="A101" s="1154">
        <v>41</v>
      </c>
      <c r="B101" s="344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9" t="s">
        <v>1595</v>
      </c>
      <c r="C105" s="1154" t="s">
        <v>1596</v>
      </c>
      <c r="D105" s="1068" t="s">
        <v>1597</v>
      </c>
      <c r="E105" s="1139">
        <v>0.2</v>
      </c>
      <c r="F105" s="1154">
        <v>30</v>
      </c>
    </row>
    <row r="106" spans="1:6" s="1105" customFormat="1" ht="36">
      <c r="A106" s="1154">
        <v>46</v>
      </c>
      <c r="B106" s="3449"/>
      <c r="C106" s="1154" t="s">
        <v>1598</v>
      </c>
      <c r="D106" s="1068" t="s">
        <v>1599</v>
      </c>
      <c r="E106" s="1139">
        <v>0.2</v>
      </c>
      <c r="F106" s="1154">
        <v>30</v>
      </c>
    </row>
    <row r="107" spans="1:6" s="1105" customFormat="1" ht="36">
      <c r="A107" s="1154">
        <v>47</v>
      </c>
      <c r="B107" s="3449" t="s">
        <v>1600</v>
      </c>
      <c r="C107" s="1154" t="s">
        <v>1601</v>
      </c>
      <c r="D107" s="1068" t="s">
        <v>1602</v>
      </c>
      <c r="E107" s="1139">
        <v>0.3</v>
      </c>
      <c r="F107" s="1154">
        <v>50</v>
      </c>
    </row>
    <row r="108" spans="1:6" s="1105" customFormat="1" ht="36">
      <c r="A108" s="1154">
        <v>48</v>
      </c>
      <c r="B108" s="344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9" t="s">
        <v>1611</v>
      </c>
      <c r="C111" s="1154" t="s">
        <v>1612</v>
      </c>
      <c r="D111" s="1068" t="s">
        <v>1613</v>
      </c>
      <c r="E111" s="1139">
        <v>0.2</v>
      </c>
      <c r="F111" s="1154">
        <v>30</v>
      </c>
    </row>
    <row r="112" spans="1:6" s="1105" customFormat="1" ht="24">
      <c r="A112" s="1154">
        <v>52</v>
      </c>
      <c r="B112" s="3449"/>
      <c r="C112" s="1154" t="s">
        <v>1614</v>
      </c>
      <c r="D112" s="1068" t="s">
        <v>1615</v>
      </c>
      <c r="E112" s="1139">
        <v>0.2</v>
      </c>
      <c r="F112" s="1154">
        <v>30</v>
      </c>
    </row>
    <row r="113" spans="1:14" s="1105" customFormat="1" ht="24">
      <c r="A113" s="1154">
        <v>53</v>
      </c>
      <c r="B113" s="344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9" t="s">
        <v>1624</v>
      </c>
      <c r="C116" s="1154" t="s">
        <v>1625</v>
      </c>
      <c r="D116" s="1068" t="s">
        <v>1626</v>
      </c>
      <c r="E116" s="1139">
        <v>0.2</v>
      </c>
      <c r="F116" s="1154">
        <v>30</v>
      </c>
    </row>
    <row r="117" spans="1:14" ht="36">
      <c r="A117" s="1154">
        <v>57</v>
      </c>
      <c r="B117" s="344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8" t="s">
        <v>1633</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1039</v>
      </c>
      <c r="B1" s="3453"/>
      <c r="C1" s="3453"/>
      <c r="D1" s="3453"/>
      <c r="E1" s="3453"/>
      <c r="F1" s="345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4" t="s">
        <v>1052</v>
      </c>
      <c r="B2" s="3454"/>
      <c r="C2" s="3454"/>
      <c r="D2" s="3454"/>
      <c r="E2" s="3454"/>
      <c r="F2" s="345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2080</v>
      </c>
      <c r="B1" s="3457"/>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1096</v>
      </c>
      <c r="B6" s="1861" t="s">
        <v>2089</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2090</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2091</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2092</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2093</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2094</v>
      </c>
      <c r="C72" s="1871"/>
      <c r="D72" s="1871"/>
      <c r="E72" s="1871"/>
      <c r="F72" s="1863">
        <v>0.05</v>
      </c>
    </row>
    <row r="73" spans="1:6" ht="14.25" thickBot="1">
      <c r="A73" s="1857" t="s">
        <v>924</v>
      </c>
      <c r="B73" s="1861" t="s">
        <v>2095</v>
      </c>
      <c r="C73" s="1871"/>
      <c r="D73" s="1871"/>
      <c r="E73" s="1871"/>
      <c r="F73" s="1863">
        <v>0.05</v>
      </c>
    </row>
    <row r="74" spans="1:6" ht="14.25" thickBot="1">
      <c r="A74" s="1857" t="s">
        <v>924</v>
      </c>
      <c r="B74" s="1861" t="s">
        <v>2096</v>
      </c>
      <c r="C74" s="1871"/>
      <c r="D74" s="1871"/>
      <c r="E74" s="1871"/>
      <c r="F74" s="1863">
        <v>0.05</v>
      </c>
    </row>
    <row r="75" spans="1:6" ht="14.25" thickBot="1">
      <c r="A75" s="1865" t="s">
        <v>924</v>
      </c>
      <c r="B75" s="1872" t="s">
        <v>2097</v>
      </c>
      <c r="C75" s="1868"/>
      <c r="D75" s="1868"/>
      <c r="E75" s="1868"/>
      <c r="F75" s="1873">
        <v>0.05</v>
      </c>
    </row>
    <row r="76" spans="1:6" ht="14.25" thickBot="1">
      <c r="A76" s="1857" t="s">
        <v>1407</v>
      </c>
      <c r="B76" s="1858" t="s">
        <v>2098</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2099</v>
      </c>
      <c r="C102" s="1871"/>
      <c r="D102" s="1871"/>
      <c r="E102" s="1871"/>
      <c r="F102" s="1863">
        <v>0.05</v>
      </c>
    </row>
    <row r="103" spans="1:6" ht="24.75" thickBot="1">
      <c r="A103" s="1857" t="s">
        <v>1407</v>
      </c>
      <c r="B103" s="1861" t="s">
        <v>2100</v>
      </c>
      <c r="C103" s="1871"/>
      <c r="D103" s="1871"/>
      <c r="E103" s="1871"/>
      <c r="F103" s="1863">
        <v>0.05</v>
      </c>
    </row>
    <row r="104" spans="1:6" ht="14.25" thickBot="1">
      <c r="A104" s="1857" t="s">
        <v>1407</v>
      </c>
      <c r="B104" s="1861" t="s">
        <v>2101</v>
      </c>
      <c r="C104" s="1871"/>
      <c r="D104" s="1871"/>
      <c r="E104" s="1871"/>
      <c r="F104" s="1863">
        <v>0.05</v>
      </c>
    </row>
    <row r="105" spans="1:6" ht="14.25" thickBot="1">
      <c r="A105" s="1857" t="s">
        <v>1407</v>
      </c>
      <c r="B105" s="1861" t="s">
        <v>2102</v>
      </c>
      <c r="C105" s="1871"/>
      <c r="D105" s="1871"/>
      <c r="E105" s="1871"/>
      <c r="F105" s="1863">
        <v>0.05</v>
      </c>
    </row>
    <row r="106" spans="1:6" ht="14.25" thickBot="1">
      <c r="A106" s="1857" t="s">
        <v>1407</v>
      </c>
      <c r="B106" s="1861" t="s">
        <v>2103</v>
      </c>
      <c r="C106" s="1871"/>
      <c r="D106" s="1871"/>
      <c r="E106" s="1871"/>
      <c r="F106" s="1863">
        <v>0.05</v>
      </c>
    </row>
    <row r="107" spans="1:6" ht="24.75" thickBot="1">
      <c r="A107" s="1857" t="s">
        <v>1407</v>
      </c>
      <c r="B107" s="1861" t="s">
        <v>2104</v>
      </c>
      <c r="C107" s="1871"/>
      <c r="D107" s="1871"/>
      <c r="E107" s="1871"/>
      <c r="F107" s="1863">
        <v>0.05</v>
      </c>
    </row>
    <row r="108" spans="1:6" ht="24.75" thickBot="1">
      <c r="A108" s="1857" t="s">
        <v>1407</v>
      </c>
      <c r="B108" s="1861" t="s">
        <v>2105</v>
      </c>
      <c r="C108" s="1871"/>
      <c r="D108" s="1871"/>
      <c r="E108" s="1871"/>
      <c r="F108" s="1863">
        <v>0.05</v>
      </c>
    </row>
    <row r="109" spans="1:6" ht="24.75" thickBot="1">
      <c r="A109" s="1865" t="s">
        <v>1407</v>
      </c>
      <c r="B109" s="1872" t="s">
        <v>2106</v>
      </c>
      <c r="C109" s="1868"/>
      <c r="D109" s="1868"/>
      <c r="E109" s="1868"/>
      <c r="F109" s="1873">
        <v>0.05</v>
      </c>
    </row>
    <row r="110" spans="1:6" ht="14.25" thickBot="1">
      <c r="A110" s="1857" t="s">
        <v>1409</v>
      </c>
      <c r="B110" s="1858" t="s">
        <v>2107</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2108</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2109</v>
      </c>
      <c r="C138" s="1862">
        <v>0.105</v>
      </c>
      <c r="D138" s="1862">
        <v>0.125</v>
      </c>
      <c r="E138" s="1862">
        <v>0.112</v>
      </c>
      <c r="F138" s="1870"/>
    </row>
    <row r="139" spans="1:6" ht="14.25" thickBot="1">
      <c r="A139" s="1857" t="s">
        <v>1409</v>
      </c>
      <c r="B139" s="1861" t="s">
        <v>2110</v>
      </c>
      <c r="C139" s="1862">
        <v>0.127</v>
      </c>
      <c r="D139" s="1862">
        <v>0.127</v>
      </c>
      <c r="E139" s="1862">
        <v>0.122</v>
      </c>
      <c r="F139" s="1863">
        <v>0.13</v>
      </c>
    </row>
    <row r="140" spans="1:6" ht="14.25" thickBot="1">
      <c r="A140" s="1857" t="s">
        <v>1409</v>
      </c>
      <c r="B140" s="1861" t="s">
        <v>2111</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2112</v>
      </c>
      <c r="C144" s="1875">
        <v>0.126</v>
      </c>
      <c r="D144" s="1875">
        <v>0.126</v>
      </c>
      <c r="E144" s="1875">
        <v>0.121</v>
      </c>
      <c r="F144" s="1870"/>
    </row>
    <row r="145" spans="1:6" ht="14.25" thickBot="1">
      <c r="A145" s="1865" t="s">
        <v>1409</v>
      </c>
      <c r="B145" s="1876" t="s">
        <v>2113</v>
      </c>
      <c r="C145" s="1877"/>
      <c r="D145" s="1877"/>
      <c r="E145" s="1877"/>
      <c r="F145" s="1878">
        <v>0.05</v>
      </c>
    </row>
    <row r="146" spans="1:6" ht="24.75" thickBot="1">
      <c r="A146" s="1879" t="s">
        <v>1409</v>
      </c>
      <c r="B146" s="1864" t="s">
        <v>2114</v>
      </c>
      <c r="C146" s="1871"/>
      <c r="D146" s="1871"/>
      <c r="E146" s="1871"/>
      <c r="F146" s="1880">
        <v>0.05</v>
      </c>
    </row>
    <row r="147" spans="1:6" ht="24.75" thickBot="1">
      <c r="A147" s="1857" t="s">
        <v>1409</v>
      </c>
      <c r="B147" s="1861" t="s">
        <v>2115</v>
      </c>
      <c r="C147" s="1871"/>
      <c r="D147" s="1871"/>
      <c r="E147" s="1871"/>
      <c r="F147" s="1863">
        <v>0.05</v>
      </c>
    </row>
    <row r="148" spans="1:6" ht="24.75" thickBot="1">
      <c r="A148" s="1857" t="s">
        <v>1409</v>
      </c>
      <c r="B148" s="1861" t="s">
        <v>2116</v>
      </c>
      <c r="C148" s="1871"/>
      <c r="D148" s="1871"/>
      <c r="E148" s="1871"/>
      <c r="F148" s="1863">
        <v>0.05</v>
      </c>
    </row>
    <row r="149" spans="1:6" ht="24.75" thickBot="1">
      <c r="A149" s="1857" t="s">
        <v>1409</v>
      </c>
      <c r="B149" s="1861" t="s">
        <v>2117</v>
      </c>
      <c r="C149" s="1871"/>
      <c r="D149" s="1871"/>
      <c r="E149" s="1871"/>
      <c r="F149" s="1863">
        <v>0.05</v>
      </c>
    </row>
    <row r="150" spans="1:6" ht="24.75" thickBot="1">
      <c r="A150" s="1857" t="s">
        <v>1409</v>
      </c>
      <c r="B150" s="1861" t="s">
        <v>2118</v>
      </c>
      <c r="C150" s="1871"/>
      <c r="D150" s="1871"/>
      <c r="E150" s="1871"/>
      <c r="F150" s="1863">
        <v>0.05</v>
      </c>
    </row>
    <row r="151" spans="1:6" ht="24.75" thickBot="1">
      <c r="A151" s="1857" t="s">
        <v>1409</v>
      </c>
      <c r="B151" s="1861" t="s">
        <v>2119</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2120</v>
      </c>
      <c r="C153" s="1871"/>
      <c r="D153" s="1871"/>
      <c r="E153" s="1871"/>
      <c r="F153" s="1863">
        <v>0.05</v>
      </c>
    </row>
    <row r="154" spans="1:6" ht="14.25" thickBot="1">
      <c r="A154" s="1857" t="s">
        <v>1409</v>
      </c>
      <c r="B154" s="1861" t="s">
        <v>2121</v>
      </c>
      <c r="C154" s="1871"/>
      <c r="D154" s="1871"/>
      <c r="E154" s="1871"/>
      <c r="F154" s="1863">
        <v>0.05</v>
      </c>
    </row>
    <row r="155" spans="1:6" ht="24.75" thickBot="1">
      <c r="A155" s="1857" t="s">
        <v>1409</v>
      </c>
      <c r="B155" s="1861" t="s">
        <v>2122</v>
      </c>
      <c r="C155" s="1871"/>
      <c r="D155" s="1871"/>
      <c r="E155" s="1871"/>
      <c r="F155" s="1863">
        <v>0.05</v>
      </c>
    </row>
    <row r="156" spans="1:6" ht="24.75" thickBot="1">
      <c r="A156" s="1857" t="s">
        <v>1409</v>
      </c>
      <c r="B156" s="1861" t="s">
        <v>2123</v>
      </c>
      <c r="C156" s="1871"/>
      <c r="D156" s="1871"/>
      <c r="E156" s="1871"/>
      <c r="F156" s="1863">
        <v>0.05</v>
      </c>
    </row>
    <row r="157" spans="1:6" ht="14.25" thickBot="1">
      <c r="A157" s="1865" t="s">
        <v>1409</v>
      </c>
      <c r="B157" s="1872" t="s">
        <v>2124</v>
      </c>
      <c r="C157" s="1868"/>
      <c r="D157" s="1868"/>
      <c r="E157" s="1868"/>
      <c r="F157" s="1873">
        <v>0.05</v>
      </c>
    </row>
    <row r="158" spans="1:6" ht="14.25" thickBot="1">
      <c r="A158" s="1857" t="s">
        <v>1411</v>
      </c>
      <c r="B158" s="1858" t="s">
        <v>2125</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2126</v>
      </c>
      <c r="C171" s="1862">
        <v>0.127</v>
      </c>
      <c r="D171" s="1862">
        <v>0.126</v>
      </c>
      <c r="E171" s="1862">
        <v>0.126</v>
      </c>
      <c r="F171" s="1863">
        <v>0.11799999999999999</v>
      </c>
    </row>
    <row r="172" spans="1:6" ht="14.25" thickBot="1">
      <c r="A172" s="1857" t="s">
        <v>1411</v>
      </c>
      <c r="B172" s="1861" t="s">
        <v>2127</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2128</v>
      </c>
      <c r="C174" s="1862">
        <v>0.13</v>
      </c>
      <c r="D174" s="1862">
        <v>0.13</v>
      </c>
      <c r="E174" s="1862">
        <v>0.13</v>
      </c>
      <c r="F174" s="1863">
        <v>0.13</v>
      </c>
    </row>
    <row r="175" spans="1:6" ht="14.25" thickBot="1">
      <c r="A175" s="1857" t="s">
        <v>1411</v>
      </c>
      <c r="B175" s="1861" t="s">
        <v>2129</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2130</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2131</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2132</v>
      </c>
      <c r="C185" s="1862">
        <v>0.127</v>
      </c>
      <c r="D185" s="1862">
        <v>0.127</v>
      </c>
      <c r="E185" s="1862">
        <v>0.128</v>
      </c>
      <c r="F185" s="1863">
        <v>0.13</v>
      </c>
    </row>
    <row r="186" spans="1:6" ht="24.75" thickBot="1">
      <c r="A186" s="1857" t="s">
        <v>1411</v>
      </c>
      <c r="B186" s="1861" t="s">
        <v>2133</v>
      </c>
      <c r="C186" s="1871"/>
      <c r="D186" s="1871"/>
      <c r="E186" s="1871"/>
      <c r="F186" s="1863">
        <v>0.05</v>
      </c>
    </row>
    <row r="187" spans="1:6" ht="14.25" thickBot="1">
      <c r="A187" s="1857" t="s">
        <v>1411</v>
      </c>
      <c r="B187" s="1861" t="s">
        <v>2134</v>
      </c>
      <c r="C187" s="1871"/>
      <c r="D187" s="1871"/>
      <c r="E187" s="1871"/>
      <c r="F187" s="1863">
        <v>0.05</v>
      </c>
    </row>
    <row r="188" spans="1:6" ht="14.25" thickBot="1">
      <c r="A188" s="1857" t="s">
        <v>1411</v>
      </c>
      <c r="B188" s="1861" t="s">
        <v>2135</v>
      </c>
      <c r="C188" s="1871"/>
      <c r="D188" s="1871"/>
      <c r="E188" s="1871"/>
      <c r="F188" s="1863">
        <v>0.05</v>
      </c>
    </row>
    <row r="189" spans="1:6" ht="24.75" thickBot="1">
      <c r="A189" s="1857" t="s">
        <v>1411</v>
      </c>
      <c r="B189" s="1861" t="s">
        <v>2136</v>
      </c>
      <c r="C189" s="1871"/>
      <c r="D189" s="1871"/>
      <c r="E189" s="1871"/>
      <c r="F189" s="1863">
        <v>0.05</v>
      </c>
    </row>
    <row r="190" spans="1:6" ht="24.75" thickBot="1">
      <c r="A190" s="1857" t="s">
        <v>1411</v>
      </c>
      <c r="B190" s="1861" t="s">
        <v>2137</v>
      </c>
      <c r="C190" s="1871"/>
      <c r="D190" s="1871"/>
      <c r="E190" s="1871"/>
      <c r="F190" s="1863">
        <v>0.05</v>
      </c>
    </row>
    <row r="191" spans="1:6" ht="24.75" thickBot="1">
      <c r="A191" s="1857" t="s">
        <v>1411</v>
      </c>
      <c r="B191" s="1861" t="s">
        <v>2138</v>
      </c>
      <c r="C191" s="1871"/>
      <c r="D191" s="1871"/>
      <c r="E191" s="1871"/>
      <c r="F191" s="1863">
        <v>0.05</v>
      </c>
    </row>
    <row r="192" spans="1:6" ht="24.75" thickBot="1">
      <c r="A192" s="1857" t="s">
        <v>1411</v>
      </c>
      <c r="B192" s="1861" t="s">
        <v>2139</v>
      </c>
      <c r="C192" s="1871"/>
      <c r="D192" s="1871"/>
      <c r="E192" s="1871"/>
      <c r="F192" s="1863">
        <v>0.05</v>
      </c>
    </row>
    <row r="193" spans="1:6" ht="24.75" thickBot="1">
      <c r="A193" s="1857" t="s">
        <v>1411</v>
      </c>
      <c r="B193" s="1861" t="s">
        <v>2140</v>
      </c>
      <c r="C193" s="1871"/>
      <c r="D193" s="1871"/>
      <c r="E193" s="1871"/>
      <c r="F193" s="1863">
        <v>0.05</v>
      </c>
    </row>
    <row r="194" spans="1:6" ht="24.75" thickBot="1">
      <c r="A194" s="1857" t="s">
        <v>1411</v>
      </c>
      <c r="B194" s="1861" t="s">
        <v>2141</v>
      </c>
      <c r="C194" s="1871"/>
      <c r="D194" s="1871"/>
      <c r="E194" s="1871"/>
      <c r="F194" s="1863">
        <v>0.05</v>
      </c>
    </row>
    <row r="195" spans="1:6" ht="14.25" thickBot="1">
      <c r="A195" s="1857" t="s">
        <v>1411</v>
      </c>
      <c r="B195" s="1861" t="s">
        <v>2142</v>
      </c>
      <c r="C195" s="1871"/>
      <c r="D195" s="1871"/>
      <c r="E195" s="1871"/>
      <c r="F195" s="1863">
        <v>0.05</v>
      </c>
    </row>
    <row r="196" spans="1:6" ht="24.75" thickBot="1">
      <c r="A196" s="1857" t="s">
        <v>1411</v>
      </c>
      <c r="B196" s="1861" t="s">
        <v>2143</v>
      </c>
      <c r="C196" s="1871"/>
      <c r="D196" s="1871"/>
      <c r="E196" s="1871"/>
      <c r="F196" s="1863">
        <v>0.05</v>
      </c>
    </row>
    <row r="197" spans="1:6" ht="24.75" thickBot="1">
      <c r="A197" s="1857" t="s">
        <v>1411</v>
      </c>
      <c r="B197" s="1861" t="s">
        <v>2144</v>
      </c>
      <c r="C197" s="1871"/>
      <c r="D197" s="1871"/>
      <c r="E197" s="1871"/>
      <c r="F197" s="1863">
        <v>0.05</v>
      </c>
    </row>
    <row r="198" spans="1:6" ht="24.75" thickBot="1">
      <c r="A198" s="1857" t="s">
        <v>1411</v>
      </c>
      <c r="B198" s="1861" t="s">
        <v>2145</v>
      </c>
      <c r="C198" s="1871"/>
      <c r="D198" s="1871"/>
      <c r="E198" s="1871"/>
      <c r="F198" s="1863">
        <v>0.05</v>
      </c>
    </row>
    <row r="199" spans="1:6" ht="24.75" thickBot="1">
      <c r="A199" s="1857" t="s">
        <v>1411</v>
      </c>
      <c r="B199" s="1861" t="s">
        <v>2146</v>
      </c>
      <c r="C199" s="1871"/>
      <c r="D199" s="1871"/>
      <c r="E199" s="1871"/>
      <c r="F199" s="1863">
        <v>0.05</v>
      </c>
    </row>
    <row r="200" spans="1:6" ht="24.75" thickBot="1">
      <c r="A200" s="1857" t="s">
        <v>1411</v>
      </c>
      <c r="B200" s="1861" t="s">
        <v>2147</v>
      </c>
      <c r="C200" s="1871"/>
      <c r="D200" s="1871"/>
      <c r="E200" s="1871"/>
      <c r="F200" s="1863">
        <v>0.05</v>
      </c>
    </row>
    <row r="201" spans="1:6" ht="24.75" thickBot="1">
      <c r="A201" s="1857" t="s">
        <v>1411</v>
      </c>
      <c r="B201" s="1861" t="s">
        <v>2148</v>
      </c>
      <c r="C201" s="1871"/>
      <c r="D201" s="1871"/>
      <c r="E201" s="1871"/>
      <c r="F201" s="1863">
        <v>0.05</v>
      </c>
    </row>
    <row r="202" spans="1:6" ht="24.75" thickBot="1">
      <c r="A202" s="1857" t="s">
        <v>1411</v>
      </c>
      <c r="B202" s="1861" t="s">
        <v>2149</v>
      </c>
      <c r="C202" s="1871"/>
      <c r="D202" s="1871"/>
      <c r="E202" s="1871"/>
      <c r="F202" s="1863">
        <v>0.05</v>
      </c>
    </row>
    <row r="203" spans="1:6" ht="24.75" thickBot="1">
      <c r="A203" s="1857" t="s">
        <v>1411</v>
      </c>
      <c r="B203" s="1861" t="s">
        <v>2150</v>
      </c>
      <c r="C203" s="1871"/>
      <c r="D203" s="1871"/>
      <c r="E203" s="1871"/>
      <c r="F203" s="1863">
        <v>0.05</v>
      </c>
    </row>
    <row r="204" spans="1:6" ht="14.25" thickBot="1">
      <c r="A204" s="1857" t="s">
        <v>1411</v>
      </c>
      <c r="B204" s="1861" t="s">
        <v>2151</v>
      </c>
      <c r="C204" s="1871"/>
      <c r="D204" s="1871"/>
      <c r="E204" s="1871"/>
      <c r="F204" s="1863">
        <v>0.05</v>
      </c>
    </row>
    <row r="205" spans="1:6" ht="14.25" thickBot="1">
      <c r="A205" s="1865" t="s">
        <v>1411</v>
      </c>
      <c r="B205" s="1872" t="s">
        <v>2152</v>
      </c>
      <c r="C205" s="1868"/>
      <c r="D205" s="1868"/>
      <c r="E205" s="1868"/>
      <c r="F205" s="1873">
        <v>0.05</v>
      </c>
    </row>
    <row r="206" spans="1:6" ht="14.25" thickBot="1">
      <c r="A206" s="1857" t="s">
        <v>1413</v>
      </c>
      <c r="B206" s="1858" t="s">
        <v>2153</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2154</v>
      </c>
      <c r="C210" s="1862">
        <v>0.15</v>
      </c>
      <c r="D210" s="1862">
        <v>0.15</v>
      </c>
      <c r="E210" s="1862">
        <v>0.15</v>
      </c>
      <c r="F210" s="1863">
        <v>0.13800000000000001</v>
      </c>
    </row>
    <row r="211" spans="1:6" ht="14.25" thickBot="1">
      <c r="A211" s="1857" t="s">
        <v>1413</v>
      </c>
      <c r="B211" s="1861" t="s">
        <v>2155</v>
      </c>
      <c r="C211" s="1862">
        <v>0.13700000000000001</v>
      </c>
      <c r="D211" s="1862">
        <v>0.13500000000000001</v>
      </c>
      <c r="E211" s="1862">
        <v>0.13600000000000001</v>
      </c>
      <c r="F211" s="1863">
        <v>0.1</v>
      </c>
    </row>
    <row r="212" spans="1:6" ht="14.25" thickBot="1">
      <c r="A212" s="1857" t="s">
        <v>1413</v>
      </c>
      <c r="B212" s="1861" t="s">
        <v>2156</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2157</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2158</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2159</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2160</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2161</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2162</v>
      </c>
      <c r="C231" s="1862">
        <v>0.128</v>
      </c>
      <c r="D231" s="1862">
        <v>0.125</v>
      </c>
      <c r="E231" s="1862">
        <v>0.13200000000000001</v>
      </c>
      <c r="F231" s="1870"/>
    </row>
    <row r="232" spans="1:6" ht="14.25" thickBot="1">
      <c r="A232" s="1857" t="s">
        <v>1413</v>
      </c>
      <c r="B232" s="1861" t="s">
        <v>2163</v>
      </c>
      <c r="C232" s="1862">
        <v>0.14499999999999999</v>
      </c>
      <c r="D232" s="1862">
        <v>0.14399999999999999</v>
      </c>
      <c r="E232" s="1862">
        <v>0.14599999999999999</v>
      </c>
      <c r="F232" s="1863">
        <v>0.13800000000000001</v>
      </c>
    </row>
    <row r="233" spans="1:6" ht="14.25" thickBot="1">
      <c r="A233" s="1857" t="s">
        <v>1413</v>
      </c>
      <c r="B233" s="1861" t="s">
        <v>2164</v>
      </c>
      <c r="C233" s="1862">
        <v>0.14499999999999999</v>
      </c>
      <c r="D233" s="1862">
        <v>0.14299999999999999</v>
      </c>
      <c r="E233" s="1862">
        <v>0.14199999999999999</v>
      </c>
      <c r="F233" s="1870"/>
    </row>
    <row r="234" spans="1:6" ht="14.25" thickBot="1">
      <c r="A234" s="1857" t="s">
        <v>1413</v>
      </c>
      <c r="B234" s="1861" t="s">
        <v>2165</v>
      </c>
      <c r="C234" s="1862">
        <v>0.14000000000000001</v>
      </c>
      <c r="D234" s="1862">
        <v>0.14000000000000001</v>
      </c>
      <c r="E234" s="1862">
        <v>0.14399999999999999</v>
      </c>
      <c r="F234" s="1870"/>
    </row>
    <row r="235" spans="1:6" ht="14.25" thickBot="1">
      <c r="A235" s="1857" t="s">
        <v>1413</v>
      </c>
      <c r="B235" s="1861" t="s">
        <v>2166</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2167</v>
      </c>
      <c r="C237" s="1871"/>
      <c r="D237" s="1871"/>
      <c r="E237" s="1871"/>
      <c r="F237" s="1863">
        <v>0.05</v>
      </c>
    </row>
    <row r="238" spans="1:6" ht="24.75" thickBot="1">
      <c r="A238" s="1857" t="s">
        <v>1413</v>
      </c>
      <c r="B238" s="1861" t="s">
        <v>2168</v>
      </c>
      <c r="C238" s="1871"/>
      <c r="D238" s="1871"/>
      <c r="E238" s="1871"/>
      <c r="F238" s="1863">
        <v>0.05</v>
      </c>
    </row>
    <row r="239" spans="1:6" ht="24.75" thickBot="1">
      <c r="A239" s="1857" t="s">
        <v>1413</v>
      </c>
      <c r="B239" s="1861" t="s">
        <v>2169</v>
      </c>
      <c r="C239" s="1871"/>
      <c r="D239" s="1871"/>
      <c r="E239" s="1871"/>
      <c r="F239" s="1863">
        <v>0.05</v>
      </c>
    </row>
    <row r="240" spans="1:6" ht="24.75" thickBot="1">
      <c r="A240" s="1857" t="s">
        <v>1413</v>
      </c>
      <c r="B240" s="1861" t="s">
        <v>2170</v>
      </c>
      <c r="C240" s="1871"/>
      <c r="D240" s="1871"/>
      <c r="E240" s="1871"/>
      <c r="F240" s="1863">
        <v>0.05</v>
      </c>
    </row>
    <row r="241" spans="1:6" ht="24.75" thickBot="1">
      <c r="A241" s="1857" t="s">
        <v>1413</v>
      </c>
      <c r="B241" s="1861" t="s">
        <v>2171</v>
      </c>
      <c r="C241" s="1871"/>
      <c r="D241" s="1871"/>
      <c r="E241" s="1871"/>
      <c r="F241" s="1863">
        <v>0.05</v>
      </c>
    </row>
    <row r="242" spans="1:6" ht="24.75" thickBot="1">
      <c r="A242" s="1857" t="s">
        <v>1413</v>
      </c>
      <c r="B242" s="1861" t="s">
        <v>2172</v>
      </c>
      <c r="C242" s="1871"/>
      <c r="D242" s="1871"/>
      <c r="E242" s="1871"/>
      <c r="F242" s="1863">
        <v>0.05</v>
      </c>
    </row>
    <row r="243" spans="1:6" ht="24.75" thickBot="1">
      <c r="A243" s="1857" t="s">
        <v>1413</v>
      </c>
      <c r="B243" s="1861" t="s">
        <v>2173</v>
      </c>
      <c r="C243" s="1871"/>
      <c r="D243" s="1871"/>
      <c r="E243" s="1871"/>
      <c r="F243" s="1863">
        <v>0.05</v>
      </c>
    </row>
    <row r="244" spans="1:6" ht="24.75" thickBot="1">
      <c r="A244" s="1865" t="s">
        <v>1413</v>
      </c>
      <c r="B244" s="1872" t="s">
        <v>2174</v>
      </c>
      <c r="C244" s="1868"/>
      <c r="D244" s="1868"/>
      <c r="E244" s="1868"/>
      <c r="F244" s="1873">
        <v>0.05</v>
      </c>
    </row>
    <row r="245" spans="1:6" ht="14.25" thickBot="1">
      <c r="A245" s="1857" t="s">
        <v>1415</v>
      </c>
      <c r="B245" s="1858" t="s">
        <v>2175</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2176</v>
      </c>
      <c r="C247" s="1862">
        <v>0.15</v>
      </c>
      <c r="D247" s="1862">
        <v>0.15</v>
      </c>
      <c r="E247" s="1862">
        <v>0.15</v>
      </c>
      <c r="F247" s="1863">
        <v>0.15</v>
      </c>
    </row>
    <row r="248" spans="1:6" ht="14.25" thickBot="1">
      <c r="A248" s="1857" t="s">
        <v>1415</v>
      </c>
      <c r="B248" s="1861" t="s">
        <v>2177</v>
      </c>
      <c r="C248" s="1862">
        <v>0.15</v>
      </c>
      <c r="D248" s="1862">
        <v>0.15</v>
      </c>
      <c r="E248" s="1862">
        <v>0.15</v>
      </c>
      <c r="F248" s="1863">
        <v>0.14000000000000001</v>
      </c>
    </row>
    <row r="249" spans="1:6" ht="14.25" thickBot="1">
      <c r="A249" s="1857" t="s">
        <v>1415</v>
      </c>
      <c r="B249" s="1861" t="s">
        <v>2178</v>
      </c>
      <c r="C249" s="1862">
        <v>0.15</v>
      </c>
      <c r="D249" s="1862">
        <v>0.14899999999999999</v>
      </c>
      <c r="E249" s="1862">
        <v>0.15</v>
      </c>
      <c r="F249" s="1863">
        <v>0.1</v>
      </c>
    </row>
    <row r="250" spans="1:6" ht="14.25" thickBot="1">
      <c r="A250" s="1857" t="s">
        <v>1415</v>
      </c>
      <c r="B250" s="1861" t="s">
        <v>2179</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2180</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2181</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2182</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2183</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2184</v>
      </c>
      <c r="C273" s="1862">
        <v>0.14199999999999999</v>
      </c>
      <c r="D273" s="1862">
        <v>0.14299999999999999</v>
      </c>
      <c r="E273" s="1862">
        <v>0.15</v>
      </c>
      <c r="F273" s="1863">
        <v>0.1</v>
      </c>
    </row>
    <row r="274" spans="1:6" ht="14.25" thickBot="1">
      <c r="A274" s="1857" t="s">
        <v>1415</v>
      </c>
      <c r="B274" s="1861" t="s">
        <v>2185</v>
      </c>
      <c r="C274" s="1862">
        <v>0.14799999999999999</v>
      </c>
      <c r="D274" s="1862">
        <v>0.14799999999999999</v>
      </c>
      <c r="E274" s="1862">
        <v>0.15</v>
      </c>
      <c r="F274" s="1863">
        <v>6.7000000000000004E-2</v>
      </c>
    </row>
    <row r="275" spans="1:6" ht="14.25" thickBot="1">
      <c r="A275" s="1857" t="s">
        <v>1415</v>
      </c>
      <c r="B275" s="1861" t="s">
        <v>2186</v>
      </c>
      <c r="C275" s="1862">
        <v>0.15</v>
      </c>
      <c r="D275" s="1862">
        <v>0.15</v>
      </c>
      <c r="E275" s="1862">
        <v>0.15</v>
      </c>
      <c r="F275" s="1863">
        <v>0.15</v>
      </c>
    </row>
    <row r="276" spans="1:6" ht="14.25" thickBot="1">
      <c r="A276" s="1857" t="s">
        <v>1415</v>
      </c>
      <c r="B276" s="1861" t="s">
        <v>2187</v>
      </c>
      <c r="C276" s="1862">
        <v>0.14499999999999999</v>
      </c>
      <c r="D276" s="1862">
        <v>0.14299999999999999</v>
      </c>
      <c r="E276" s="1862">
        <v>0.15</v>
      </c>
      <c r="F276" s="1863">
        <v>5.8999999999999997E-2</v>
      </c>
    </row>
    <row r="277" spans="1:6" ht="14.25" thickBot="1">
      <c r="A277" s="1857" t="s">
        <v>1415</v>
      </c>
      <c r="B277" s="1861" t="s">
        <v>2188</v>
      </c>
      <c r="C277" s="1862">
        <v>0.15</v>
      </c>
      <c r="D277" s="1862">
        <v>0.15</v>
      </c>
      <c r="E277" s="1862">
        <v>0.15</v>
      </c>
      <c r="F277" s="1863">
        <v>0.121</v>
      </c>
    </row>
    <row r="278" spans="1:6" ht="14.25" thickBot="1">
      <c r="A278" s="1857" t="s">
        <v>1415</v>
      </c>
      <c r="B278" s="1861" t="s">
        <v>2189</v>
      </c>
      <c r="C278" s="1862">
        <v>0.15</v>
      </c>
      <c r="D278" s="1862">
        <v>0.15</v>
      </c>
      <c r="E278" s="1862">
        <v>0.15</v>
      </c>
      <c r="F278" s="1863">
        <v>0.13800000000000001</v>
      </c>
    </row>
    <row r="279" spans="1:6" ht="24.75" thickBot="1">
      <c r="A279" s="1857" t="s">
        <v>1415</v>
      </c>
      <c r="B279" s="1861" t="s">
        <v>2190</v>
      </c>
      <c r="C279" s="1871"/>
      <c r="D279" s="1871"/>
      <c r="E279" s="1871"/>
      <c r="F279" s="1863">
        <v>0.05</v>
      </c>
    </row>
    <row r="280" spans="1:6" ht="24.75" thickBot="1">
      <c r="A280" s="1857" t="s">
        <v>1415</v>
      </c>
      <c r="B280" s="1861" t="s">
        <v>2191</v>
      </c>
      <c r="C280" s="1871"/>
      <c r="D280" s="1871"/>
      <c r="E280" s="1871"/>
      <c r="F280" s="1863">
        <v>0.05</v>
      </c>
    </row>
    <row r="281" spans="1:6" ht="24.75" thickBot="1">
      <c r="A281" s="1857" t="s">
        <v>1415</v>
      </c>
      <c r="B281" s="1861" t="s">
        <v>2192</v>
      </c>
      <c r="C281" s="1871"/>
      <c r="D281" s="1871"/>
      <c r="E281" s="1871"/>
      <c r="F281" s="1863">
        <v>0.05</v>
      </c>
    </row>
    <row r="282" spans="1:6" ht="24.75" thickBot="1">
      <c r="A282" s="1857" t="s">
        <v>1415</v>
      </c>
      <c r="B282" s="1861" t="s">
        <v>2193</v>
      </c>
      <c r="C282" s="1871"/>
      <c r="D282" s="1871"/>
      <c r="E282" s="1871"/>
      <c r="F282" s="1863">
        <v>0.05</v>
      </c>
    </row>
    <row r="283" spans="1:6" ht="24.75" thickBot="1">
      <c r="A283" s="1857" t="s">
        <v>1415</v>
      </c>
      <c r="B283" s="1861" t="s">
        <v>2194</v>
      </c>
      <c r="C283" s="1871"/>
      <c r="D283" s="1871"/>
      <c r="E283" s="1871"/>
      <c r="F283" s="1863">
        <v>0.05</v>
      </c>
    </row>
    <row r="284" spans="1:6" ht="24.75" thickBot="1">
      <c r="A284" s="1857" t="s">
        <v>1415</v>
      </c>
      <c r="B284" s="1861" t="s">
        <v>2195</v>
      </c>
      <c r="C284" s="1871"/>
      <c r="D284" s="1871"/>
      <c r="E284" s="1871"/>
      <c r="F284" s="1863">
        <v>0.05</v>
      </c>
    </row>
    <row r="285" spans="1:6" ht="24.75" thickBot="1">
      <c r="A285" s="1857" t="s">
        <v>1415</v>
      </c>
      <c r="B285" s="1861" t="s">
        <v>2196</v>
      </c>
      <c r="C285" s="1871"/>
      <c r="D285" s="1871"/>
      <c r="E285" s="1871"/>
      <c r="F285" s="1863">
        <v>0.05</v>
      </c>
    </row>
    <row r="286" spans="1:6" ht="24.75" thickBot="1">
      <c r="A286" s="1857" t="s">
        <v>1415</v>
      </c>
      <c r="B286" s="1861" t="s">
        <v>2197</v>
      </c>
      <c r="C286" s="1871"/>
      <c r="D286" s="1871"/>
      <c r="E286" s="1871"/>
      <c r="F286" s="1863">
        <v>0.05</v>
      </c>
    </row>
    <row r="287" spans="1:6" ht="24.75" thickBot="1">
      <c r="A287" s="1857" t="s">
        <v>1415</v>
      </c>
      <c r="B287" s="1861" t="s">
        <v>2198</v>
      </c>
      <c r="C287" s="1871"/>
      <c r="D287" s="1871"/>
      <c r="E287" s="1871"/>
      <c r="F287" s="1863">
        <v>0.05</v>
      </c>
    </row>
    <row r="288" spans="1:6" ht="24.75" thickBot="1">
      <c r="A288" s="1857" t="s">
        <v>1415</v>
      </c>
      <c r="B288" s="1861" t="s">
        <v>2199</v>
      </c>
      <c r="C288" s="1871"/>
      <c r="D288" s="1871"/>
      <c r="E288" s="1871"/>
      <c r="F288" s="1863">
        <v>0.05</v>
      </c>
    </row>
    <row r="289" spans="1:6" ht="24.75" thickBot="1">
      <c r="A289" s="1865" t="s">
        <v>1415</v>
      </c>
      <c r="B289" s="1872" t="s">
        <v>2200</v>
      </c>
      <c r="C289" s="1868"/>
      <c r="D289" s="1868"/>
      <c r="E289" s="1868"/>
      <c r="F289" s="1873">
        <v>0.05</v>
      </c>
    </row>
    <row r="290" spans="1:6" ht="14.25" thickBot="1">
      <c r="A290" s="1857" t="s">
        <v>1419</v>
      </c>
      <c r="B290" s="1858" t="s">
        <v>2201</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2202</v>
      </c>
      <c r="C292" s="1862">
        <v>0.15</v>
      </c>
      <c r="D292" s="1862">
        <v>0.15</v>
      </c>
      <c r="E292" s="1862">
        <v>0.15</v>
      </c>
      <c r="F292" s="1863">
        <v>0.14699999999999999</v>
      </c>
    </row>
    <row r="293" spans="1:6" ht="14.25" thickBot="1">
      <c r="A293" s="1857" t="s">
        <v>1419</v>
      </c>
      <c r="B293" s="1861" t="s">
        <v>2203</v>
      </c>
      <c r="C293" s="1871"/>
      <c r="D293" s="1871"/>
      <c r="E293" s="1871"/>
      <c r="F293" s="1863">
        <v>0.1</v>
      </c>
    </row>
    <row r="294" spans="1:6" ht="14.25" thickBot="1">
      <c r="A294" s="1857" t="s">
        <v>1419</v>
      </c>
      <c r="B294" s="1861" t="s">
        <v>2204</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2205</v>
      </c>
      <c r="C296" s="1862">
        <v>0.15</v>
      </c>
      <c r="D296" s="1862">
        <v>0.15</v>
      </c>
      <c r="E296" s="1862">
        <v>0.15</v>
      </c>
      <c r="F296" s="1863">
        <v>0.15</v>
      </c>
    </row>
    <row r="297" spans="1:6" ht="14.25" thickBot="1">
      <c r="A297" s="1857" t="s">
        <v>1419</v>
      </c>
      <c r="B297" s="1861" t="s">
        <v>2206</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2207</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2208</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2209</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2210</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2211</v>
      </c>
      <c r="C310" s="1862">
        <v>0.15</v>
      </c>
      <c r="D310" s="1862">
        <v>0.15</v>
      </c>
      <c r="E310" s="1862">
        <v>0.15</v>
      </c>
      <c r="F310" s="1863">
        <v>0.13700000000000001</v>
      </c>
    </row>
    <row r="311" spans="1:6" ht="14.25" thickBot="1">
      <c r="A311" s="1857" t="s">
        <v>1419</v>
      </c>
      <c r="B311" s="1861" t="s">
        <v>2212</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2213</v>
      </c>
      <c r="C313" s="1862">
        <v>0.15</v>
      </c>
      <c r="D313" s="1862">
        <v>0.15</v>
      </c>
      <c r="E313" s="1862">
        <v>0.15</v>
      </c>
      <c r="F313" s="1863">
        <v>0.15</v>
      </c>
    </row>
    <row r="314" spans="1:6" ht="24.75" thickBot="1">
      <c r="A314" s="1857" t="s">
        <v>1419</v>
      </c>
      <c r="B314" s="1861" t="s">
        <v>2214</v>
      </c>
      <c r="C314" s="1871"/>
      <c r="D314" s="1871"/>
      <c r="E314" s="1871"/>
      <c r="F314" s="1863">
        <v>0.05</v>
      </c>
    </row>
    <row r="315" spans="1:6" ht="24.75" thickBot="1">
      <c r="A315" s="1857" t="s">
        <v>1419</v>
      </c>
      <c r="B315" s="1861" t="s">
        <v>2215</v>
      </c>
      <c r="C315" s="1871"/>
      <c r="D315" s="1871"/>
      <c r="E315" s="1871"/>
      <c r="F315" s="1863">
        <v>0.05</v>
      </c>
    </row>
    <row r="316" spans="1:6" ht="24.75" thickBot="1">
      <c r="A316" s="1865" t="s">
        <v>1419</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1107</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1176</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1196</v>
      </c>
      <c r="C328" s="1862">
        <v>0.15</v>
      </c>
      <c r="D328" s="1862">
        <v>0.15</v>
      </c>
      <c r="E328" s="1862">
        <v>0.15</v>
      </c>
      <c r="F328" s="1863">
        <v>0.14099999999999999</v>
      </c>
    </row>
    <row r="329" spans="1:6" ht="14.25" thickBot="1">
      <c r="A329" s="1857" t="s">
        <v>2217</v>
      </c>
      <c r="B329" s="1861" t="s">
        <v>1206</v>
      </c>
      <c r="C329" s="1862">
        <v>0.15</v>
      </c>
      <c r="D329" s="1862">
        <v>0.15</v>
      </c>
      <c r="E329" s="1862">
        <v>0.15</v>
      </c>
      <c r="F329" s="1863">
        <v>0.15</v>
      </c>
    </row>
    <row r="330" spans="1:6" ht="14.25" thickBot="1">
      <c r="A330" s="1857" t="s">
        <v>2217</v>
      </c>
      <c r="B330" s="1861" t="s">
        <v>1216</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1236</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1256</v>
      </c>
      <c r="C334" s="1862">
        <v>0.15</v>
      </c>
      <c r="D334" s="1862">
        <v>0.15</v>
      </c>
      <c r="E334" s="1862">
        <v>0.15</v>
      </c>
      <c r="F334" s="1863">
        <v>0.15</v>
      </c>
    </row>
    <row r="335" spans="1:6" ht="14.25" thickBot="1">
      <c r="A335" s="1857" t="s">
        <v>2217</v>
      </c>
      <c r="B335" s="1861" t="s">
        <v>1266</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1284</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2975</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83"/>
      <c r="C5" s="1883"/>
      <c r="D5" s="1883"/>
      <c r="E5" s="1883"/>
      <c r="F5" s="3106"/>
    </row>
    <row r="6" spans="1:6" ht="28.5">
      <c r="A6" s="3110" t="s">
        <v>2948</v>
      </c>
      <c r="B6" s="3107" t="s">
        <v>2945</v>
      </c>
      <c r="C6" s="3108"/>
      <c r="D6" s="1883"/>
      <c r="E6" s="3107" t="s">
        <v>2946</v>
      </c>
      <c r="F6" s="3107" t="s">
        <v>2950</v>
      </c>
    </row>
    <row r="7" spans="1:6" ht="14.25">
      <c r="A7" s="260" t="s">
        <v>2949</v>
      </c>
      <c r="B7" s="3111" t="e">
        <f ca="1">SUMIF(INDIRECT("'"&amp;A7&amp;"'"&amp;"!A:A"),"总价",INDIRECT("'"&amp;A7&amp;"'"&amp;"!B:B"))</f>
        <v>#DIV/0!</v>
      </c>
      <c r="C7" s="3107" t="s">
        <v>2943</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2943</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2943</v>
      </c>
      <c r="D9" s="1883"/>
      <c r="E9" s="3112" t="e">
        <f t="shared" ca="1" si="1"/>
        <v>#REF!</v>
      </c>
      <c r="F9" s="3112" t="e">
        <f t="shared" ca="1" si="2"/>
        <v>#REF!</v>
      </c>
    </row>
    <row r="10" spans="1:6" ht="14.25">
      <c r="A10" s="260"/>
      <c r="B10" s="3111" t="e">
        <f t="shared" ca="1" si="0"/>
        <v>#REF!</v>
      </c>
      <c r="C10" s="3107" t="s">
        <v>2943</v>
      </c>
      <c r="D10" s="1883"/>
      <c r="E10" s="3112" t="e">
        <f t="shared" ca="1" si="1"/>
        <v>#REF!</v>
      </c>
      <c r="F10" s="3112" t="e">
        <f t="shared" ca="1" si="2"/>
        <v>#REF!</v>
      </c>
    </row>
    <row r="11" spans="1:6" ht="14.25">
      <c r="A11" s="260"/>
      <c r="B11" s="3111" t="e">
        <f t="shared" ca="1" si="0"/>
        <v>#REF!</v>
      </c>
      <c r="C11" s="3107" t="s">
        <v>2943</v>
      </c>
      <c r="D11" s="1883"/>
      <c r="E11" s="3112" t="e">
        <f t="shared" ca="1" si="1"/>
        <v>#REF!</v>
      </c>
      <c r="F11" s="3112" t="e">
        <f t="shared" ca="1" si="2"/>
        <v>#REF!</v>
      </c>
    </row>
    <row r="12" spans="1:6" ht="14.25">
      <c r="A12" s="260"/>
      <c r="B12" s="3111" t="e">
        <f t="shared" ca="1" si="0"/>
        <v>#REF!</v>
      </c>
      <c r="C12" s="3107" t="s">
        <v>2943</v>
      </c>
      <c r="D12" s="1883"/>
      <c r="E12" s="3112" t="e">
        <f t="shared" ca="1" si="1"/>
        <v>#REF!</v>
      </c>
      <c r="F12" s="3112" t="e">
        <f t="shared" ca="1" si="2"/>
        <v>#REF!</v>
      </c>
    </row>
    <row r="13" spans="1:6" ht="14.25">
      <c r="A13" s="260"/>
      <c r="B13" s="3111" t="e">
        <f t="shared" ca="1" si="0"/>
        <v>#REF!</v>
      </c>
      <c r="C13" s="3107" t="s">
        <v>2943</v>
      </c>
      <c r="D13" s="1883"/>
      <c r="E13" s="3112" t="e">
        <f t="shared" ca="1" si="1"/>
        <v>#REF!</v>
      </c>
      <c r="F13" s="3112" t="e">
        <f t="shared" ca="1" si="2"/>
        <v>#REF!</v>
      </c>
    </row>
    <row r="14" spans="1:6" ht="14.25">
      <c r="A14" s="3105"/>
      <c r="B14" s="3111" t="e">
        <f t="shared" ca="1" si="0"/>
        <v>#REF!</v>
      </c>
      <c r="C14" s="3107" t="s">
        <v>2943</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14000.08平方米。根据《建设工程规划许可证》[]、《出让合同》[]，估价对象规划建筑面积为155944.13平方米。</v>
      </c>
    </row>
    <row r="7" spans="1:4" ht="56.25">
      <c r="A7" s="1797" t="s">
        <v>2745</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2018年10月17日（评估专业人员勘察现场之日）</v>
      </c>
    </row>
    <row r="12" spans="1:4" ht="18.75">
      <c r="A12" s="1799" t="s">
        <v>2026</v>
      </c>
    </row>
    <row r="13" spans="1:4" ht="18.75">
      <c r="A13" s="1793" t="s">
        <v>2939</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根据《国有土地使用证》[]，估价对象（分摊）出让国有建设用地使用权面积为14000.08平方米。根据《建设工程规划许可证》[]、《出让合同》[]，估价对象规划建筑面积为155944.13平方米。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本次估价对象为出让国有建设用地使用权，《国有土地使用证》[]证载土地终止日期为住宅2083年4月8日、商业2053年4月8日地下车库2063年4月8日。截至估价期日，出让国有建设用地使用权剩余土地使用年限为。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t="s">
        <v>3222</v>
      </c>
      <c r="D1" s="2052"/>
      <c r="E1" s="2389" t="s">
        <v>2374</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1926</v>
      </c>
      <c r="C2" s="1351"/>
      <c r="D2" s="2057"/>
      <c r="E2" s="2058"/>
      <c r="F2" s="2058"/>
      <c r="G2" s="1591"/>
      <c r="H2" s="1363"/>
      <c r="I2" s="2059"/>
      <c r="J2" s="2059"/>
      <c r="K2" s="2060"/>
      <c r="L2" s="2059"/>
      <c r="M2" s="2059"/>
    </row>
    <row r="3" spans="1:25" ht="18" customHeight="1">
      <c r="A3" s="1646" t="s">
        <v>1685</v>
      </c>
      <c r="B3" s="1392">
        <f ca="1">ROUND(B2*10000/'数据-汇总表'!E3,0)</f>
        <v>124</v>
      </c>
      <c r="C3" s="1351"/>
      <c r="D3" s="2057"/>
      <c r="E3" s="2058"/>
      <c r="F3" s="2058"/>
      <c r="G3" s="1591"/>
      <c r="H3" s="776" t="s">
        <v>694</v>
      </c>
      <c r="I3" s="2059"/>
      <c r="J3" s="2059"/>
      <c r="K3" s="2060"/>
      <c r="L3" s="2059"/>
      <c r="M3" s="2059"/>
    </row>
    <row r="4" spans="1:25" ht="18" customHeight="1">
      <c r="A4" s="1647" t="s">
        <v>695</v>
      </c>
      <c r="B4" s="1352">
        <f ca="1">ROUND(B2*10000/'数据-汇总表'!D3,0)</f>
        <v>1376</v>
      </c>
      <c r="C4" s="428"/>
      <c r="D4" s="2057"/>
      <c r="E4" s="2058"/>
      <c r="F4" s="2058"/>
      <c r="G4" s="1591"/>
      <c r="H4" s="776"/>
      <c r="I4" s="2059"/>
      <c r="J4" s="2059"/>
      <c r="K4" s="2060"/>
      <c r="L4" s="2059"/>
      <c r="M4" s="2059"/>
    </row>
    <row r="5" spans="1:25" ht="18" customHeight="1" thickBot="1">
      <c r="A5" s="1648"/>
      <c r="B5" s="430">
        <f ca="1">ROUND(B2/('数据-汇总表'!D3/666.67),0)</f>
        <v>92</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2456</v>
      </c>
      <c r="C7" s="53">
        <f ca="1">C8+C12+C14</f>
        <v>431</v>
      </c>
      <c r="D7" s="2498" t="s">
        <v>2459</v>
      </c>
      <c r="E7" s="2492"/>
      <c r="F7" s="2493"/>
      <c r="G7" s="1593"/>
      <c r="H7" s="781">
        <v>1</v>
      </c>
      <c r="I7" s="782" t="s">
        <v>2456</v>
      </c>
      <c r="J7" s="53">
        <f ca="1">J8+J12+J14</f>
        <v>0</v>
      </c>
      <c r="K7" s="2498" t="s">
        <v>2459</v>
      </c>
      <c r="L7" s="2492"/>
      <c r="M7" s="2493"/>
    </row>
    <row r="8" spans="1:25" ht="18" customHeight="1">
      <c r="A8" s="1832" t="s">
        <v>1823</v>
      </c>
      <c r="B8" s="3459" t="s">
        <v>2461</v>
      </c>
      <c r="C8" s="1827">
        <f ca="1">ROUND(F8*F10*F9*(1-F11)/10000,0)</f>
        <v>430</v>
      </c>
      <c r="D8" s="1824" t="s">
        <v>2532</v>
      </c>
      <c r="E8" s="61" t="s">
        <v>636</v>
      </c>
      <c r="F8" s="785">
        <f ca="1">INDIRECT("'数据-取费表'!u"&amp;$G$1)</f>
        <v>4.5</v>
      </c>
      <c r="G8" s="1593"/>
      <c r="H8" s="2506" t="s">
        <v>1823</v>
      </c>
      <c r="I8" s="3459" t="s">
        <v>2461</v>
      </c>
      <c r="J8" s="783">
        <f ca="1">ROUND(M8*M10*M9*(1-M11)/10000,0)</f>
        <v>0</v>
      </c>
      <c r="K8" s="341" t="s">
        <v>2532</v>
      </c>
      <c r="L8" s="784" t="s">
        <v>1737</v>
      </c>
      <c r="M8" s="785">
        <f ca="1">INDIRECT("'数据-取费表'!z"&amp;$G$1)</f>
        <v>0</v>
      </c>
    </row>
    <row r="9" spans="1:25" ht="18" customHeight="1">
      <c r="A9" s="2502"/>
      <c r="B9" s="3460"/>
      <c r="C9" s="1828"/>
      <c r="D9" s="1825"/>
      <c r="E9" s="61" t="s">
        <v>637</v>
      </c>
      <c r="F9" s="785">
        <f ca="1">IF(INDIRECT("'数据-取费表'!ah"&amp;$G$1)="",INDIRECT("'数据-取费表'!k"&amp;$G$1),INDIRECT("'数据-取费表'!ah"&amp;$G$1))</f>
        <v>2906.04</v>
      </c>
      <c r="G9" s="1593"/>
      <c r="H9" s="2491"/>
      <c r="I9" s="3460"/>
      <c r="J9" s="788"/>
      <c r="K9" s="789"/>
      <c r="L9" s="784" t="s">
        <v>1738</v>
      </c>
      <c r="M9" s="785">
        <f ca="1">F9</f>
        <v>2906.04</v>
      </c>
    </row>
    <row r="10" spans="1:25" ht="18" customHeight="1">
      <c r="A10" s="2495"/>
      <c r="B10" s="3461"/>
      <c r="C10" s="1828"/>
      <c r="D10" s="1825"/>
      <c r="E10" s="61" t="s">
        <v>638</v>
      </c>
      <c r="F10" s="785">
        <f ca="1">INDIRECT("'数据-取费表'!ai"&amp;$G$1)</f>
        <v>365</v>
      </c>
      <c r="G10" s="1593"/>
      <c r="H10" s="2491"/>
      <c r="I10" s="3461"/>
      <c r="J10" s="788"/>
      <c r="K10" s="789"/>
      <c r="L10" s="784" t="s">
        <v>1739</v>
      </c>
      <c r="M10" s="785">
        <f ca="1">INDIRECT("'数据-取费表'!ai"&amp;$G$1)</f>
        <v>365</v>
      </c>
    </row>
    <row r="11" spans="1:25" ht="18" customHeight="1">
      <c r="A11" s="786"/>
      <c r="B11" s="3462"/>
      <c r="C11" s="1828"/>
      <c r="D11" s="1825"/>
      <c r="E11" s="61" t="s">
        <v>639</v>
      </c>
      <c r="F11" s="794">
        <f ca="1">INDIRECT("'数据-取费表'!w"&amp;$G$1)</f>
        <v>0.1</v>
      </c>
      <c r="G11" s="1593"/>
      <c r="H11" s="2507"/>
      <c r="I11" s="3461"/>
      <c r="J11" s="788"/>
      <c r="K11" s="789"/>
      <c r="L11" s="795" t="s">
        <v>1740</v>
      </c>
      <c r="M11" s="796">
        <f ca="1">INDIRECT("'数据-取费表'!ab"&amp;$G$1)</f>
        <v>0</v>
      </c>
    </row>
    <row r="12" spans="1:25" ht="18" customHeight="1">
      <c r="A12" s="1832" t="s">
        <v>1824</v>
      </c>
      <c r="B12" s="2496" t="s">
        <v>2457</v>
      </c>
      <c r="C12" s="799">
        <f ca="1">ROUND(IF(F12="押一",C8/12*F13,IF(F12="押二",C8/12*2*F13,IF(F12="押三",C8/12*3*F13,C13*F13))),0)</f>
        <v>1</v>
      </c>
      <c r="D12" s="2503" t="s">
        <v>2971</v>
      </c>
      <c r="E12" s="2500" t="s">
        <v>2462</v>
      </c>
      <c r="F12" s="2623" t="s">
        <v>3225</v>
      </c>
      <c r="G12" s="1593"/>
      <c r="H12" s="2563" t="s">
        <v>1824</v>
      </c>
      <c r="I12" s="2568" t="s">
        <v>2457</v>
      </c>
      <c r="J12" s="783">
        <f ca="1">ROUND(IF(M12="押一",J8/12*M13,IF(M12="押二",J8/12*2*M13,IF(M12="押三",J8/12*3*M13,J13*M13))),0)</f>
        <v>0</v>
      </c>
      <c r="K12" s="2503" t="s">
        <v>2971</v>
      </c>
      <c r="L12" s="2500" t="s">
        <v>2462</v>
      </c>
      <c r="M12" s="2623"/>
    </row>
    <row r="13" spans="1:25" ht="18" customHeight="1">
      <c r="A13" s="790"/>
      <c r="B13" s="2497" t="s">
        <v>2571</v>
      </c>
      <c r="C13" s="2501"/>
      <c r="D13" s="789"/>
      <c r="E13" s="2500" t="s">
        <v>2454</v>
      </c>
      <c r="F13" s="796">
        <f ca="1">'数据-取费表'!B39</f>
        <v>1.4999999999999999E-2</v>
      </c>
      <c r="G13" s="1593"/>
      <c r="H13" s="2564"/>
      <c r="I13" s="2497" t="s">
        <v>2571</v>
      </c>
      <c r="J13" s="2501"/>
      <c r="K13" s="2565"/>
      <c r="L13" s="2500" t="s">
        <v>2454</v>
      </c>
      <c r="M13" s="2494">
        <f ca="1">'数据-取费表'!B39</f>
        <v>1.4999999999999999E-2</v>
      </c>
    </row>
    <row r="14" spans="1:25" ht="18" customHeight="1" thickBot="1">
      <c r="A14" s="2539" t="s">
        <v>2465</v>
      </c>
      <c r="B14" s="2540" t="s">
        <v>2458</v>
      </c>
      <c r="C14" s="2541"/>
      <c r="D14" s="2542"/>
      <c r="E14" s="2543"/>
      <c r="F14" s="2544"/>
      <c r="G14" s="1593"/>
      <c r="H14" s="2553" t="s">
        <v>2465</v>
      </c>
      <c r="I14" s="2566" t="s">
        <v>2458</v>
      </c>
      <c r="J14" s="2567"/>
      <c r="K14" s="2542"/>
      <c r="L14" s="2543"/>
      <c r="M14" s="2556"/>
    </row>
    <row r="15" spans="1:25" ht="18" customHeight="1" thickTop="1">
      <c r="A15" s="1831" t="s">
        <v>1873</v>
      </c>
      <c r="B15" s="1829" t="s">
        <v>640</v>
      </c>
      <c r="C15" s="792">
        <f ca="1">ROUND(C31*F15,0)</f>
        <v>2190</v>
      </c>
      <c r="D15" s="1836" t="s">
        <v>641</v>
      </c>
      <c r="E15" s="795" t="s">
        <v>642</v>
      </c>
      <c r="F15" s="800">
        <f ca="1">INDIRECT("'数据-取费表'!y"&amp;$G$1)</f>
        <v>1</v>
      </c>
      <c r="G15" s="1593"/>
      <c r="H15" s="1831" t="s">
        <v>1825</v>
      </c>
      <c r="I15" s="1829" t="s">
        <v>643</v>
      </c>
      <c r="J15" s="1821">
        <f ca="1">ROUND(J16*J17,0)</f>
        <v>0</v>
      </c>
      <c r="K15" s="1823" t="s">
        <v>641</v>
      </c>
      <c r="L15" s="801"/>
      <c r="M15" s="802"/>
    </row>
    <row r="16" spans="1:25" ht="18" customHeight="1">
      <c r="A16" s="803" t="s">
        <v>1874</v>
      </c>
      <c r="B16" s="784" t="s">
        <v>644</v>
      </c>
      <c r="C16" s="804">
        <f ca="1">INDIRECT("'数据-取费表'!m"&amp;$G$1)+INDIRECT("'数据-取费表'!t"&amp;$G$1)</f>
        <v>1481</v>
      </c>
      <c r="D16" s="1981" t="s">
        <v>645</v>
      </c>
      <c r="E16" s="1982"/>
      <c r="F16" s="805"/>
      <c r="G16" s="1593"/>
      <c r="H16" s="803" t="s">
        <v>2070</v>
      </c>
      <c r="I16" s="2233" t="s">
        <v>2823</v>
      </c>
      <c r="J16" s="53">
        <f ca="1">C31</f>
        <v>2190</v>
      </c>
      <c r="K16" s="26"/>
      <c r="L16" s="801"/>
      <c r="M16" s="802"/>
    </row>
    <row r="17" spans="1:25" s="2066" customFormat="1" ht="18" customHeight="1">
      <c r="A17" s="803" t="s">
        <v>1848</v>
      </c>
      <c r="B17" s="784" t="s">
        <v>646</v>
      </c>
      <c r="C17" s="53">
        <f ca="1">ROUND(C16*F17,0)</f>
        <v>44</v>
      </c>
      <c r="D17" s="806" t="s">
        <v>647</v>
      </c>
      <c r="E17" s="806" t="s">
        <v>648</v>
      </c>
      <c r="F17" s="807">
        <f>'数据-取费表'!B33</f>
        <v>0.03</v>
      </c>
      <c r="G17" s="1594"/>
      <c r="H17" s="803" t="s">
        <v>2071</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3"/>
      <c r="H18" s="797" t="s">
        <v>1826</v>
      </c>
      <c r="I18" s="798" t="s">
        <v>650</v>
      </c>
      <c r="J18" s="799">
        <f ca="1">ROUND(J19+J24+J25+J26,0)</f>
        <v>217</v>
      </c>
      <c r="K18" s="26" t="s">
        <v>651</v>
      </c>
      <c r="L18" s="1984"/>
      <c r="M18" s="56"/>
    </row>
    <row r="19" spans="1:25" s="2066" customFormat="1" ht="18" customHeight="1">
      <c r="A19" s="803" t="s">
        <v>1850</v>
      </c>
      <c r="B19" s="784" t="s">
        <v>652</v>
      </c>
      <c r="C19" s="53">
        <f ca="1">ROUND(F19*(INDIRECT("'数据-取费表'!k"&amp;$G$1)+INDIRECT("'数据-取费表'!S"&amp;$G$1))/10000,0)</f>
        <v>60</v>
      </c>
      <c r="D19" s="784" t="s">
        <v>653</v>
      </c>
      <c r="E19" s="784" t="s">
        <v>654</v>
      </c>
      <c r="F19" s="56">
        <f>'数据-取费表'!B35</f>
        <v>200</v>
      </c>
      <c r="G19" s="1594"/>
      <c r="H19" s="803" t="s">
        <v>2070</v>
      </c>
      <c r="I19" s="784" t="s">
        <v>655</v>
      </c>
      <c r="J19" s="53">
        <f ca="1">ROUND(IF(项目基本情况!B11="自然人",J7*M19,J20+J21+J22),0)</f>
        <v>184</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658</v>
      </c>
      <c r="C20" s="53">
        <f ca="1">ROUND(C16*F20,0)</f>
        <v>22</v>
      </c>
      <c r="D20" s="784" t="s">
        <v>647</v>
      </c>
      <c r="E20" s="784" t="s">
        <v>648</v>
      </c>
      <c r="F20" s="809">
        <f>'数据-取费表'!B36</f>
        <v>1.4999999999999999E-2</v>
      </c>
      <c r="G20" s="1594"/>
      <c r="H20" s="803" t="s">
        <v>1830</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1875</v>
      </c>
      <c r="B21" s="784" t="s">
        <v>661</v>
      </c>
      <c r="C21" s="53">
        <f ca="1">SUM(C16:C20)</f>
        <v>1607</v>
      </c>
      <c r="D21" s="261" t="s">
        <v>662</v>
      </c>
      <c r="E21" s="1984"/>
      <c r="F21" s="56"/>
      <c r="G21" s="1593"/>
      <c r="H21" s="1832" t="s">
        <v>1848</v>
      </c>
      <c r="I21" s="784" t="s">
        <v>663</v>
      </c>
      <c r="J21" s="53">
        <f ca="1">IF(K21="按租金收入计税",ROUND(J7*M21,1),ROUND(C31*F35*0.7,1))</f>
        <v>184</v>
      </c>
      <c r="K21" s="811" t="s">
        <v>664</v>
      </c>
      <c r="L21" s="784" t="s">
        <v>648</v>
      </c>
      <c r="M21" s="809">
        <f>IF(K21="按租金收入计税",'数据-取费表'!B51,'数据-取费表'!B50)</f>
        <v>1.2E-2</v>
      </c>
    </row>
    <row r="22" spans="1:25" s="2066" customFormat="1" ht="18" customHeight="1">
      <c r="A22" s="803" t="s">
        <v>1876</v>
      </c>
      <c r="B22" s="784" t="s">
        <v>665</v>
      </c>
      <c r="C22" s="53">
        <f ca="1">ROUND(C21*F22,0)</f>
        <v>48</v>
      </c>
      <c r="D22" s="812" t="s">
        <v>666</v>
      </c>
      <c r="E22" s="784" t="s">
        <v>648</v>
      </c>
      <c r="F22" s="809">
        <f>'数据-取费表'!B37</f>
        <v>0.03</v>
      </c>
      <c r="G22" s="1594"/>
      <c r="H22" s="1834" t="s">
        <v>1849</v>
      </c>
      <c r="I22" s="1824" t="s">
        <v>667</v>
      </c>
      <c r="J22" s="54">
        <f ca="1">ROUND(M22*M23/10000,0)</f>
        <v>0</v>
      </c>
      <c r="K22" s="814" t="s">
        <v>668</v>
      </c>
      <c r="L22" s="784" t="s">
        <v>669</v>
      </c>
      <c r="M22" s="640">
        <f>'数据-取费表'!B52</f>
        <v>12</v>
      </c>
      <c r="N22" s="2065"/>
      <c r="O22" s="2065"/>
      <c r="P22" s="2065"/>
      <c r="Q22" s="2065"/>
      <c r="R22" s="2065"/>
      <c r="S22" s="2065"/>
      <c r="T22" s="2065"/>
      <c r="U22" s="2065"/>
      <c r="V22" s="2065"/>
      <c r="W22" s="2065"/>
      <c r="X22" s="2065"/>
      <c r="Y22" s="2065"/>
    </row>
    <row r="23" spans="1:25" s="2066" customFormat="1" ht="18" customHeight="1">
      <c r="A23" s="803" t="s">
        <v>1877</v>
      </c>
      <c r="B23" s="784" t="s">
        <v>670</v>
      </c>
      <c r="C23" s="53" t="s">
        <v>1</v>
      </c>
      <c r="D23" s="812" t="s">
        <v>671</v>
      </c>
      <c r="E23" s="784" t="s">
        <v>672</v>
      </c>
      <c r="F23" s="809">
        <f>'数据-取费表'!B38</f>
        <v>0.02</v>
      </c>
      <c r="G23" s="1594"/>
      <c r="H23" s="1835"/>
      <c r="I23" s="1826"/>
      <c r="J23" s="69"/>
      <c r="K23" s="816"/>
      <c r="L23" s="784" t="s">
        <v>673</v>
      </c>
      <c r="M23" s="785">
        <f ca="1">INDIRECT("'数据-取费表'!r"&amp;$G$1)</f>
        <v>270.43</v>
      </c>
      <c r="N23" s="2065"/>
      <c r="O23" s="2065"/>
      <c r="P23" s="2065"/>
      <c r="Q23" s="2065"/>
      <c r="R23" s="2065"/>
      <c r="S23" s="2065"/>
      <c r="T23" s="2065"/>
      <c r="U23" s="2065"/>
      <c r="V23" s="2065"/>
      <c r="W23" s="2065"/>
      <c r="X23" s="2065"/>
      <c r="Y23" s="2065"/>
    </row>
    <row r="24" spans="1:25" ht="18" customHeight="1">
      <c r="A24" s="803" t="s">
        <v>1878</v>
      </c>
      <c r="B24" s="784" t="s">
        <v>674</v>
      </c>
      <c r="C24" s="53"/>
      <c r="D24" s="2574" t="str">
        <f>IF(F25&lt;=1,"单利计息。","复利计息。")&amp;"建造成本、管理费用、销售费用产生的利息。"</f>
        <v>复利计息。建造成本、管理费用、销售费用产生的利息。</v>
      </c>
      <c r="E24" s="1984"/>
      <c r="F24" s="56"/>
      <c r="G24" s="1593"/>
      <c r="H24" s="1833" t="s">
        <v>2071</v>
      </c>
      <c r="I24" s="784" t="s">
        <v>675</v>
      </c>
      <c r="J24" s="53">
        <f ca="1">ROUND(J16*M24,0)</f>
        <v>33</v>
      </c>
      <c r="K24" s="1979" t="s">
        <v>676</v>
      </c>
      <c r="L24" s="784" t="s">
        <v>648</v>
      </c>
      <c r="M24" s="817">
        <f ca="1">INDIRECT("'数据-取费表'!Ak"&amp;$G$1)</f>
        <v>1.4999999999999999E-2</v>
      </c>
    </row>
    <row r="25" spans="1:25" s="2066" customFormat="1" ht="18" customHeight="1">
      <c r="A25" s="803" t="s">
        <v>1874</v>
      </c>
      <c r="B25" s="784" t="s">
        <v>2437</v>
      </c>
      <c r="C25" s="53">
        <f ca="1">ROUND(IF('数据-取费表'!B22&lt;=1,(C21+C22)*F26*F25/2,(C21+C22)*(POWER((1+F26),F25/2)-1)),0)</f>
        <v>119</v>
      </c>
      <c r="D25" s="2573" t="str">
        <f>IF(F25&lt;=1,"(建造成本+管理费用)×利率×(建设周期÷2)","(建造成本+管理费用)×((1+利率)^(建设周期÷2)-1)")</f>
        <v>(建造成本+管理费用)×((1+利率)^(建设周期÷2)-1)</v>
      </c>
      <c r="E25" s="784" t="s">
        <v>677</v>
      </c>
      <c r="F25" s="640">
        <f>'数据-取费表'!B20</f>
        <v>3</v>
      </c>
      <c r="G25" s="1594"/>
      <c r="H25" s="803" t="s">
        <v>1877</v>
      </c>
      <c r="I25" s="784" t="s">
        <v>678</v>
      </c>
      <c r="J25" s="53">
        <f ca="1">ROUND(J15*M25,0)</f>
        <v>0</v>
      </c>
      <c r="K25" s="1979" t="s">
        <v>679</v>
      </c>
      <c r="L25" s="784" t="s">
        <v>648</v>
      </c>
      <c r="M25" s="818">
        <f ca="1">INDIRECT("'数据-取费表'!Al"&amp;$G$1)</f>
        <v>1.5E-3</v>
      </c>
      <c r="N25" s="2065"/>
      <c r="O25" s="2065"/>
      <c r="P25" s="2065"/>
      <c r="Q25" s="2065"/>
      <c r="R25" s="2065"/>
      <c r="S25" s="2065"/>
      <c r="T25" s="2065"/>
      <c r="U25" s="2065"/>
      <c r="V25" s="2065"/>
      <c r="W25" s="2065"/>
      <c r="X25" s="2065"/>
      <c r="Y25" s="2065"/>
    </row>
    <row r="26" spans="1:25" s="2066" customFormat="1" ht="18" customHeight="1">
      <c r="A26" s="803" t="s">
        <v>1848</v>
      </c>
      <c r="B26" s="784" t="s">
        <v>680</v>
      </c>
      <c r="C26" s="53">
        <f ca="1">ROUND(IF('数据-取费表'!B22&lt;=1,F23*F26*F25/2,F23*(POWER((1+F26),F25/2)-1)),4)</f>
        <v>1.4E-3</v>
      </c>
      <c r="D26" s="2573" t="str">
        <f>IF(F25&lt;=1,"销售费用×利率×(建设周期÷2)","销售费用×((1+利率)^(建设周期÷2)-1)")</f>
        <v>销售费用×((1+利率)^(建设周期÷2)-1)</v>
      </c>
      <c r="E26" s="784" t="s">
        <v>681</v>
      </c>
      <c r="F26" s="819">
        <f ca="1">'数据-取费表'!B40</f>
        <v>4.7500000000000001E-2</v>
      </c>
      <c r="G26" s="1594"/>
      <c r="H26" s="803" t="s">
        <v>1878</v>
      </c>
      <c r="I26" s="784" t="s">
        <v>665</v>
      </c>
      <c r="J26" s="53">
        <f ca="1">ROUND(J7*M26,0)</f>
        <v>0</v>
      </c>
      <c r="K26" s="1979" t="s">
        <v>682</v>
      </c>
      <c r="L26" s="784" t="s">
        <v>648</v>
      </c>
      <c r="M26" s="794">
        <f ca="1">INDIRECT("'数据-取费表'!Am"&amp;$G$1)</f>
        <v>0.01</v>
      </c>
      <c r="N26" s="2065"/>
      <c r="O26" s="2065"/>
      <c r="P26" s="2065"/>
      <c r="Q26" s="2065"/>
      <c r="R26" s="2065"/>
      <c r="S26" s="2065"/>
      <c r="T26" s="2065"/>
      <c r="U26" s="2065"/>
      <c r="V26" s="2065"/>
      <c r="W26" s="2065"/>
      <c r="X26" s="2065"/>
      <c r="Y26" s="2065"/>
    </row>
    <row r="27" spans="1:25" ht="18" customHeight="1">
      <c r="A27" s="803" t="s">
        <v>1880</v>
      </c>
      <c r="B27" s="784" t="s">
        <v>683</v>
      </c>
      <c r="C27" s="53"/>
      <c r="D27" s="261" t="s">
        <v>684</v>
      </c>
      <c r="E27" s="1984"/>
      <c r="F27" s="56"/>
      <c r="G27" s="1593"/>
      <c r="H27" s="797" t="s">
        <v>1827</v>
      </c>
      <c r="I27" s="3013" t="s">
        <v>2820</v>
      </c>
      <c r="J27" s="799">
        <f ca="1">J7-J18</f>
        <v>-217</v>
      </c>
      <c r="K27" s="1981" t="s">
        <v>699</v>
      </c>
      <c r="L27" s="1983"/>
      <c r="M27" s="820"/>
    </row>
    <row r="28" spans="1:25" ht="18" customHeight="1">
      <c r="A28" s="803" t="s">
        <v>1874</v>
      </c>
      <c r="B28" s="784" t="s">
        <v>2438</v>
      </c>
      <c r="C28" s="53">
        <f ca="1">ROUND((C21+C22)*F28,0)</f>
        <v>248</v>
      </c>
      <c r="D28" s="812" t="s">
        <v>700</v>
      </c>
      <c r="E28" s="795" t="s">
        <v>701</v>
      </c>
      <c r="F28" s="794">
        <f ca="1">INDIRECT("'数据-取费表'!q"&amp;$G$1)</f>
        <v>0.15</v>
      </c>
      <c r="G28" s="1593"/>
      <c r="H28" s="781" t="s">
        <v>1836</v>
      </c>
      <c r="I28" s="782" t="s">
        <v>702</v>
      </c>
      <c r="J28" s="783">
        <f ca="1">IF(J7&lt;&gt;0,ROUND(J27*(1-((1+M30)/(1+M28))^M29)/(M28-M30),0),0)</f>
        <v>0</v>
      </c>
      <c r="K28" s="814" t="s">
        <v>703</v>
      </c>
      <c r="L28" s="784" t="s">
        <v>704</v>
      </c>
      <c r="M28" s="794">
        <f ca="1">INDIRECT("'数据-取费表'!I"&amp;$G$1)</f>
        <v>0.06</v>
      </c>
    </row>
    <row r="29" spans="1:25" ht="18" customHeight="1">
      <c r="A29" s="803" t="s">
        <v>1848</v>
      </c>
      <c r="B29" s="784" t="s">
        <v>685</v>
      </c>
      <c r="C29" s="53">
        <f ca="1">ROUND(F23*F28,4)</f>
        <v>3.0000000000000001E-3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1881</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1882</v>
      </c>
      <c r="B31" s="2543" t="s">
        <v>2821</v>
      </c>
      <c r="C31" s="2546">
        <f ca="1">ROUND((C21+C22+C25+C28)/(1-F23-C26-C29-C30),0)</f>
        <v>2190</v>
      </c>
      <c r="D31" s="2547"/>
      <c r="E31" s="2548"/>
      <c r="F31" s="2549"/>
      <c r="G31" s="1594"/>
      <c r="H31" s="823" t="s">
        <v>1871</v>
      </c>
      <c r="I31" s="3014" t="s">
        <v>2822</v>
      </c>
      <c r="J31" s="825">
        <f ca="1">ROUND(J28/(1+F45)^F46,0)</f>
        <v>0</v>
      </c>
      <c r="K31" s="826" t="s">
        <v>687</v>
      </c>
      <c r="L31" s="827"/>
      <c r="M31" s="828">
        <f ca="1">INDIRECT("'数据-取费表'!k"&amp;$G$1)</f>
        <v>2906.04</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115</v>
      </c>
      <c r="D32" s="1823" t="s">
        <v>651</v>
      </c>
      <c r="E32" s="2489"/>
      <c r="F32" s="2493"/>
      <c r="G32" s="2064"/>
      <c r="H32" s="2067"/>
      <c r="I32" s="2068"/>
      <c r="J32" s="2069"/>
      <c r="K32" s="2070"/>
      <c r="L32" s="2071"/>
      <c r="M32" s="2072"/>
    </row>
    <row r="33" spans="1:18" ht="18" customHeight="1">
      <c r="A33" s="803" t="s">
        <v>1875</v>
      </c>
      <c r="B33" s="784" t="s">
        <v>655</v>
      </c>
      <c r="C33" s="53">
        <f ca="1">ROUND(IF(项目基本情况!B11="自然人",C7*F33,C34+C35+C36),1)</f>
        <v>74.599999999999994</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659</v>
      </c>
      <c r="C34" s="53">
        <f ca="1">ROUND(C7*F34/1.05,1)</f>
        <v>22.6</v>
      </c>
      <c r="D34" s="1979" t="s">
        <v>660</v>
      </c>
      <c r="E34" s="784" t="s">
        <v>648</v>
      </c>
      <c r="F34" s="809">
        <f>'数据-取费表'!B41</f>
        <v>5.5000000000000007E-2</v>
      </c>
      <c r="G34" s="2064"/>
      <c r="H34" s="2073"/>
      <c r="I34" s="2074"/>
      <c r="J34" s="2075"/>
      <c r="K34" s="2076"/>
      <c r="L34" s="2077"/>
      <c r="M34" s="2078"/>
    </row>
    <row r="35" spans="1:18" ht="18" customHeight="1">
      <c r="A35" s="803" t="s">
        <v>1848</v>
      </c>
      <c r="B35" s="784" t="s">
        <v>663</v>
      </c>
      <c r="C35" s="53">
        <f ca="1">IF(D35="按租金收入计税",ROUND(C7*F35,1),IF(D35="按房产原值计税",ROUND(C31*F35*0.7,1),INDIRECT("'数据-取费表'!Aj"&amp;$G$1)))</f>
        <v>51.7</v>
      </c>
      <c r="D35" s="811" t="s">
        <v>3226</v>
      </c>
      <c r="E35" s="784" t="s">
        <v>648</v>
      </c>
      <c r="F35" s="809">
        <f>IF(D35="按租金收入计税",'数据-取费表'!B51,'数据-取费表'!B50)</f>
        <v>0.12</v>
      </c>
      <c r="G35" s="2064"/>
      <c r="H35" s="2079"/>
      <c r="I35" s="2079"/>
      <c r="J35" s="2079"/>
      <c r="K35" s="2080"/>
      <c r="L35" s="2079"/>
      <c r="M35" s="2079"/>
    </row>
    <row r="36" spans="1:18" ht="18" customHeight="1">
      <c r="A36" s="813" t="s">
        <v>1879</v>
      </c>
      <c r="B36" s="341" t="s">
        <v>667</v>
      </c>
      <c r="C36" s="54">
        <f ca="1">ROUND(F36*F37/10000,1)</f>
        <v>0.3</v>
      </c>
      <c r="D36" s="814" t="s">
        <v>668</v>
      </c>
      <c r="E36" s="784" t="s">
        <v>669</v>
      </c>
      <c r="F36" s="640">
        <f>'数据-取费表'!B52</f>
        <v>12</v>
      </c>
      <c r="G36" s="2064"/>
      <c r="H36" s="2067"/>
      <c r="I36" s="3458"/>
      <c r="J36" s="2081"/>
      <c r="K36" s="2082"/>
      <c r="L36" s="2081"/>
      <c r="M36" s="2081"/>
    </row>
    <row r="37" spans="1:18" ht="18" customHeight="1">
      <c r="A37" s="815"/>
      <c r="B37" s="793"/>
      <c r="C37" s="69"/>
      <c r="D37" s="816"/>
      <c r="E37" s="784" t="s">
        <v>673</v>
      </c>
      <c r="F37" s="785">
        <f ca="1">INDIRECT("'数据-取费表'!r"&amp;$G$1)</f>
        <v>270.43</v>
      </c>
      <c r="G37" s="2064"/>
      <c r="H37" s="2067"/>
      <c r="I37" s="3458"/>
      <c r="J37" s="2079"/>
      <c r="K37" s="2080"/>
      <c r="L37" s="2079"/>
      <c r="M37" s="2079"/>
    </row>
    <row r="38" spans="1:18" ht="18" customHeight="1">
      <c r="A38" s="803" t="s">
        <v>1876</v>
      </c>
      <c r="B38" s="784" t="s">
        <v>675</v>
      </c>
      <c r="C38" s="53">
        <f ca="1">ROUND(C31*F38,1)</f>
        <v>32.9</v>
      </c>
      <c r="D38" s="1979" t="s">
        <v>690</v>
      </c>
      <c r="E38" s="784" t="s">
        <v>648</v>
      </c>
      <c r="F38" s="817">
        <f ca="1">INDIRECT("'数据-取费表'!Ak"&amp;$G$1)</f>
        <v>1.4999999999999999E-2</v>
      </c>
      <c r="G38" s="2064"/>
      <c r="H38" s="2079"/>
      <c r="I38" s="2083"/>
      <c r="J38" s="1990"/>
      <c r="K38" s="2084"/>
      <c r="L38" s="2079"/>
      <c r="M38" s="2079"/>
    </row>
    <row r="39" spans="1:18" ht="18" customHeight="1">
      <c r="A39" s="803" t="s">
        <v>1877</v>
      </c>
      <c r="B39" s="784" t="s">
        <v>678</v>
      </c>
      <c r="C39" s="53">
        <f ca="1">ROUND(C15*F39,1)</f>
        <v>3.3</v>
      </c>
      <c r="D39" s="1979" t="s">
        <v>679</v>
      </c>
      <c r="E39" s="784" t="s">
        <v>648</v>
      </c>
      <c r="F39" s="818">
        <f ca="1">INDIRECT("'数据-取费表'!Al"&amp;$G$1)</f>
        <v>1.5E-3</v>
      </c>
      <c r="G39" s="2064"/>
      <c r="H39" s="2079"/>
      <c r="I39" s="2083"/>
      <c r="J39" s="1990"/>
      <c r="K39" s="2084"/>
      <c r="L39" s="2079"/>
      <c r="M39" s="2079"/>
    </row>
    <row r="40" spans="1:18" ht="18" customHeight="1" thickBot="1">
      <c r="A40" s="2562" t="s">
        <v>1878</v>
      </c>
      <c r="B40" s="2548" t="s">
        <v>665</v>
      </c>
      <c r="C40" s="2546">
        <f ca="1">ROUND(C7*F40,1)</f>
        <v>4.3</v>
      </c>
      <c r="D40" s="2547" t="s">
        <v>682</v>
      </c>
      <c r="E40" s="2548" t="s">
        <v>648</v>
      </c>
      <c r="F40" s="2544">
        <f ca="1">INDIRECT("'数据-取费表'!Am"&amp;$G$1)</f>
        <v>0.01</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1875</v>
      </c>
      <c r="B42" s="835" t="s">
        <v>692</v>
      </c>
      <c r="C42" s="829">
        <f ca="1">C7-C32</f>
        <v>316</v>
      </c>
      <c r="D42" s="1981" t="s">
        <v>693</v>
      </c>
      <c r="E42" s="1983"/>
      <c r="F42" s="820"/>
      <c r="G42" s="2064"/>
      <c r="H42" s="2064"/>
      <c r="I42" s="2064"/>
      <c r="J42" s="2064"/>
      <c r="K42" s="2085"/>
      <c r="L42" s="2064"/>
      <c r="M42" s="2064"/>
    </row>
    <row r="43" spans="1:18" ht="18" customHeight="1">
      <c r="A43" s="803" t="s">
        <v>1876</v>
      </c>
      <c r="B43" s="835" t="s">
        <v>710</v>
      </c>
      <c r="C43" s="836">
        <f ca="1">ROUND(C15*F43,0)</f>
        <v>186</v>
      </c>
      <c r="D43" s="1356" t="s">
        <v>711</v>
      </c>
      <c r="E43" s="3123" t="s">
        <v>2960</v>
      </c>
      <c r="F43" s="3124">
        <f ca="1">INDIRECT("'数据-取费表'!j"&amp;$G$1)</f>
        <v>8.5000000000000006E-2</v>
      </c>
      <c r="G43" s="2064"/>
      <c r="H43" s="2064"/>
      <c r="I43" s="2064"/>
      <c r="J43" s="2064"/>
      <c r="K43" s="2085"/>
      <c r="L43" s="2064"/>
      <c r="M43" s="2064"/>
    </row>
    <row r="44" spans="1:18" ht="18" customHeight="1">
      <c r="A44" s="803" t="s">
        <v>1877</v>
      </c>
      <c r="B44" s="835" t="s">
        <v>712</v>
      </c>
      <c r="C44" s="1357">
        <f ca="1">C42-C43</f>
        <v>130</v>
      </c>
      <c r="D44" s="463" t="s">
        <v>713</v>
      </c>
      <c r="E44" s="464"/>
      <c r="F44" s="465"/>
      <c r="G44" s="2064"/>
      <c r="H44" s="2064"/>
      <c r="I44" s="2064"/>
      <c r="J44" s="2064"/>
      <c r="K44" s="2085"/>
      <c r="L44" s="2064"/>
      <c r="M44" s="2064"/>
    </row>
    <row r="45" spans="1:18" ht="18" customHeight="1">
      <c r="A45" s="803" t="s">
        <v>1878</v>
      </c>
      <c r="B45" s="1356" t="s">
        <v>714</v>
      </c>
      <c r="C45" s="3040">
        <f ca="1">ROUND(-PV(F45,F46,C44,0),0)</f>
        <v>1926</v>
      </c>
      <c r="D45" s="1358" t="s">
        <v>715</v>
      </c>
      <c r="E45" s="806" t="s">
        <v>716</v>
      </c>
      <c r="F45" s="830">
        <f ca="1">INDIRECT("'数据-取费表'!h"&amp;$G$1)</f>
        <v>5.5E-2</v>
      </c>
      <c r="G45" s="2064"/>
      <c r="H45" s="2064"/>
      <c r="I45" s="2064"/>
      <c r="J45" s="2064"/>
      <c r="K45" s="2085"/>
      <c r="L45" s="2064"/>
      <c r="M45" s="2064"/>
    </row>
    <row r="46" spans="1:18" ht="18" customHeight="1" thickBot="1">
      <c r="A46" s="831"/>
      <c r="B46" s="1359"/>
      <c r="C46" s="1360"/>
      <c r="D46" s="1361"/>
      <c r="E46" s="3125" t="s">
        <v>2962</v>
      </c>
      <c r="F46" s="828">
        <f ca="1">IF(INDIRECT("'数据-取费表'!af"&amp;$G$1)=0,INDIRECT("'数据-取费表'!ae"&amp;$G$1),INDIRECT("'数据-取费表'!af"&amp;$G$1))</f>
        <v>31.490000000000002</v>
      </c>
      <c r="G46" s="2064"/>
      <c r="H46" s="2064"/>
      <c r="I46" s="2064"/>
      <c r="J46" s="2064"/>
      <c r="K46" s="2085"/>
      <c r="L46" s="2064"/>
      <c r="M46" s="2064"/>
    </row>
    <row r="47" spans="1:18" s="2061" customFormat="1" ht="18" customHeight="1" thickBot="1">
      <c r="A47" s="2086"/>
      <c r="D47" s="2087"/>
      <c r="E47" s="2087"/>
      <c r="F47" s="2087"/>
      <c r="I47" s="2380" t="s">
        <v>2343</v>
      </c>
      <c r="J47" s="2381"/>
      <c r="K47" s="2382"/>
      <c r="L47" s="3161" t="e">
        <f ca="1">IF(M48="住宅",0,IF(L49&gt;J52,L61,J61))</f>
        <v>#DIV/0!</v>
      </c>
      <c r="O47" s="2396" t="s">
        <v>2410</v>
      </c>
      <c r="P47" s="1593"/>
      <c r="Q47" s="1605"/>
      <c r="R47" s="1593"/>
    </row>
    <row r="48" spans="1:18" s="2061" customFormat="1" ht="18" customHeight="1" thickBot="1">
      <c r="A48" s="2086"/>
      <c r="C48" s="2089"/>
      <c r="D48" s="2090"/>
      <c r="E48" s="2090"/>
      <c r="F48" s="2091"/>
      <c r="G48" s="2092"/>
      <c r="I48" s="3151" t="s">
        <v>2344</v>
      </c>
      <c r="J48" s="2383"/>
      <c r="K48" s="3158" t="s">
        <v>2349</v>
      </c>
      <c r="L48" s="3162">
        <f ca="1">INDIRECT("'数据-取费表'!d"&amp;$G$1)</f>
        <v>40</v>
      </c>
      <c r="M48" s="3122" t="str">
        <f>IF(ISNUMBER(FIND("住宅",C1)),"住宅","非住宅")</f>
        <v>非住宅</v>
      </c>
      <c r="O48" s="2397" t="s">
        <v>2375</v>
      </c>
      <c r="P48" s="2398" t="s">
        <v>2376</v>
      </c>
      <c r="Q48" s="2399" t="s">
        <v>2377</v>
      </c>
      <c r="R48" s="2398" t="s">
        <v>2378</v>
      </c>
    </row>
    <row r="49" spans="1:18" s="2061" customFormat="1" ht="18" customHeight="1" thickBot="1">
      <c r="A49" s="2086"/>
      <c r="D49" s="2093"/>
      <c r="E49" s="2094"/>
      <c r="F49" s="2091"/>
      <c r="G49" s="2092"/>
      <c r="H49" s="2095"/>
      <c r="I49" s="3127" t="s">
        <v>2345</v>
      </c>
      <c r="J49" s="2384"/>
      <c r="K49" s="3159" t="s">
        <v>2351</v>
      </c>
      <c r="L49" s="1910">
        <f ca="1">INDIRECT("'数据-取费表'!f"&amp;$G$1)</f>
        <v>34.49</v>
      </c>
      <c r="O49" s="2400" t="s">
        <v>2379</v>
      </c>
      <c r="P49" s="2401" t="s">
        <v>2405</v>
      </c>
      <c r="Q49" s="2402">
        <f ca="1">C41+J31</f>
        <v>0</v>
      </c>
      <c r="R49" s="2401" t="s">
        <v>2380</v>
      </c>
    </row>
    <row r="50" spans="1:18" s="2061" customFormat="1" ht="18" customHeight="1" thickBot="1">
      <c r="A50" s="2086"/>
      <c r="D50" s="2096"/>
      <c r="E50" s="2096"/>
      <c r="F50" s="2090"/>
      <c r="G50" s="2097"/>
      <c r="H50" s="2095"/>
      <c r="I50" s="3127" t="s">
        <v>2346</v>
      </c>
      <c r="J50" s="2385"/>
      <c r="K50" s="3160" t="s">
        <v>2352</v>
      </c>
      <c r="L50" s="2386"/>
      <c r="O50" s="2400" t="s">
        <v>2381</v>
      </c>
      <c r="P50" s="2401" t="s">
        <v>2406</v>
      </c>
      <c r="Q50" s="2402" t="str">
        <f ca="1">J61</f>
        <v>0</v>
      </c>
      <c r="R50" s="2401" t="s">
        <v>2382</v>
      </c>
    </row>
    <row r="51" spans="1:18" s="2061" customFormat="1" ht="18" customHeight="1" thickBot="1">
      <c r="A51" s="2098"/>
      <c r="D51" s="2096"/>
      <c r="E51" s="2096"/>
      <c r="F51" s="2087"/>
      <c r="H51" s="2095"/>
      <c r="I51" s="3127" t="s">
        <v>2347</v>
      </c>
      <c r="J51" s="3155">
        <f>SUMPRODUCT((I64:I66=J48)*(J63:L63=J49)*(J64:L66))</f>
        <v>0</v>
      </c>
      <c r="K51" s="3160" t="s">
        <v>2353</v>
      </c>
      <c r="L51" s="2386"/>
      <c r="O51" s="2403" t="s">
        <v>2383</v>
      </c>
      <c r="P51" s="2401" t="s">
        <v>2407</v>
      </c>
      <c r="Q51" s="2402">
        <f ca="1">C31</f>
        <v>2190</v>
      </c>
      <c r="R51" s="2401" t="s">
        <v>2380</v>
      </c>
    </row>
    <row r="52" spans="1:18" s="2061" customFormat="1" ht="18" customHeight="1" thickBot="1">
      <c r="A52" s="2098"/>
      <c r="F52" s="2087"/>
      <c r="I52" s="3152" t="s">
        <v>2348</v>
      </c>
      <c r="J52" s="3156">
        <f>IF(J50="",J51,J50+J51-YEAR('数据-取费表'!B3))</f>
        <v>0</v>
      </c>
      <c r="K52" s="3127" t="s">
        <v>2354</v>
      </c>
      <c r="L52" s="3163">
        <f ca="1">ROUND(-PV(INDIRECT("'数据-取费表'!h"&amp;$G$1),L49,(C40-C14*J36),0),0)</f>
        <v>66</v>
      </c>
      <c r="O52" s="2403" t="s">
        <v>2384</v>
      </c>
      <c r="P52" s="2401" t="s">
        <v>2385</v>
      </c>
      <c r="Q52" s="2404" t="e">
        <f ca="1">J59</f>
        <v>#VALUE!</v>
      </c>
      <c r="R52" s="2405"/>
    </row>
    <row r="53" spans="1:18" s="2061" customFormat="1" ht="18" customHeight="1" thickBot="1">
      <c r="A53" s="2098"/>
      <c r="F53" s="2087"/>
      <c r="I53" s="3153" t="s">
        <v>2421</v>
      </c>
      <c r="J53" s="2387"/>
      <c r="K53" s="3153" t="s">
        <v>2420</v>
      </c>
      <c r="L53" s="2387"/>
      <c r="O53" s="2403" t="s">
        <v>2386</v>
      </c>
      <c r="P53" s="2401" t="s">
        <v>2387</v>
      </c>
      <c r="Q53" s="2404">
        <f>J53</f>
        <v>0</v>
      </c>
      <c r="R53" s="2405"/>
    </row>
    <row r="54" spans="1:18" s="2061" customFormat="1" ht="29.25" thickBot="1">
      <c r="A54" s="2098"/>
      <c r="I54" s="3154" t="s">
        <v>2976</v>
      </c>
      <c r="J54" s="3157">
        <f ca="1">IF(M48="住宅",MAX(J52,L49-'数据-取费表'!B20),MIN(J52,L49-'数据-取费表'!B20))</f>
        <v>0</v>
      </c>
      <c r="K54" s="3463"/>
      <c r="L54" s="3464"/>
      <c r="O54" s="2403" t="s">
        <v>2388</v>
      </c>
      <c r="P54" s="2401" t="s">
        <v>2389</v>
      </c>
      <c r="Q54" s="2402">
        <f ca="1">J54</f>
        <v>0</v>
      </c>
      <c r="R54" s="2401" t="s">
        <v>2390</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2391</v>
      </c>
      <c r="P55" s="2401" t="s">
        <v>2408</v>
      </c>
      <c r="Q55" s="2402">
        <f ca="1">Q49+Q50</f>
        <v>0</v>
      </c>
      <c r="R55" s="2405" t="s">
        <v>2392</v>
      </c>
    </row>
    <row r="56" spans="1:18" s="2061" customFormat="1" ht="16.5" thickBot="1">
      <c r="A56" s="2098"/>
      <c r="B56" s="2099"/>
      <c r="C56" s="2099"/>
      <c r="I56" s="3166" t="s">
        <v>2355</v>
      </c>
      <c r="J56" s="3102" t="e">
        <f ca="1">ROUND(IF(J48="钢混",J58/J51,1-(1-2%)*(J51-J58)/J51),3)</f>
        <v>#VALUE!</v>
      </c>
      <c r="K56" s="3167" t="s">
        <v>2356</v>
      </c>
      <c r="L56" s="2388"/>
      <c r="O56" s="2406" t="s">
        <v>2411</v>
      </c>
      <c r="P56" s="1593"/>
      <c r="Q56" s="1605"/>
      <c r="R56" s="1593"/>
    </row>
    <row r="57" spans="1:18" s="2061" customFormat="1" ht="43.5" thickBot="1">
      <c r="A57" s="2098"/>
      <c r="B57" s="2099"/>
      <c r="C57" s="2099"/>
      <c r="I57" s="3168" t="s">
        <v>2357</v>
      </c>
      <c r="J57" s="3178" t="s">
        <v>1678</v>
      </c>
      <c r="K57" s="3127" t="s">
        <v>2362</v>
      </c>
      <c r="L57" s="1910">
        <f ca="1">IF(L49&lt;J52,"——",L49-J52)</f>
        <v>34.49</v>
      </c>
      <c r="O57" s="2397" t="s">
        <v>2375</v>
      </c>
      <c r="P57" s="2398" t="s">
        <v>2376</v>
      </c>
      <c r="Q57" s="2399" t="s">
        <v>2377</v>
      </c>
      <c r="R57" s="2398" t="s">
        <v>2378</v>
      </c>
    </row>
    <row r="58" spans="1:18" s="2061" customFormat="1" ht="29.25" thickBot="1">
      <c r="A58" s="2098"/>
      <c r="B58" s="2099"/>
      <c r="C58" s="2099"/>
      <c r="I58" s="3169" t="s">
        <v>2358</v>
      </c>
      <c r="J58" s="3170" t="str">
        <f ca="1">IF(OR(M48="住宅",J52&lt;L49,J57="是"),"——",J52-L49)</f>
        <v>——</v>
      </c>
      <c r="K58" s="3127" t="s">
        <v>2363</v>
      </c>
      <c r="L58" s="1910">
        <f ca="1">IF(L49&lt;J52,"——",IF(L56="比较法",L50,IF(L56="基准地价",L51,L52)))</f>
        <v>66</v>
      </c>
      <c r="O58" s="2400" t="s">
        <v>2379</v>
      </c>
      <c r="P58" s="2401" t="s">
        <v>2405</v>
      </c>
      <c r="Q58" s="2402">
        <f ca="1">C41+J31</f>
        <v>0</v>
      </c>
      <c r="R58" s="2401" t="s">
        <v>2380</v>
      </c>
    </row>
    <row r="59" spans="1:18" s="2061" customFormat="1" ht="29.25" thickBot="1">
      <c r="A59" s="2098"/>
      <c r="B59" s="2099"/>
      <c r="C59" s="2099"/>
      <c r="I59" s="3169" t="s">
        <v>2359</v>
      </c>
      <c r="J59" s="3103" t="e">
        <f ca="1">IF(J56&lt;0.4,0.4,J56)</f>
        <v>#VALUE!</v>
      </c>
      <c r="K59" s="3127" t="s">
        <v>2364</v>
      </c>
      <c r="L59" s="1910">
        <f ca="1">IF(ISERROR(POWER(1+L53,L48-L49)*(POWER(1+L53,L49)-1)/(POWER(1+L53,L48)-1)),0,POWER(1+L53,L48-L49)*(POWER(1+L53,L49)-1)/(POWER(1+L53,L48)-1))</f>
        <v>0</v>
      </c>
      <c r="O59" s="2400" t="s">
        <v>2381</v>
      </c>
      <c r="P59" s="2401" t="s">
        <v>2412</v>
      </c>
      <c r="Q59" s="2402" t="e">
        <f ca="1">L61</f>
        <v>#DIV/0!</v>
      </c>
      <c r="R59" s="2405" t="s">
        <v>2414</v>
      </c>
    </row>
    <row r="60" spans="1:18" s="2061" customFormat="1" ht="29.25" thickBot="1">
      <c r="A60" s="2098"/>
      <c r="B60" s="2099"/>
      <c r="C60" s="2099"/>
      <c r="I60" s="3169" t="s">
        <v>2360</v>
      </c>
      <c r="J60" s="3170" t="str">
        <f ca="1">IF(OR(M48="住宅",J52&lt;L49,J57="是"),"——",ROUND(C30*J59,0))</f>
        <v>——</v>
      </c>
      <c r="K60" s="3127" t="s">
        <v>2365</v>
      </c>
      <c r="L60" s="1910">
        <f ca="1">IF(ISERROR(POWER(1+L53,L48-J52)*(POWER(1+L53,J52)-1)/(POWER(1+L53,L48)-1)),0,POWER(1+L53,L48-J52)*(POWER(1+L53,J52)-1)/(POWER(1+L53,L48)-1))</f>
        <v>0</v>
      </c>
      <c r="O60" s="2403" t="s">
        <v>2383</v>
      </c>
      <c r="P60" s="2401" t="s">
        <v>2413</v>
      </c>
      <c r="Q60" s="2402">
        <f>IF(L56="比较法",L50,IF(L56="基准地价",L51,0))</f>
        <v>0</v>
      </c>
      <c r="R60" s="2401" t="s">
        <v>2380</v>
      </c>
    </row>
    <row r="61" spans="1:18" s="2061" customFormat="1" ht="15.75" thickBot="1">
      <c r="A61" s="2098"/>
      <c r="B61" s="2099"/>
      <c r="C61" s="2099"/>
      <c r="I61" s="3171" t="s">
        <v>2361</v>
      </c>
      <c r="J61" s="3172" t="str">
        <f ca="1">IF(OR(M48="住宅",J52&lt;L49,J57="是"),"0",ROUND(J60/(1+J53)^J54,0))</f>
        <v>0</v>
      </c>
      <c r="K61" s="3173" t="s">
        <v>2366</v>
      </c>
      <c r="L61" s="3172" t="e">
        <f ca="1">IF(OR(M48="住宅",L49&lt;J52),0,ROUND(L58*(L59/L60-1),0))</f>
        <v>#DIV/0!</v>
      </c>
      <c r="O61" s="2403" t="s">
        <v>2384</v>
      </c>
      <c r="P61" s="2401" t="s">
        <v>2393</v>
      </c>
      <c r="Q61" s="2404">
        <f>L53</f>
        <v>0</v>
      </c>
      <c r="R61" s="2405"/>
    </row>
    <row r="62" spans="1:18" s="2061" customFormat="1" ht="20.25" thickBot="1">
      <c r="A62" s="2098"/>
      <c r="B62" s="2099"/>
      <c r="C62" s="2099"/>
      <c r="K62" s="2088"/>
      <c r="O62" s="2403" t="s">
        <v>2386</v>
      </c>
      <c r="P62" s="2401" t="s">
        <v>2394</v>
      </c>
      <c r="Q62" s="2402">
        <f ca="1">L59</f>
        <v>0</v>
      </c>
      <c r="R62" s="2405" t="s">
        <v>2395</v>
      </c>
    </row>
    <row r="63" spans="1:18" s="2061" customFormat="1" ht="20.25" thickBot="1">
      <c r="A63" s="2098"/>
      <c r="B63" s="2099"/>
      <c r="C63" s="2099"/>
      <c r="I63" s="3174" t="s">
        <v>2367</v>
      </c>
      <c r="J63" s="3175" t="s">
        <v>2368</v>
      </c>
      <c r="K63" s="3175" t="s">
        <v>2369</v>
      </c>
      <c r="L63" s="3175" t="s">
        <v>2350</v>
      </c>
      <c r="M63" s="3176" t="s">
        <v>2940</v>
      </c>
      <c r="O63" s="2403" t="s">
        <v>2388</v>
      </c>
      <c r="P63" s="2401" t="s">
        <v>2396</v>
      </c>
      <c r="Q63" s="2402">
        <f ca="1">L60</f>
        <v>0</v>
      </c>
      <c r="R63" s="2405" t="s">
        <v>2397</v>
      </c>
    </row>
    <row r="64" spans="1:18" s="2061" customFormat="1" ht="15.75" thickBot="1">
      <c r="A64" s="2098"/>
      <c r="B64" s="2099"/>
      <c r="C64" s="2099"/>
      <c r="I64" s="3174" t="s">
        <v>2370</v>
      </c>
      <c r="J64" s="3175">
        <v>70</v>
      </c>
      <c r="K64" s="3175">
        <v>50</v>
      </c>
      <c r="L64" s="3175">
        <v>80</v>
      </c>
      <c r="M64" s="3177">
        <v>0.02</v>
      </c>
      <c r="O64" s="2400" t="s">
        <v>2391</v>
      </c>
      <c r="P64" s="2401" t="s">
        <v>2408</v>
      </c>
      <c r="Q64" s="2402" t="e">
        <f ca="1">Q58+Q59</f>
        <v>#DIV/0!</v>
      </c>
      <c r="R64" s="2405" t="s">
        <v>2392</v>
      </c>
    </row>
    <row r="65" spans="1:18" s="2061" customFormat="1" ht="16.5" thickBot="1">
      <c r="A65" s="2098"/>
      <c r="B65" s="2099"/>
      <c r="C65" s="2099"/>
      <c r="I65" s="3174" t="s">
        <v>2371</v>
      </c>
      <c r="J65" s="3175">
        <v>50</v>
      </c>
      <c r="K65" s="3175">
        <v>35</v>
      </c>
      <c r="L65" s="3175">
        <v>60</v>
      </c>
      <c r="M65" s="846">
        <v>0</v>
      </c>
      <c r="O65" s="2406" t="s">
        <v>2415</v>
      </c>
      <c r="P65" s="1593"/>
      <c r="Q65" s="1605"/>
      <c r="R65" s="1593"/>
    </row>
    <row r="66" spans="1:18" s="2061" customFormat="1" ht="15.75" thickBot="1">
      <c r="A66" s="2098"/>
      <c r="B66" s="2099"/>
      <c r="C66" s="2099"/>
      <c r="I66" s="3174" t="s">
        <v>2372</v>
      </c>
      <c r="J66" s="3175">
        <v>40</v>
      </c>
      <c r="K66" s="3175">
        <v>30</v>
      </c>
      <c r="L66" s="3175">
        <v>50</v>
      </c>
      <c r="M66" s="3177">
        <v>0.02</v>
      </c>
      <c r="O66" s="2397" t="s">
        <v>2375</v>
      </c>
      <c r="P66" s="2398" t="s">
        <v>2376</v>
      </c>
      <c r="Q66" s="2399" t="s">
        <v>2377</v>
      </c>
      <c r="R66" s="2398" t="s">
        <v>2378</v>
      </c>
    </row>
    <row r="67" spans="1:18" s="2061" customFormat="1" ht="15.75" thickBot="1">
      <c r="A67" s="2098"/>
      <c r="B67" s="2099"/>
      <c r="C67" s="2099"/>
      <c r="K67" s="2088"/>
      <c r="O67" s="2400" t="s">
        <v>2379</v>
      </c>
      <c r="P67" s="2401" t="s">
        <v>2405</v>
      </c>
      <c r="Q67" s="2402">
        <f ca="1">C41+J31</f>
        <v>0</v>
      </c>
      <c r="R67" s="2401" t="s">
        <v>2380</v>
      </c>
    </row>
    <row r="68" spans="1:18" s="2061" customFormat="1" ht="20.25" thickBot="1">
      <c r="A68" s="2098"/>
      <c r="B68" s="2099"/>
      <c r="C68" s="2099"/>
      <c r="K68" s="2088"/>
      <c r="O68" s="2400" t="s">
        <v>2381</v>
      </c>
      <c r="P68" s="2401" t="s">
        <v>2412</v>
      </c>
      <c r="Q68" s="2402" t="e">
        <f ca="1">L61</f>
        <v>#DIV/0!</v>
      </c>
      <c r="R68" s="2405" t="s">
        <v>2414</v>
      </c>
    </row>
    <row r="69" spans="1:18" s="2061" customFormat="1" ht="21.75" thickBot="1">
      <c r="A69" s="2098"/>
      <c r="B69" s="2099"/>
      <c r="C69" s="2099"/>
      <c r="K69" s="2088"/>
      <c r="O69" s="2403" t="s">
        <v>2383</v>
      </c>
      <c r="P69" s="2401" t="s">
        <v>2413</v>
      </c>
      <c r="Q69" s="2407">
        <f ca="1">L52</f>
        <v>66</v>
      </c>
      <c r="R69" s="2408" t="s">
        <v>2416</v>
      </c>
    </row>
    <row r="70" spans="1:18" s="2061" customFormat="1" ht="20.25" thickBot="1">
      <c r="A70" s="2098"/>
      <c r="B70" s="2099"/>
      <c r="C70" s="2099"/>
      <c r="K70" s="2088"/>
      <c r="O70" s="2403" t="s">
        <v>2384</v>
      </c>
      <c r="P70" s="2409" t="s">
        <v>2398</v>
      </c>
      <c r="Q70" s="2402">
        <f ca="1">ROUND(Q71-Q72*Q73,0)</f>
        <v>130</v>
      </c>
      <c r="R70" s="2405"/>
    </row>
    <row r="71" spans="1:18" s="2061" customFormat="1" ht="15.75" thickBot="1">
      <c r="A71" s="2098"/>
      <c r="B71" s="2099"/>
      <c r="C71" s="2099"/>
      <c r="K71" s="2088"/>
      <c r="O71" s="2403" t="s">
        <v>2399</v>
      </c>
      <c r="P71" s="2409" t="s">
        <v>2400</v>
      </c>
      <c r="Q71" s="2402">
        <f ca="1">C42</f>
        <v>316</v>
      </c>
      <c r="R71" s="2401" t="s">
        <v>2380</v>
      </c>
    </row>
    <row r="72" spans="1:18" s="2061" customFormat="1" ht="15.75" thickBot="1">
      <c r="A72" s="2098"/>
      <c r="B72" s="2099"/>
      <c r="C72" s="2099"/>
      <c r="K72" s="2088"/>
      <c r="O72" s="2403" t="s">
        <v>2401</v>
      </c>
      <c r="P72" s="2409" t="s">
        <v>2402</v>
      </c>
      <c r="Q72" s="2402">
        <f ca="1">C15</f>
        <v>2190</v>
      </c>
      <c r="R72" s="2401" t="s">
        <v>2380</v>
      </c>
    </row>
    <row r="73" spans="1:18" s="2061" customFormat="1" ht="15.75" thickBot="1">
      <c r="A73" s="2098"/>
      <c r="B73" s="2099"/>
      <c r="C73" s="2099"/>
      <c r="K73" s="2088"/>
      <c r="O73" s="2403" t="s">
        <v>2403</v>
      </c>
      <c r="P73" s="2409" t="s">
        <v>2404</v>
      </c>
      <c r="Q73" s="2404">
        <f ca="1">F43</f>
        <v>8.5000000000000006E-2</v>
      </c>
      <c r="R73" s="2405"/>
    </row>
    <row r="74" spans="1:18" s="2061" customFormat="1" ht="15.75" thickBot="1">
      <c r="A74" s="2098"/>
      <c r="B74" s="2099"/>
      <c r="C74" s="2099"/>
      <c r="K74" s="2088"/>
      <c r="O74" s="2403" t="s">
        <v>2386</v>
      </c>
      <c r="P74" s="2401" t="s">
        <v>2393</v>
      </c>
      <c r="Q74" s="2404">
        <f>L53</f>
        <v>0</v>
      </c>
      <c r="R74" s="2405"/>
    </row>
    <row r="75" spans="1:18" s="2061" customFormat="1" ht="20.25" thickBot="1">
      <c r="A75" s="2098"/>
      <c r="B75" s="2099"/>
      <c r="C75" s="2099"/>
      <c r="K75" s="2088"/>
      <c r="O75" s="2403" t="s">
        <v>2388</v>
      </c>
      <c r="P75" s="2401" t="s">
        <v>2394</v>
      </c>
      <c r="Q75" s="2402">
        <f ca="1">L59</f>
        <v>0</v>
      </c>
      <c r="R75" s="2405" t="s">
        <v>2395</v>
      </c>
    </row>
    <row r="76" spans="1:18" s="2061" customFormat="1" ht="20.25" thickBot="1">
      <c r="A76" s="2098"/>
      <c r="B76" s="2099"/>
      <c r="C76" s="2099"/>
      <c r="K76" s="2088"/>
      <c r="O76" s="2403" t="s">
        <v>2417</v>
      </c>
      <c r="P76" s="2401" t="s">
        <v>2396</v>
      </c>
      <c r="Q76" s="2402">
        <f ca="1">L60</f>
        <v>0</v>
      </c>
      <c r="R76" s="2405" t="s">
        <v>2397</v>
      </c>
    </row>
    <row r="77" spans="1:18" s="2061" customFormat="1" ht="15.75" thickBot="1">
      <c r="A77" s="2098"/>
      <c r="B77" s="2099"/>
      <c r="C77" s="2099"/>
      <c r="K77" s="2088"/>
      <c r="O77" s="2400" t="s">
        <v>2391</v>
      </c>
      <c r="P77" s="2401" t="s">
        <v>2408</v>
      </c>
      <c r="Q77" s="2402" t="e">
        <f ca="1">Q67+Q68</f>
        <v>#DIV/0!</v>
      </c>
      <c r="R77" s="2405"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1" t="s">
        <v>2574</v>
      </c>
      <c r="C1" s="3471"/>
      <c r="D1" s="3471"/>
      <c r="E1" s="3471"/>
      <c r="F1" s="3471"/>
      <c r="G1" s="3470" t="s">
        <v>2575</v>
      </c>
      <c r="H1" s="3470"/>
      <c r="I1" s="3470"/>
      <c r="J1" s="3470"/>
      <c r="K1" s="3470"/>
      <c r="L1" s="3470"/>
      <c r="N1" s="3470" t="s">
        <v>2576</v>
      </c>
      <c r="O1" s="3470"/>
      <c r="P1" s="3470"/>
      <c r="Q1" s="3470"/>
      <c r="R1" s="2656"/>
      <c r="S1" s="3470" t="s">
        <v>2577</v>
      </c>
      <c r="T1" s="3470"/>
      <c r="U1" s="3470"/>
      <c r="V1" s="3470"/>
      <c r="X1" s="3469" t="s">
        <v>2637</v>
      </c>
      <c r="Y1" s="3470"/>
      <c r="Z1" s="3470"/>
      <c r="AA1" s="3470"/>
      <c r="AB1" s="3470"/>
      <c r="AD1" s="3469" t="s">
        <v>2641</v>
      </c>
      <c r="AE1" s="3470"/>
      <c r="AF1" s="3470"/>
      <c r="AG1" s="3470"/>
      <c r="AH1" s="3470"/>
    </row>
    <row r="2" spans="1:34" s="2758" customFormat="1" ht="14.25" thickBot="1">
      <c r="B2" s="2766" t="s">
        <v>2578</v>
      </c>
      <c r="C2" s="2766" t="s">
        <v>2639</v>
      </c>
      <c r="D2" s="2759" t="s">
        <v>1644</v>
      </c>
      <c r="E2" s="2759" t="s">
        <v>1950</v>
      </c>
      <c r="F2" s="2766" t="s">
        <v>2640</v>
      </c>
      <c r="G2" s="2762"/>
      <c r="H2" s="2761"/>
      <c r="I2" s="2766" t="s">
        <v>2954</v>
      </c>
      <c r="J2" s="2759" t="s">
        <v>2956</v>
      </c>
      <c r="K2" s="2759" t="s">
        <v>2957</v>
      </c>
      <c r="L2" s="2766" t="s">
        <v>2958</v>
      </c>
      <c r="N2" s="2766" t="s">
        <v>2578</v>
      </c>
      <c r="O2" s="2759" t="s">
        <v>2955</v>
      </c>
      <c r="P2" s="2759" t="s">
        <v>1950</v>
      </c>
      <c r="Q2" s="2766" t="s">
        <v>2640</v>
      </c>
      <c r="R2" s="2760"/>
      <c r="S2" s="2766" t="s">
        <v>2578</v>
      </c>
      <c r="T2" s="2759" t="s">
        <v>2955</v>
      </c>
      <c r="U2" s="2759" t="s">
        <v>1950</v>
      </c>
      <c r="V2" s="2766" t="s">
        <v>2640</v>
      </c>
      <c r="X2" s="2766" t="s">
        <v>2578</v>
      </c>
      <c r="Y2" s="2766" t="s">
        <v>2639</v>
      </c>
      <c r="Z2" s="2759" t="s">
        <v>1644</v>
      </c>
      <c r="AA2" s="2759" t="s">
        <v>1950</v>
      </c>
      <c r="AB2" s="2766" t="s">
        <v>2640</v>
      </c>
      <c r="AD2" s="2766" t="s">
        <v>2578</v>
      </c>
      <c r="AE2" s="2766" t="s">
        <v>2639</v>
      </c>
      <c r="AF2" s="2759" t="s">
        <v>1644</v>
      </c>
      <c r="AG2" s="2759" t="s">
        <v>1950</v>
      </c>
      <c r="AH2" s="2766" t="s">
        <v>2640</v>
      </c>
    </row>
    <row r="3" spans="1:34" s="3135" customFormat="1" ht="14.25">
      <c r="A3" s="3147" t="s">
        <v>2966</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5">
        <v>4</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2967</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4"/>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4"/>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4"/>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49">
        <v>439</v>
      </c>
      <c r="C9" s="3149">
        <v>327</v>
      </c>
      <c r="D9" s="3149">
        <f t="shared" si="33"/>
        <v>327</v>
      </c>
      <c r="E9" s="3149">
        <v>627</v>
      </c>
      <c r="F9" s="3150">
        <v>283</v>
      </c>
      <c r="G9" s="3132">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4"/>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2579</v>
      </c>
      <c r="B11" s="2671">
        <f t="shared" si="45"/>
        <v>419.31181600000002</v>
      </c>
      <c r="C11" s="2671">
        <f t="shared" si="45"/>
        <v>313.95436800000004</v>
      </c>
      <c r="D11" s="2671">
        <f t="shared" si="33"/>
        <v>313.95436800000004</v>
      </c>
      <c r="E11" s="2671">
        <f t="shared" si="46"/>
        <v>596.63028431999999</v>
      </c>
      <c r="F11" s="2671">
        <f t="shared" si="46"/>
        <v>274.74220703999998</v>
      </c>
      <c r="G11" s="3133"/>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2580</v>
      </c>
      <c r="B12" s="2671">
        <f t="shared" si="45"/>
        <v>405.524</v>
      </c>
      <c r="C12" s="2671">
        <f t="shared" si="45"/>
        <v>307.79840000000002</v>
      </c>
      <c r="D12" s="2671">
        <f t="shared" si="33"/>
        <v>307.79840000000002</v>
      </c>
      <c r="E12" s="2671">
        <f t="shared" si="46"/>
        <v>574.67759999999998</v>
      </c>
      <c r="F12" s="2671">
        <f t="shared" si="46"/>
        <v>270.20280000000002</v>
      </c>
      <c r="G12" s="3134"/>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970</v>
      </c>
      <c r="B13" s="2663">
        <v>392</v>
      </c>
      <c r="C13" s="2663">
        <v>302</v>
      </c>
      <c r="D13" s="2663">
        <f t="shared" si="33"/>
        <v>302</v>
      </c>
      <c r="E13" s="2663">
        <v>553</v>
      </c>
      <c r="F13" s="2664">
        <v>266</v>
      </c>
      <c r="G13" s="3468">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969</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6"/>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959</v>
      </c>
      <c r="B15" s="2671">
        <f t="shared" si="54"/>
        <v>360.06949782209392</v>
      </c>
      <c r="C15" s="2671">
        <f t="shared" si="54"/>
        <v>289.84672674747821</v>
      </c>
      <c r="D15" s="2671">
        <f t="shared" si="55"/>
        <v>289.84672674747821</v>
      </c>
      <c r="E15" s="2671">
        <f t="shared" si="56"/>
        <v>501.06543001181495</v>
      </c>
      <c r="F15" s="2671">
        <f t="shared" si="56"/>
        <v>256.82882500744967</v>
      </c>
      <c r="G15" s="3466"/>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968</v>
      </c>
      <c r="B16" s="2671">
        <f t="shared" si="54"/>
        <v>346.720748986128</v>
      </c>
      <c r="C16" s="2671">
        <f t="shared" si="54"/>
        <v>284.30282172386285</v>
      </c>
      <c r="D16" s="2671">
        <f t="shared" si="55"/>
        <v>284.30282172386285</v>
      </c>
      <c r="E16" s="2671">
        <f t="shared" si="56"/>
        <v>479.58023546306947</v>
      </c>
      <c r="F16" s="2671">
        <f t="shared" si="56"/>
        <v>253.25788877571213</v>
      </c>
      <c r="G16" s="3467"/>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967</v>
      </c>
      <c r="B17" s="2663">
        <v>333</v>
      </c>
      <c r="C17" s="2663">
        <v>277</v>
      </c>
      <c r="D17" s="2663">
        <f t="shared" si="55"/>
        <v>277</v>
      </c>
      <c r="E17" s="2663">
        <v>459</v>
      </c>
      <c r="F17" s="2664">
        <v>249</v>
      </c>
      <c r="G17" s="3465">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966</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6"/>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965</v>
      </c>
      <c r="B19" s="2671">
        <f t="shared" si="58"/>
        <v>322.34053690220776</v>
      </c>
      <c r="C19" s="2671">
        <f t="shared" si="58"/>
        <v>271.46160770422546</v>
      </c>
      <c r="D19" s="2671">
        <f t="shared" si="55"/>
        <v>271.46160770422546</v>
      </c>
      <c r="E19" s="2671">
        <f t="shared" si="59"/>
        <v>442.69434542172456</v>
      </c>
      <c r="F19" s="2671">
        <f t="shared" si="59"/>
        <v>241.34030753190925</v>
      </c>
      <c r="G19" s="3466"/>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964</v>
      </c>
      <c r="B20" s="2671">
        <f t="shared" si="58"/>
        <v>319.87748030386797</v>
      </c>
      <c r="C20" s="2671">
        <f t="shared" si="58"/>
        <v>269.60135833173649</v>
      </c>
      <c r="D20" s="2671">
        <f t="shared" si="55"/>
        <v>269.60135833173649</v>
      </c>
      <c r="E20" s="2671">
        <f t="shared" si="59"/>
        <v>439.18089823583784</v>
      </c>
      <c r="F20" s="2671">
        <f t="shared" si="59"/>
        <v>239.23503918706311</v>
      </c>
      <c r="G20" s="3467"/>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963</v>
      </c>
      <c r="B21" s="2685">
        <v>318</v>
      </c>
      <c r="C21" s="2685">
        <v>268</v>
      </c>
      <c r="D21" s="2685">
        <f t="shared" si="55"/>
        <v>268</v>
      </c>
      <c r="E21" s="2685">
        <v>437</v>
      </c>
      <c r="F21" s="2686">
        <v>237</v>
      </c>
      <c r="G21" s="3465">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962</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6"/>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961</v>
      </c>
      <c r="B23" s="2671">
        <f t="shared" si="60"/>
        <v>314.72141172386546</v>
      </c>
      <c r="C23" s="2671">
        <f t="shared" si="60"/>
        <v>263.03901319069001</v>
      </c>
      <c r="D23" s="2671">
        <f t="shared" si="55"/>
        <v>263.03901319069001</v>
      </c>
      <c r="E23" s="2671">
        <f t="shared" si="61"/>
        <v>433.65745506782821</v>
      </c>
      <c r="F23" s="2671">
        <f t="shared" si="61"/>
        <v>233.23005080045735</v>
      </c>
      <c r="G23" s="3466"/>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960</v>
      </c>
      <c r="B24" s="2690">
        <f t="shared" si="60"/>
        <v>307.34512863658733</v>
      </c>
      <c r="C24" s="2690">
        <f t="shared" si="60"/>
        <v>257.80556031626975</v>
      </c>
      <c r="D24" s="2690">
        <f t="shared" si="55"/>
        <v>257.80556031626975</v>
      </c>
      <c r="E24" s="2690">
        <f t="shared" si="61"/>
        <v>422.70928459677179</v>
      </c>
      <c r="F24" s="2690">
        <f t="shared" si="61"/>
        <v>229.73803270336617</v>
      </c>
      <c r="G24" s="3467"/>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2638</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2581</v>
      </c>
      <c r="B25" s="2663">
        <v>299</v>
      </c>
      <c r="C25" s="2663">
        <v>252</v>
      </c>
      <c r="D25" s="2663">
        <f t="shared" si="55"/>
        <v>252</v>
      </c>
      <c r="E25" s="2663">
        <v>409</v>
      </c>
      <c r="F25" s="2664">
        <v>227</v>
      </c>
      <c r="G25" s="3472">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2582</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73"/>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2583</v>
      </c>
      <c r="B27" s="2671">
        <f t="shared" si="64"/>
        <v>288.2649053828776</v>
      </c>
      <c r="C27" s="2671">
        <f t="shared" si="64"/>
        <v>243.64564425013293</v>
      </c>
      <c r="D27" s="2671">
        <f t="shared" si="55"/>
        <v>243.64564425013293</v>
      </c>
      <c r="E27" s="2671">
        <f t="shared" si="65"/>
        <v>393.31080825986544</v>
      </c>
      <c r="F27" s="2671">
        <f t="shared" si="65"/>
        <v>223.07903790551154</v>
      </c>
      <c r="G27" s="3473"/>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2584</v>
      </c>
      <c r="B28" s="2671">
        <f t="shared" si="64"/>
        <v>282.50186729015837</v>
      </c>
      <c r="C28" s="2671">
        <f t="shared" si="64"/>
        <v>238.09796174155468</v>
      </c>
      <c r="D28" s="2671">
        <f t="shared" si="55"/>
        <v>238.09796174155468</v>
      </c>
      <c r="E28" s="2671">
        <f t="shared" si="65"/>
        <v>385.33438646014054</v>
      </c>
      <c r="F28" s="2671">
        <f t="shared" si="65"/>
        <v>221.55034055567739</v>
      </c>
      <c r="G28" s="3474"/>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2585</v>
      </c>
      <c r="B29" s="2701">
        <v>278</v>
      </c>
      <c r="C29" s="2701">
        <v>234</v>
      </c>
      <c r="D29" s="2701">
        <f t="shared" si="55"/>
        <v>234</v>
      </c>
      <c r="E29" s="2701">
        <v>379</v>
      </c>
      <c r="F29" s="2702">
        <v>220</v>
      </c>
      <c r="G29" s="3465">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2586</v>
      </c>
      <c r="B30" s="2671">
        <f>B29/(1+N29)</f>
        <v>275.49301357645425</v>
      </c>
      <c r="C30" s="2671">
        <f>C29/(1+O29)</f>
        <v>232.41954707985698</v>
      </c>
      <c r="D30" s="2671">
        <f t="shared" si="55"/>
        <v>232.41954707985698</v>
      </c>
      <c r="E30" s="2671">
        <f t="shared" ref="E30:F32" si="66">E29/(1+P29)</f>
        <v>375.32184591008121</v>
      </c>
      <c r="F30" s="2671">
        <f t="shared" si="66"/>
        <v>218.03766105054513</v>
      </c>
      <c r="G30" s="3466"/>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2587</v>
      </c>
      <c r="B31" s="2671">
        <f>B30/(1+N30)</f>
        <v>275.24529281292263</v>
      </c>
      <c r="C31" s="2671">
        <f>C30/(1+O30)</f>
        <v>231.74747938962707</v>
      </c>
      <c r="D31" s="2671">
        <f t="shared" si="55"/>
        <v>231.74747938962707</v>
      </c>
      <c r="E31" s="2671">
        <f t="shared" si="66"/>
        <v>375.35938184826603</v>
      </c>
      <c r="F31" s="2671">
        <f t="shared" si="66"/>
        <v>216.78033510692495</v>
      </c>
      <c r="G31" s="3466"/>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2588</v>
      </c>
      <c r="B32" s="2671">
        <f>B31/(1+N31)</f>
        <v>275.19025476197027</v>
      </c>
      <c r="C32" s="2703">
        <v>232</v>
      </c>
      <c r="D32" s="2703">
        <f t="shared" si="55"/>
        <v>232</v>
      </c>
      <c r="E32" s="2671">
        <f t="shared" si="66"/>
        <v>375.65990977608692</v>
      </c>
      <c r="F32" s="2671">
        <f t="shared" si="66"/>
        <v>214.12518283971252</v>
      </c>
      <c r="G32" s="3467"/>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2589</v>
      </c>
      <c r="B33" s="2663">
        <v>275</v>
      </c>
      <c r="C33" s="2663">
        <v>232</v>
      </c>
      <c r="D33" s="2663">
        <f t="shared" si="55"/>
        <v>232</v>
      </c>
      <c r="E33" s="2663">
        <v>376</v>
      </c>
      <c r="F33" s="2664">
        <v>213</v>
      </c>
      <c r="G33" s="3465">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2590</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6">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2591</v>
      </c>
      <c r="B35" s="2671">
        <f t="shared" si="67"/>
        <v>275.19335084830601</v>
      </c>
      <c r="C35" s="2671">
        <f t="shared" si="67"/>
        <v>230.18088050139744</v>
      </c>
      <c r="D35" s="2671">
        <f t="shared" si="55"/>
        <v>230.18088050139744</v>
      </c>
      <c r="E35" s="2671">
        <f t="shared" si="68"/>
        <v>377.58482925212331</v>
      </c>
      <c r="F35" s="2671">
        <f t="shared" si="68"/>
        <v>210.90687997847917</v>
      </c>
      <c r="G35" s="3466">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2592</v>
      </c>
      <c r="B36" s="2671">
        <f t="shared" si="67"/>
        <v>276.29854502841971</v>
      </c>
      <c r="C36" s="2671">
        <f t="shared" si="67"/>
        <v>229.79023709833027</v>
      </c>
      <c r="D36" s="2671">
        <f t="shared" si="55"/>
        <v>229.79023709833027</v>
      </c>
      <c r="E36" s="2671">
        <f t="shared" si="68"/>
        <v>379.78759731655936</v>
      </c>
      <c r="F36" s="2671">
        <f t="shared" si="68"/>
        <v>211.32953905659235</v>
      </c>
      <c r="G36" s="3467">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2593</v>
      </c>
      <c r="B37" s="2663">
        <v>269</v>
      </c>
      <c r="C37" s="2663">
        <v>221</v>
      </c>
      <c r="D37" s="2663">
        <f t="shared" si="55"/>
        <v>221</v>
      </c>
      <c r="E37" s="2663">
        <v>373</v>
      </c>
      <c r="F37" s="2664">
        <v>196</v>
      </c>
      <c r="G37" s="3465">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2594</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6">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2595</v>
      </c>
      <c r="B39" s="2671">
        <f t="shared" si="69"/>
        <v>242.95398227588385</v>
      </c>
      <c r="C39" s="2671">
        <f t="shared" si="69"/>
        <v>199.59137053614126</v>
      </c>
      <c r="D39" s="2671">
        <f t="shared" si="55"/>
        <v>199.59137053614126</v>
      </c>
      <c r="E39" s="2671">
        <f t="shared" si="70"/>
        <v>335.92189522342125</v>
      </c>
      <c r="F39" s="2671">
        <f t="shared" si="70"/>
        <v>183.10139991109489</v>
      </c>
      <c r="G39" s="3466">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2596</v>
      </c>
      <c r="B40" s="2671">
        <f t="shared" si="69"/>
        <v>232.06990378821649</v>
      </c>
      <c r="C40" s="2671">
        <f t="shared" si="69"/>
        <v>192.74878854286936</v>
      </c>
      <c r="D40" s="2671">
        <f t="shared" si="55"/>
        <v>192.74878854286936</v>
      </c>
      <c r="E40" s="2671">
        <f t="shared" si="70"/>
        <v>319.71247284992984</v>
      </c>
      <c r="F40" s="2671">
        <f t="shared" si="70"/>
        <v>175.67053622862409</v>
      </c>
      <c r="G40" s="3467">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2597</v>
      </c>
      <c r="B41" s="2663">
        <v>220</v>
      </c>
      <c r="C41" s="2663">
        <v>187</v>
      </c>
      <c r="D41" s="2663">
        <f t="shared" si="55"/>
        <v>187</v>
      </c>
      <c r="E41" s="2663">
        <v>301</v>
      </c>
      <c r="F41" s="2664">
        <v>168</v>
      </c>
      <c r="G41" s="3465">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2598</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6">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2599</v>
      </c>
      <c r="B43" s="2671">
        <f t="shared" si="71"/>
        <v>210.630522469011</v>
      </c>
      <c r="C43" s="2671">
        <f t="shared" si="71"/>
        <v>181.69567812247232</v>
      </c>
      <c r="D43" s="2671">
        <f t="shared" si="55"/>
        <v>181.69567812247232</v>
      </c>
      <c r="E43" s="2671">
        <f t="shared" si="72"/>
        <v>286.13517466736738</v>
      </c>
      <c r="F43" s="2671">
        <f t="shared" si="72"/>
        <v>165.47535084591149</v>
      </c>
      <c r="G43" s="3466">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2600</v>
      </c>
      <c r="B44" s="2671">
        <f t="shared" si="71"/>
        <v>208.83454537875372</v>
      </c>
      <c r="C44" s="2671">
        <f t="shared" si="71"/>
        <v>183.77230517090351</v>
      </c>
      <c r="D44" s="2671">
        <f t="shared" si="55"/>
        <v>183.77230517090351</v>
      </c>
      <c r="E44" s="2671">
        <f t="shared" si="72"/>
        <v>281.10342338870947</v>
      </c>
      <c r="F44" s="2671">
        <f t="shared" si="72"/>
        <v>168.97309388942256</v>
      </c>
      <c r="G44" s="3467">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2601</v>
      </c>
      <c r="B45" s="2701">
        <v>214</v>
      </c>
      <c r="C45" s="2701">
        <v>188</v>
      </c>
      <c r="D45" s="2701">
        <f t="shared" si="55"/>
        <v>188</v>
      </c>
      <c r="E45" s="2701">
        <v>289</v>
      </c>
      <c r="F45" s="2702">
        <v>166</v>
      </c>
      <c r="G45" s="3465">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2602</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6">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2603</v>
      </c>
      <c r="B47" s="2671">
        <f t="shared" si="73"/>
        <v>206.31694671589116</v>
      </c>
      <c r="C47" s="2671">
        <f t="shared" si="73"/>
        <v>183.61041121036101</v>
      </c>
      <c r="D47" s="2671">
        <f t="shared" si="55"/>
        <v>183.61041121036101</v>
      </c>
      <c r="E47" s="2671">
        <f t="shared" si="74"/>
        <v>276.66850301795557</v>
      </c>
      <c r="F47" s="2671">
        <f t="shared" si="74"/>
        <v>165.1360938278614</v>
      </c>
      <c r="G47" s="3466">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2604</v>
      </c>
      <c r="B48" s="2704">
        <f t="shared" si="73"/>
        <v>196.62341248059772</v>
      </c>
      <c r="C48" s="2704">
        <f t="shared" si="73"/>
        <v>170.99125648199012</v>
      </c>
      <c r="D48" s="2704">
        <f t="shared" si="55"/>
        <v>170.99125648199012</v>
      </c>
      <c r="E48" s="2704">
        <f t="shared" si="74"/>
        <v>266.07857570490052</v>
      </c>
      <c r="F48" s="2704">
        <f t="shared" si="74"/>
        <v>154.53499328828505</v>
      </c>
      <c r="G48" s="3467">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2605</v>
      </c>
      <c r="B49" s="2663">
        <v>188</v>
      </c>
      <c r="C49" s="2663">
        <v>165</v>
      </c>
      <c r="D49" s="2663">
        <f t="shared" si="55"/>
        <v>165</v>
      </c>
      <c r="E49" s="2663">
        <v>254</v>
      </c>
      <c r="F49" s="2664">
        <v>148</v>
      </c>
      <c r="G49" s="3465">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2606</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6">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2607</v>
      </c>
      <c r="B51" s="2671">
        <f t="shared" si="77"/>
        <v>168.82017748715555</v>
      </c>
      <c r="C51" s="2671">
        <f t="shared" si="77"/>
        <v>148.06267029972753</v>
      </c>
      <c r="D51" s="2671">
        <f t="shared" si="55"/>
        <v>148.06267029972753</v>
      </c>
      <c r="E51" s="2671">
        <f t="shared" si="78"/>
        <v>216.46288379323747</v>
      </c>
      <c r="F51" s="2671">
        <f t="shared" si="78"/>
        <v>134.23529411764704</v>
      </c>
      <c r="G51" s="3466">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2608</v>
      </c>
      <c r="B52" s="2671">
        <f t="shared" si="77"/>
        <v>163.84913591779542</v>
      </c>
      <c r="C52" s="2671">
        <f t="shared" si="77"/>
        <v>145.0283378746594</v>
      </c>
      <c r="D52" s="2671">
        <f t="shared" si="55"/>
        <v>145.0283378746594</v>
      </c>
      <c r="E52" s="2671">
        <f t="shared" si="78"/>
        <v>204.95180722891567</v>
      </c>
      <c r="F52" s="2671">
        <f t="shared" si="78"/>
        <v>125.95920303605313</v>
      </c>
      <c r="G52" s="3467">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2609</v>
      </c>
      <c r="B53" s="2685">
        <v>159</v>
      </c>
      <c r="C53" s="2685">
        <v>141</v>
      </c>
      <c r="D53" s="2685">
        <f t="shared" si="55"/>
        <v>141</v>
      </c>
      <c r="E53" s="2685">
        <v>195</v>
      </c>
      <c r="F53" s="2686">
        <v>122</v>
      </c>
      <c r="G53" s="3465">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2610</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6">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2611</v>
      </c>
      <c r="B55" s="2671">
        <f t="shared" si="81"/>
        <v>146.57412060301507</v>
      </c>
      <c r="C55" s="2671">
        <f t="shared" si="81"/>
        <v>136.46831955922866</v>
      </c>
      <c r="D55" s="2671">
        <f t="shared" si="55"/>
        <v>136.46831955922866</v>
      </c>
      <c r="E55" s="2671">
        <f t="shared" si="82"/>
        <v>166.73864894795128</v>
      </c>
      <c r="F55" s="2671">
        <f t="shared" si="82"/>
        <v>115.05882352941177</v>
      </c>
      <c r="G55" s="3466">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2612</v>
      </c>
      <c r="B56" s="2671">
        <f t="shared" si="81"/>
        <v>144.04145728643215</v>
      </c>
      <c r="C56" s="2671">
        <f t="shared" si="81"/>
        <v>136.12396694214877</v>
      </c>
      <c r="D56" s="2671">
        <f t="shared" si="55"/>
        <v>136.12396694214877</v>
      </c>
      <c r="E56" s="2671">
        <f t="shared" si="82"/>
        <v>158.32225913621264</v>
      </c>
      <c r="F56" s="2671">
        <f t="shared" si="82"/>
        <v>114.04278074866311</v>
      </c>
      <c r="G56" s="3467">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2613</v>
      </c>
      <c r="B57" s="2685">
        <v>138</v>
      </c>
      <c r="C57" s="2685">
        <v>131</v>
      </c>
      <c r="D57" s="2685">
        <f t="shared" si="55"/>
        <v>131</v>
      </c>
      <c r="E57" s="2685">
        <v>155</v>
      </c>
      <c r="F57" s="2686">
        <v>114</v>
      </c>
      <c r="G57" s="3465">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2614</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6">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2615</v>
      </c>
      <c r="B59" s="2671">
        <f t="shared" si="85"/>
        <v>124.29032258064517</v>
      </c>
      <c r="C59" s="2671">
        <f t="shared" si="85"/>
        <v>123.8968609865471</v>
      </c>
      <c r="D59" s="2671">
        <f t="shared" si="55"/>
        <v>123.8968609865471</v>
      </c>
      <c r="E59" s="2671">
        <f t="shared" si="86"/>
        <v>138.00507614213197</v>
      </c>
      <c r="F59" s="2671">
        <f t="shared" si="86"/>
        <v>107.96106557377048</v>
      </c>
      <c r="G59" s="3466">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2616</v>
      </c>
      <c r="B60" s="2671">
        <f t="shared" si="85"/>
        <v>122.57204301075269</v>
      </c>
      <c r="C60" s="2671">
        <f t="shared" si="85"/>
        <v>123.4932735426009</v>
      </c>
      <c r="D60" s="2671">
        <f t="shared" si="55"/>
        <v>123.4932735426009</v>
      </c>
      <c r="E60" s="2671">
        <f t="shared" si="86"/>
        <v>129.82233502538071</v>
      </c>
      <c r="F60" s="2671">
        <f t="shared" si="86"/>
        <v>107.39446721311475</v>
      </c>
      <c r="G60" s="3467">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2617</v>
      </c>
      <c r="B61" s="2701">
        <v>121</v>
      </c>
      <c r="C61" s="2701">
        <v>122</v>
      </c>
      <c r="D61" s="2701">
        <f t="shared" si="55"/>
        <v>122</v>
      </c>
      <c r="E61" s="2701">
        <v>124</v>
      </c>
      <c r="F61" s="2702">
        <v>107</v>
      </c>
      <c r="G61" s="3465">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2618</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6">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2619</v>
      </c>
      <c r="B63" s="2671">
        <f t="shared" si="89"/>
        <v>116.99099099099099</v>
      </c>
      <c r="C63" s="2671">
        <f t="shared" si="89"/>
        <v>118.84848484848486</v>
      </c>
      <c r="D63" s="2671">
        <f t="shared" si="55"/>
        <v>118.84848484848486</v>
      </c>
      <c r="E63" s="2671">
        <f t="shared" si="90"/>
        <v>117.60960960960961</v>
      </c>
      <c r="F63" s="2671">
        <f t="shared" si="90"/>
        <v>104</v>
      </c>
      <c r="G63" s="3466">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2620</v>
      </c>
      <c r="B64" s="2704">
        <f t="shared" si="89"/>
        <v>112.48648648648648</v>
      </c>
      <c r="C64" s="2704">
        <f t="shared" si="89"/>
        <v>115.21212121212122</v>
      </c>
      <c r="D64" s="2704">
        <f t="shared" si="55"/>
        <v>115.21212121212122</v>
      </c>
      <c r="E64" s="2704">
        <f t="shared" si="90"/>
        <v>110.4024024024024</v>
      </c>
      <c r="F64" s="2704">
        <f t="shared" si="90"/>
        <v>104</v>
      </c>
      <c r="G64" s="3467">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2621</v>
      </c>
      <c r="B65" s="2722">
        <v>111</v>
      </c>
      <c r="C65" s="2722">
        <v>114</v>
      </c>
      <c r="D65" s="2722">
        <f t="shared" si="55"/>
        <v>114</v>
      </c>
      <c r="E65" s="2722">
        <v>108</v>
      </c>
      <c r="F65" s="2723">
        <v>104</v>
      </c>
      <c r="G65" s="3465">
        <v>2003</v>
      </c>
      <c r="H65" s="2712">
        <v>4</v>
      </c>
      <c r="I65" s="2724"/>
      <c r="J65" s="2724"/>
      <c r="K65" s="2724"/>
      <c r="L65" s="2724"/>
      <c r="N65" s="2725"/>
      <c r="O65" s="2724"/>
      <c r="P65" s="2724"/>
      <c r="Q65" s="2724"/>
      <c r="S65" s="2725"/>
      <c r="T65" s="2724"/>
      <c r="U65" s="2724"/>
      <c r="V65" s="2724"/>
      <c r="X65" s="2716"/>
      <c r="Y65" s="2716"/>
      <c r="Z65" s="2716"/>
    </row>
    <row r="66" spans="1:26">
      <c r="A66" s="2657" t="s">
        <v>2622</v>
      </c>
      <c r="B66" s="2726">
        <f t="shared" ref="B66:C68" si="91">B67+(B$65-B$69)/4</f>
        <v>109.75</v>
      </c>
      <c r="C66" s="2726">
        <f t="shared" si="91"/>
        <v>112.25</v>
      </c>
      <c r="D66" s="2726">
        <f t="shared" si="55"/>
        <v>112.25</v>
      </c>
      <c r="E66" s="2726">
        <f t="shared" ref="E66:F68" si="92">E67+(E$65-E$69)/4</f>
        <v>107.25</v>
      </c>
      <c r="F66" s="2726">
        <f t="shared" si="92"/>
        <v>103.5</v>
      </c>
      <c r="G66" s="3466">
        <v>2003</v>
      </c>
      <c r="H66" s="2682">
        <v>3</v>
      </c>
      <c r="I66" s="2724"/>
      <c r="J66" s="2724"/>
      <c r="K66" s="2724"/>
      <c r="L66" s="2724"/>
      <c r="X66" s="2716"/>
      <c r="Y66" s="2716"/>
      <c r="Z66" s="2716"/>
    </row>
    <row r="67" spans="1:26">
      <c r="A67" s="2657" t="s">
        <v>2623</v>
      </c>
      <c r="B67" s="2726">
        <f t="shared" si="91"/>
        <v>108.5</v>
      </c>
      <c r="C67" s="2726">
        <f t="shared" si="91"/>
        <v>110.5</v>
      </c>
      <c r="D67" s="2726">
        <f t="shared" si="55"/>
        <v>110.5</v>
      </c>
      <c r="E67" s="2726">
        <f t="shared" si="92"/>
        <v>106.5</v>
      </c>
      <c r="F67" s="2726">
        <f t="shared" si="92"/>
        <v>103</v>
      </c>
      <c r="G67" s="3466">
        <v>2003</v>
      </c>
      <c r="H67" s="2662">
        <v>2</v>
      </c>
      <c r="I67" s="2724"/>
      <c r="J67" s="2724"/>
      <c r="K67" s="2724"/>
      <c r="L67" s="2724"/>
      <c r="X67" s="2716"/>
      <c r="Y67" s="2716"/>
      <c r="Z67" s="2716"/>
    </row>
    <row r="68" spans="1:26" ht="13.5" thickBot="1">
      <c r="A68" s="2657" t="s">
        <v>2624</v>
      </c>
      <c r="B68" s="2726">
        <f t="shared" si="91"/>
        <v>107.25</v>
      </c>
      <c r="C68" s="2726">
        <f t="shared" si="91"/>
        <v>108.75</v>
      </c>
      <c r="D68" s="2726">
        <f t="shared" si="55"/>
        <v>108.75</v>
      </c>
      <c r="E68" s="2726">
        <f t="shared" si="92"/>
        <v>105.75</v>
      </c>
      <c r="F68" s="2726">
        <f t="shared" si="92"/>
        <v>102.5</v>
      </c>
      <c r="G68" s="3467">
        <v>2003</v>
      </c>
      <c r="H68" s="2727">
        <v>1</v>
      </c>
      <c r="I68" s="2724"/>
      <c r="J68" s="2724"/>
      <c r="K68" s="2724"/>
      <c r="L68" s="2724"/>
      <c r="S68" s="2666"/>
      <c r="T68" s="2667"/>
      <c r="U68" s="2667"/>
      <c r="X68" s="2716"/>
      <c r="Y68" s="2716"/>
      <c r="Z68" s="2716"/>
    </row>
    <row r="69" spans="1:26" ht="13.5" thickBot="1">
      <c r="A69" s="2657" t="s">
        <v>2625</v>
      </c>
      <c r="B69" s="2728">
        <v>106</v>
      </c>
      <c r="C69" s="2728">
        <v>107</v>
      </c>
      <c r="D69" s="2728">
        <f t="shared" si="55"/>
        <v>107</v>
      </c>
      <c r="E69" s="2728">
        <v>105</v>
      </c>
      <c r="F69" s="2729">
        <v>102</v>
      </c>
      <c r="G69" s="3465">
        <v>2002</v>
      </c>
      <c r="H69" s="2677">
        <v>4</v>
      </c>
      <c r="I69" s="2724"/>
      <c r="J69" s="2724"/>
      <c r="K69" s="2724"/>
      <c r="L69" s="2724"/>
      <c r="N69" s="2725"/>
      <c r="O69" s="2724"/>
      <c r="P69" s="2724"/>
      <c r="Q69" s="2724"/>
      <c r="S69" s="2725"/>
      <c r="T69" s="2724"/>
      <c r="U69" s="2724"/>
      <c r="V69" s="2724"/>
      <c r="X69" s="2716"/>
      <c r="Y69" s="2716"/>
      <c r="Z69" s="2716"/>
    </row>
    <row r="70" spans="1:26">
      <c r="A70" s="2657" t="s">
        <v>2626</v>
      </c>
      <c r="B70" s="2726">
        <f t="shared" ref="B70:C72" si="93">B71+(B$69-B$73)/4</f>
        <v>105</v>
      </c>
      <c r="C70" s="2726">
        <f t="shared" si="93"/>
        <v>106</v>
      </c>
      <c r="D70" s="2726">
        <f t="shared" si="55"/>
        <v>106</v>
      </c>
      <c r="E70" s="2726">
        <f t="shared" ref="E70:F72" si="94">E71+(E$69-E$73)/4</f>
        <v>104.5</v>
      </c>
      <c r="F70" s="2726">
        <f t="shared" si="94"/>
        <v>101.5</v>
      </c>
      <c r="G70" s="3466">
        <v>2002</v>
      </c>
      <c r="H70" s="2682">
        <v>3</v>
      </c>
      <c r="I70" s="2724"/>
      <c r="J70" s="2724"/>
      <c r="K70" s="2724"/>
      <c r="L70" s="2724"/>
      <c r="X70" s="2716"/>
      <c r="Y70" s="2716"/>
      <c r="Z70" s="2716"/>
    </row>
    <row r="71" spans="1:26">
      <c r="A71" s="2657" t="s">
        <v>2627</v>
      </c>
      <c r="B71" s="2726">
        <f t="shared" si="93"/>
        <v>104</v>
      </c>
      <c r="C71" s="2726">
        <f t="shared" si="93"/>
        <v>105</v>
      </c>
      <c r="D71" s="2726">
        <f t="shared" si="55"/>
        <v>105</v>
      </c>
      <c r="E71" s="2726">
        <f t="shared" si="94"/>
        <v>104</v>
      </c>
      <c r="F71" s="2726">
        <f t="shared" si="94"/>
        <v>101</v>
      </c>
      <c r="G71" s="3466">
        <v>2002</v>
      </c>
      <c r="H71" s="2662">
        <v>2</v>
      </c>
      <c r="I71" s="2724"/>
      <c r="J71" s="2724"/>
      <c r="K71" s="2724"/>
      <c r="L71" s="2724"/>
      <c r="X71" s="2716"/>
      <c r="Y71" s="2716"/>
      <c r="Z71" s="2716"/>
    </row>
    <row r="72" spans="1:26" s="2693" customFormat="1" ht="13.5" thickBot="1">
      <c r="A72" s="2689" t="s">
        <v>2628</v>
      </c>
      <c r="B72" s="2730">
        <f t="shared" si="93"/>
        <v>103</v>
      </c>
      <c r="C72" s="2730">
        <f t="shared" si="93"/>
        <v>104</v>
      </c>
      <c r="D72" s="2730">
        <f t="shared" si="55"/>
        <v>104</v>
      </c>
      <c r="E72" s="2730">
        <f t="shared" si="94"/>
        <v>103.5</v>
      </c>
      <c r="F72" s="2730">
        <f t="shared" si="94"/>
        <v>100.5</v>
      </c>
      <c r="G72" s="3467">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2629</v>
      </c>
      <c r="G75" s="2740"/>
      <c r="N75" s="2740"/>
      <c r="S75" s="2740"/>
    </row>
    <row r="76" spans="1:26" s="2739" customFormat="1">
      <c r="A76" s="2739" t="s">
        <v>2630</v>
      </c>
      <c r="G76" s="2740"/>
      <c r="N76" s="2740"/>
      <c r="S76" s="2740"/>
    </row>
    <row r="77" spans="1:26" s="2739" customFormat="1">
      <c r="A77" s="2739" t="s">
        <v>2631</v>
      </c>
      <c r="G77" s="2740"/>
      <c r="I77" s="2741"/>
      <c r="J77" s="2741"/>
      <c r="K77" s="2741"/>
      <c r="L77" s="2741"/>
      <c r="N77" s="2742"/>
      <c r="O77" s="2741"/>
      <c r="P77" s="2741"/>
      <c r="Q77" s="2741"/>
      <c r="S77" s="2742"/>
      <c r="T77" s="2741"/>
      <c r="U77" s="2741"/>
      <c r="V77" s="2741"/>
    </row>
    <row r="78" spans="1:26" s="2739" customFormat="1">
      <c r="A78" s="2739" t="s">
        <v>2632</v>
      </c>
      <c r="G78" s="2740"/>
      <c r="N78" s="2740"/>
      <c r="S78" s="2740"/>
    </row>
    <row r="85" spans="7:22" ht="13.5" thickBot="1"/>
    <row r="86" spans="7:22">
      <c r="G86" s="2665"/>
      <c r="S86" s="2743" t="s">
        <v>2633</v>
      </c>
      <c r="T86" s="2744" t="s">
        <v>2634</v>
      </c>
      <c r="U86" s="2744" t="s">
        <v>2635</v>
      </c>
      <c r="V86" s="2744" t="s">
        <v>2636</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 sqref="E5:J6"/>
    </sheetView>
  </sheetViews>
  <sheetFormatPr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3237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595316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56440</v>
      </c>
      <c r="C3" s="852" t="s">
        <v>721</v>
      </c>
      <c r="D3" s="851">
        <f>SUMIF('数据-汇总表'!$C19:$C33,D1,'数据-汇总表'!$E19:$E33)</f>
        <v>105477.65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92" t="s">
        <v>521</v>
      </c>
      <c r="D4" s="3393"/>
      <c r="E4" s="3426" t="s">
        <v>522</v>
      </c>
      <c r="F4" s="3427"/>
      <c r="G4" s="3392" t="s">
        <v>523</v>
      </c>
      <c r="H4" s="3393"/>
      <c r="I4" s="3392" t="s">
        <v>524</v>
      </c>
      <c r="J4" s="3393"/>
      <c r="K4" s="853"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89" t="s">
        <v>523</v>
      </c>
      <c r="AC4" s="3389" t="s">
        <v>524</v>
      </c>
    </row>
    <row r="5" spans="1:29" ht="15">
      <c r="A5" s="515"/>
      <c r="B5" s="516"/>
      <c r="C5" s="3408" t="s">
        <v>2925</v>
      </c>
      <c r="D5" s="3409"/>
      <c r="E5" s="3479" t="s">
        <v>3289</v>
      </c>
      <c r="F5" s="3429"/>
      <c r="G5" s="3478" t="s">
        <v>3290</v>
      </c>
      <c r="H5" s="3409"/>
      <c r="I5" s="3478" t="s">
        <v>3291</v>
      </c>
      <c r="J5" s="3409"/>
      <c r="K5" s="85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513" t="s">
        <v>3292</v>
      </c>
      <c r="F6" s="3425"/>
      <c r="G6" s="3514" t="s">
        <v>3293</v>
      </c>
      <c r="H6" s="3407"/>
      <c r="I6" s="3514" t="s">
        <v>3294</v>
      </c>
      <c r="J6" s="3407"/>
      <c r="K6" s="85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v>43390</v>
      </c>
      <c r="F7" s="522">
        <f>SUMIF(58:58,YEAR(E7)&amp;"-"&amp;MONTH(E7),59:59)</f>
        <v>100</v>
      </c>
      <c r="G7" s="523">
        <v>43390</v>
      </c>
      <c r="H7" s="520">
        <f>SUMIF(58:58,YEAR(G7)&amp;"-"&amp;MONTH(G7),59:59)</f>
        <v>100</v>
      </c>
      <c r="I7" s="523">
        <v>43390</v>
      </c>
      <c r="J7" s="520">
        <f>SUMIF(58:58,YEAR(I7)&amp;"-"&amp;MONTH(I7),59:59)</f>
        <v>100</v>
      </c>
      <c r="K7" s="855"/>
      <c r="L7" s="2137"/>
      <c r="M7" s="2138"/>
      <c r="N7" s="2138"/>
      <c r="O7" s="2138"/>
      <c r="P7" s="3417" t="s">
        <v>529</v>
      </c>
      <c r="Q7" s="3419"/>
      <c r="R7" s="1569" t="s">
        <v>13</v>
      </c>
      <c r="S7" s="1570">
        <f t="shared" ref="S7:S15" si="0">F7</f>
        <v>100</v>
      </c>
      <c r="T7" s="1569" t="s">
        <v>13</v>
      </c>
      <c r="U7" s="1570">
        <f t="shared" ref="U7:U15" si="1">H7</f>
        <v>100</v>
      </c>
      <c r="V7" s="1569" t="s">
        <v>13</v>
      </c>
      <c r="W7" s="1570">
        <f t="shared" ref="W7:W15" si="2">J7</f>
        <v>100</v>
      </c>
      <c r="X7" s="1571"/>
      <c r="Y7" s="3417" t="s">
        <v>529</v>
      </c>
      <c r="Z7" s="3418"/>
      <c r="AA7" s="1572">
        <f>D7/F7</f>
        <v>1</v>
      </c>
      <c r="AB7" s="1572">
        <f>D7/H7</f>
        <v>1</v>
      </c>
      <c r="AC7" s="1572">
        <f>D7/J7</f>
        <v>1</v>
      </c>
    </row>
    <row r="8" spans="1:29" s="1220" customFormat="1" ht="15.75" thickBot="1">
      <c r="A8" s="2915"/>
      <c r="B8" s="2922" t="s">
        <v>530</v>
      </c>
      <c r="C8" s="525" t="s">
        <v>575</v>
      </c>
      <c r="D8" s="520">
        <v>100</v>
      </c>
      <c r="E8" s="856" t="s">
        <v>3169</v>
      </c>
      <c r="F8" s="522">
        <f>SUMIF(61:61,E8,62:62)-SUMIF(61:61,C8,62:62)+100</f>
        <v>100</v>
      </c>
      <c r="G8" s="525" t="s">
        <v>3169</v>
      </c>
      <c r="H8" s="520">
        <f>SUMIF(61:61,G8,62:62)-SUMIF(61:61,C8,62:62)+100</f>
        <v>100</v>
      </c>
      <c r="I8" s="856" t="s">
        <v>3169</v>
      </c>
      <c r="J8" s="520">
        <f>SUMIF(61:61,I8,62:62)-SUMIF(61:61,C8,62:62)+100</f>
        <v>100</v>
      </c>
      <c r="K8" s="855"/>
      <c r="L8" s="2137"/>
      <c r="M8" s="2138"/>
      <c r="N8" s="2138"/>
      <c r="O8" s="2138"/>
      <c r="P8" s="3417" t="s">
        <v>532</v>
      </c>
      <c r="Q8" s="3418"/>
      <c r="R8" s="1569" t="s">
        <v>13</v>
      </c>
      <c r="S8" s="1570">
        <f t="shared" si="0"/>
        <v>100</v>
      </c>
      <c r="T8" s="1569" t="s">
        <v>13</v>
      </c>
      <c r="U8" s="1570">
        <f t="shared" si="1"/>
        <v>100</v>
      </c>
      <c r="V8" s="1569" t="s">
        <v>13</v>
      </c>
      <c r="W8" s="1570">
        <f t="shared" si="2"/>
        <v>100</v>
      </c>
      <c r="X8" s="1571"/>
      <c r="Y8" s="3417" t="s">
        <v>532</v>
      </c>
      <c r="Z8" s="3418"/>
      <c r="AA8" s="1572">
        <f t="shared" ref="AA8:AA46" si="3">D8/F8</f>
        <v>1</v>
      </c>
      <c r="AB8" s="1572">
        <f t="shared" ref="AB8:AB46" si="4">D8/H8</f>
        <v>1</v>
      </c>
      <c r="AC8" s="1572">
        <f t="shared" ref="AC8:AC46" si="5">D8/J8</f>
        <v>1</v>
      </c>
    </row>
    <row r="9" spans="1:29" s="1220" customFormat="1" ht="15">
      <c r="A9" s="2916"/>
      <c r="B9" s="2923" t="s">
        <v>2754</v>
      </c>
      <c r="C9" s="3196" t="s">
        <v>3245</v>
      </c>
      <c r="D9" s="254">
        <v>100</v>
      </c>
      <c r="E9" s="3197" t="s">
        <v>3245</v>
      </c>
      <c r="F9" s="859">
        <f>SUMIF(63:63,E9,64:64)-SUMIF(63:63,C9,64:64)+100</f>
        <v>100</v>
      </c>
      <c r="G9" s="3198" t="s">
        <v>3245</v>
      </c>
      <c r="H9" s="254">
        <f>SUMIF(63:63,G9,64:64)-SUMIF(63:63,C9,64:64)+100</f>
        <v>100</v>
      </c>
      <c r="I9" s="3198" t="s">
        <v>3245</v>
      </c>
      <c r="J9" s="254">
        <f>SUMIF(63:63,I9,64:64)-SUMIF(63:63,C9,64:64)+100</f>
        <v>100</v>
      </c>
      <c r="K9" s="855"/>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t="s">
        <v>3244</v>
      </c>
      <c r="D10" s="255">
        <v>100</v>
      </c>
      <c r="E10" s="862" t="s">
        <v>3244</v>
      </c>
      <c r="F10" s="863">
        <f>SUMIF(65:65,E10,66:66)-SUMIF(65:65,C10,66:66)+100</f>
        <v>100</v>
      </c>
      <c r="G10" s="861" t="s">
        <v>3244</v>
      </c>
      <c r="H10" s="255">
        <f>SUMIF(65:65,G10,66:66)-SUMIF(65:65,C10,66:66)+100</f>
        <v>100</v>
      </c>
      <c r="I10" s="861" t="s">
        <v>3244</v>
      </c>
      <c r="J10" s="255">
        <f>SUMIF(65:65,I10,66:66)-SUMIF(65:65,C10,66:66)+100</f>
        <v>100</v>
      </c>
      <c r="K10" s="864">
        <v>1</v>
      </c>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3209">
        <f>'比较法-住宅、综合'!C13</f>
        <v>7.8570158170524742</v>
      </c>
      <c r="D11" s="255">
        <v>100</v>
      </c>
      <c r="E11" s="534">
        <v>5.24</v>
      </c>
      <c r="F11" s="863">
        <f>LOOKUP(E11,68:68,69:69)-LOOKUP(C11,68:68,69:69)+100</f>
        <v>103</v>
      </c>
      <c r="G11" s="533">
        <v>3.99</v>
      </c>
      <c r="H11" s="255">
        <f>LOOKUP(G11,68:68,69:69)-LOOKUP(C11,68:68,69:69)+100</f>
        <v>106</v>
      </c>
      <c r="I11" s="533">
        <v>4.5599999999999996</v>
      </c>
      <c r="J11" s="255">
        <f>LOOKUP(I11,68:68,69:69)-LOOKUP(C11,68:68,69:69)+100</f>
        <v>103</v>
      </c>
      <c r="K11" s="864">
        <v>3</v>
      </c>
      <c r="L11" s="2142"/>
      <c r="M11" s="2136"/>
      <c r="N11" s="2136"/>
      <c r="O11" s="2143"/>
      <c r="P11" s="3386"/>
      <c r="Q11" s="1151" t="str">
        <f t="shared" si="6"/>
        <v>容积率</v>
      </c>
      <c r="R11" s="1569" t="s">
        <v>11</v>
      </c>
      <c r="S11" s="1570">
        <f t="shared" si="0"/>
        <v>103</v>
      </c>
      <c r="T11" s="1569" t="s">
        <v>11</v>
      </c>
      <c r="U11" s="1570">
        <f t="shared" si="1"/>
        <v>106</v>
      </c>
      <c r="V11" s="1569" t="s">
        <v>11</v>
      </c>
      <c r="W11" s="1570">
        <f t="shared" si="2"/>
        <v>103</v>
      </c>
      <c r="X11" s="1571"/>
      <c r="Y11" s="3332"/>
      <c r="Z11" s="1150" t="str">
        <f t="shared" si="7"/>
        <v>容积率</v>
      </c>
      <c r="AA11" s="1572">
        <f t="shared" si="3"/>
        <v>0.970873786407767</v>
      </c>
      <c r="AB11" s="1572">
        <f t="shared" si="4"/>
        <v>0.94339622641509435</v>
      </c>
      <c r="AC11" s="1572">
        <f t="shared" si="5"/>
        <v>0.970873786407767</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6"/>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6"/>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6"/>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114">
      <c r="A15" s="2912" t="s">
        <v>2752</v>
      </c>
      <c r="B15" s="166" t="s">
        <v>294</v>
      </c>
      <c r="C15" s="867" t="str">
        <f>估价对象房地状况!C3</f>
        <v>估价对象周边居住用地比例较大、有海愉半岛花园、钰海帝景等居住小区，社区发展较完善，综合评价居住社区成熟度较好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44"/>
      <c r="M15" s="2136"/>
      <c r="N15" s="2136"/>
      <c r="O15" s="2143"/>
      <c r="P15" s="3420" t="s">
        <v>539</v>
      </c>
      <c r="Q15" s="1573" t="str">
        <f t="shared" si="6"/>
        <v>居住社区成熟度</v>
      </c>
      <c r="R15" s="1574" t="s">
        <v>11</v>
      </c>
      <c r="S15" s="1575">
        <f t="shared" si="0"/>
        <v>100</v>
      </c>
      <c r="T15" s="1574" t="s">
        <v>11</v>
      </c>
      <c r="U15" s="1575">
        <f t="shared" si="1"/>
        <v>100</v>
      </c>
      <c r="V15" s="1574" t="s">
        <v>11</v>
      </c>
      <c r="W15" s="1575">
        <f t="shared" si="2"/>
        <v>100</v>
      </c>
      <c r="X15" s="1568"/>
      <c r="Y15" s="3420" t="s">
        <v>539</v>
      </c>
      <c r="Z15" s="1576" t="str">
        <f t="shared" si="7"/>
        <v>居住社区成熟度</v>
      </c>
      <c r="AA15" s="1577">
        <f t="shared" si="3"/>
        <v>1</v>
      </c>
      <c r="AB15" s="1577">
        <f t="shared" si="4"/>
        <v>1</v>
      </c>
      <c r="AC15" s="1577">
        <f t="shared" si="5"/>
        <v>1</v>
      </c>
    </row>
    <row r="16" spans="1:29" ht="15">
      <c r="A16" s="532"/>
      <c r="B16" s="869"/>
      <c r="C16" s="576" t="s">
        <v>3231</v>
      </c>
      <c r="D16" s="555"/>
      <c r="E16" s="556" t="s">
        <v>3231</v>
      </c>
      <c r="F16" s="557"/>
      <c r="G16" s="558" t="s">
        <v>3231</v>
      </c>
      <c r="H16" s="559"/>
      <c r="I16" s="558" t="s">
        <v>3231</v>
      </c>
      <c r="J16" s="555"/>
      <c r="K16" s="870"/>
      <c r="L16" s="2144"/>
      <c r="M16" s="2136"/>
      <c r="N16" s="2136"/>
      <c r="O16" s="2143"/>
      <c r="P16" s="3421"/>
      <c r="Q16" s="1573"/>
      <c r="R16" s="1574"/>
      <c r="S16" s="1575"/>
      <c r="T16" s="1574"/>
      <c r="U16" s="1575"/>
      <c r="V16" s="1574"/>
      <c r="W16" s="1575"/>
      <c r="X16" s="1568"/>
      <c r="Y16" s="3421"/>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4"/>
      <c r="M17" s="2136"/>
      <c r="N17" s="2136"/>
      <c r="O17" s="2143"/>
      <c r="P17" s="3421"/>
      <c r="Q17" s="1573" t="str">
        <f>B17</f>
        <v>交通便捷度</v>
      </c>
      <c r="R17" s="1574" t="s">
        <v>11</v>
      </c>
      <c r="S17" s="1575">
        <f>F17</f>
        <v>100</v>
      </c>
      <c r="T17" s="1574" t="s">
        <v>11</v>
      </c>
      <c r="U17" s="1575">
        <f>H17</f>
        <v>100</v>
      </c>
      <c r="V17" s="1574" t="s">
        <v>11</v>
      </c>
      <c r="W17" s="1575">
        <f>J17</f>
        <v>100</v>
      </c>
      <c r="X17" s="1568"/>
      <c r="Y17" s="3421"/>
      <c r="Z17" s="1576" t="str">
        <f>Q17</f>
        <v>交通便捷度</v>
      </c>
      <c r="AA17" s="1577">
        <f t="shared" si="3"/>
        <v>1</v>
      </c>
      <c r="AB17" s="1577">
        <f t="shared" si="4"/>
        <v>1</v>
      </c>
      <c r="AC17" s="1577">
        <f t="shared" si="5"/>
        <v>1</v>
      </c>
    </row>
    <row r="18" spans="1:29" ht="15">
      <c r="A18" s="532"/>
      <c r="B18" s="595"/>
      <c r="C18" s="558" t="s">
        <v>3231</v>
      </c>
      <c r="D18" s="559"/>
      <c r="E18" s="558" t="s">
        <v>3231</v>
      </c>
      <c r="F18" s="563"/>
      <c r="G18" s="558" t="s">
        <v>3231</v>
      </c>
      <c r="H18" s="555"/>
      <c r="I18" s="558" t="s">
        <v>3231</v>
      </c>
      <c r="J18" s="555"/>
      <c r="K18" s="870"/>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2"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21"/>
      <c r="Q19" s="1573" t="str">
        <f>B19</f>
        <v>公共配套设施</v>
      </c>
      <c r="R19" s="1574" t="s">
        <v>11</v>
      </c>
      <c r="S19" s="1575">
        <f>F19</f>
        <v>100</v>
      </c>
      <c r="T19" s="1574" t="s">
        <v>11</v>
      </c>
      <c r="U19" s="1575">
        <f>H19</f>
        <v>100</v>
      </c>
      <c r="V19" s="1574" t="s">
        <v>11</v>
      </c>
      <c r="W19" s="1575">
        <f>J19</f>
        <v>100</v>
      </c>
      <c r="X19" s="1568"/>
      <c r="Y19" s="3421"/>
      <c r="Z19" s="1576" t="str">
        <f>Q19</f>
        <v>公共配套设施</v>
      </c>
      <c r="AA19" s="1577">
        <f t="shared" si="3"/>
        <v>1</v>
      </c>
      <c r="AB19" s="1577">
        <f t="shared" si="4"/>
        <v>1</v>
      </c>
      <c r="AC19" s="1577">
        <f t="shared" si="5"/>
        <v>1</v>
      </c>
    </row>
    <row r="20" spans="1:29" ht="15">
      <c r="A20" s="532"/>
      <c r="B20" s="595"/>
      <c r="C20" s="558" t="s">
        <v>3231</v>
      </c>
      <c r="D20" s="555"/>
      <c r="E20" s="558" t="s">
        <v>3231</v>
      </c>
      <c r="F20" s="557"/>
      <c r="G20" s="558" t="s">
        <v>3231</v>
      </c>
      <c r="H20" s="555"/>
      <c r="I20" s="558" t="s">
        <v>3231</v>
      </c>
      <c r="J20" s="555"/>
      <c r="K20" s="870"/>
      <c r="L20" s="2144"/>
      <c r="M20" s="2136"/>
      <c r="N20" s="2136"/>
      <c r="O20" s="2143"/>
      <c r="P20" s="3421"/>
      <c r="Q20" s="1573"/>
      <c r="R20" s="1574"/>
      <c r="S20" s="1575"/>
      <c r="T20" s="1574"/>
      <c r="U20" s="1575"/>
      <c r="V20" s="1574"/>
      <c r="W20" s="1575"/>
      <c r="X20" s="1568"/>
      <c r="Y20" s="3421"/>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21"/>
      <c r="Q21" s="2581" t="str">
        <f>B21</f>
        <v>基础设施水平</v>
      </c>
      <c r="R21" s="1574" t="s">
        <v>11</v>
      </c>
      <c r="S21" s="1575">
        <f>F21</f>
        <v>100</v>
      </c>
      <c r="T21" s="1574" t="s">
        <v>11</v>
      </c>
      <c r="U21" s="1575">
        <f>H21</f>
        <v>100</v>
      </c>
      <c r="V21" s="1574" t="s">
        <v>11</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922"/>
      <c r="C22" s="558" t="s">
        <v>3231</v>
      </c>
      <c r="D22" s="555"/>
      <c r="E22" s="558" t="s">
        <v>3231</v>
      </c>
      <c r="F22" s="557"/>
      <c r="G22" s="558" t="s">
        <v>3231</v>
      </c>
      <c r="H22" s="555"/>
      <c r="I22" s="558" t="s">
        <v>3231</v>
      </c>
      <c r="J22" s="555"/>
      <c r="K22" s="2601"/>
      <c r="L22" s="2144"/>
      <c r="M22" s="2136"/>
      <c r="N22" s="2136"/>
      <c r="O22" s="2143"/>
      <c r="P22" s="3421"/>
      <c r="Q22" s="2581"/>
      <c r="R22" s="1574"/>
      <c r="S22" s="1575"/>
      <c r="T22" s="1574"/>
      <c r="U22" s="1575"/>
      <c r="V22" s="1574"/>
      <c r="W22" s="1575"/>
      <c r="X22" s="2583"/>
      <c r="Y22" s="3421"/>
      <c r="Z22" s="2582"/>
      <c r="AA22" s="1577">
        <v>1</v>
      </c>
      <c r="AB22" s="1577">
        <v>1</v>
      </c>
      <c r="AC22" s="1577">
        <v>1</v>
      </c>
    </row>
    <row r="23" spans="1:29" ht="57">
      <c r="A23" s="532"/>
      <c r="B23" s="871" t="s">
        <v>296</v>
      </c>
      <c r="C23" s="872" t="str">
        <f>估价对象房地状况!C9</f>
        <v>区域自然环境好；人文环境一般；综合评价环境状况较好</v>
      </c>
      <c r="D23" s="559">
        <v>100</v>
      </c>
      <c r="E23" s="562"/>
      <c r="F23" s="563">
        <f>SUMIF(84:84,E24,85:85)-SUMIF(84:84,C24,85:85)+100</f>
        <v>95</v>
      </c>
      <c r="G23" s="564"/>
      <c r="H23" s="559">
        <f>SUMIF(84:84,G24,85:85)-SUMIF(84:84,C24,85:85)+100</f>
        <v>100</v>
      </c>
      <c r="I23" s="562"/>
      <c r="J23" s="559">
        <f>SUMIF(84:84,I24,85:85)-SUMIF(84:84,C24,85:85)+100</f>
        <v>100</v>
      </c>
      <c r="K23" s="868">
        <v>5</v>
      </c>
      <c r="L23" s="2144"/>
      <c r="M23" s="2136"/>
      <c r="N23" s="2136"/>
      <c r="O23" s="2143"/>
      <c r="P23" s="3421"/>
      <c r="Q23" s="1573" t="str">
        <f>B23</f>
        <v>自然及人文环境</v>
      </c>
      <c r="R23" s="1574" t="s">
        <v>11</v>
      </c>
      <c r="S23" s="1575">
        <f>F23</f>
        <v>95</v>
      </c>
      <c r="T23" s="1574" t="s">
        <v>11</v>
      </c>
      <c r="U23" s="1575">
        <f>H23</f>
        <v>100</v>
      </c>
      <c r="V23" s="1574" t="s">
        <v>11</v>
      </c>
      <c r="W23" s="1575">
        <f>J23</f>
        <v>100</v>
      </c>
      <c r="X23" s="1568"/>
      <c r="Y23" s="3421"/>
      <c r="Z23" s="1576" t="str">
        <f>Q23</f>
        <v>自然及人文环境</v>
      </c>
      <c r="AA23" s="1577">
        <f t="shared" si="3"/>
        <v>1.0526315789473684</v>
      </c>
      <c r="AB23" s="1577">
        <f t="shared" si="4"/>
        <v>1</v>
      </c>
      <c r="AC23" s="1577">
        <f t="shared" si="5"/>
        <v>1</v>
      </c>
    </row>
    <row r="24" spans="1:29" ht="15">
      <c r="A24" s="532"/>
      <c r="B24" s="595"/>
      <c r="C24" s="558" t="s">
        <v>3231</v>
      </c>
      <c r="D24" s="555"/>
      <c r="E24" s="558" t="s">
        <v>3273</v>
      </c>
      <c r="F24" s="557"/>
      <c r="G24" s="558" t="s">
        <v>3231</v>
      </c>
      <c r="H24" s="555"/>
      <c r="I24" s="558" t="s">
        <v>3231</v>
      </c>
      <c r="J24" s="555"/>
      <c r="K24" s="870"/>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1"/>
      <c r="Q25" s="1573" t="str">
        <f t="shared" ref="Q25:Q46" si="11">B25</f>
        <v>楼层-1</v>
      </c>
      <c r="R25" s="1574" t="s">
        <v>11</v>
      </c>
      <c r="S25" s="1575">
        <f>F25</f>
        <v>100</v>
      </c>
      <c r="T25" s="1574" t="s">
        <v>11</v>
      </c>
      <c r="U25" s="1575">
        <f>H25</f>
        <v>100</v>
      </c>
      <c r="V25" s="1574" t="s">
        <v>11</v>
      </c>
      <c r="W25" s="1575">
        <f>J25</f>
        <v>100</v>
      </c>
      <c r="X25" s="1568"/>
      <c r="Y25" s="3421"/>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1"/>
      <c r="Q26" s="1573" t="str">
        <f t="shared" si="11"/>
        <v>朝向</v>
      </c>
      <c r="R26" s="1574" t="s">
        <v>11</v>
      </c>
      <c r="S26" s="1575">
        <f>F26</f>
        <v>100</v>
      </c>
      <c r="T26" s="1574" t="s">
        <v>11</v>
      </c>
      <c r="U26" s="1575">
        <f>H26</f>
        <v>100</v>
      </c>
      <c r="V26" s="1574" t="s">
        <v>11</v>
      </c>
      <c r="W26" s="1575">
        <f>J26</f>
        <v>100</v>
      </c>
      <c r="X26" s="1568"/>
      <c r="Y26" s="3421"/>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1"/>
      <c r="Q27" s="1151" t="str">
        <f t="shared" si="11"/>
        <v>道路级别</v>
      </c>
      <c r="R27" s="1569" t="s">
        <v>11</v>
      </c>
      <c r="S27" s="1570">
        <f>F27</f>
        <v>100</v>
      </c>
      <c r="T27" s="1569" t="s">
        <v>11</v>
      </c>
      <c r="U27" s="1570">
        <f>H27</f>
        <v>100</v>
      </c>
      <c r="V27" s="1569" t="s">
        <v>11</v>
      </c>
      <c r="W27" s="1570">
        <f>J27</f>
        <v>100</v>
      </c>
      <c r="X27" s="1571"/>
      <c r="Y27" s="342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1"/>
      <c r="Q29" s="1573">
        <f t="shared" si="11"/>
        <v>111</v>
      </c>
      <c r="R29" s="1574" t="s">
        <v>11</v>
      </c>
      <c r="S29" s="1575">
        <f t="shared" si="12"/>
        <v>100</v>
      </c>
      <c r="T29" s="1574" t="s">
        <v>11</v>
      </c>
      <c r="U29" s="1575">
        <f t="shared" si="13"/>
        <v>100</v>
      </c>
      <c r="V29" s="1574" t="s">
        <v>11</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1"/>
      <c r="Q30" s="1573">
        <f t="shared" si="11"/>
        <v>111</v>
      </c>
      <c r="R30" s="1574" t="s">
        <v>11</v>
      </c>
      <c r="S30" s="1575">
        <f t="shared" si="12"/>
        <v>100</v>
      </c>
      <c r="T30" s="1574" t="s">
        <v>11</v>
      </c>
      <c r="U30" s="1575">
        <f t="shared" si="13"/>
        <v>100</v>
      </c>
      <c r="V30" s="1574" t="s">
        <v>11</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1"/>
      <c r="Q31" s="1573">
        <f t="shared" si="11"/>
        <v>111</v>
      </c>
      <c r="R31" s="1574" t="s">
        <v>11</v>
      </c>
      <c r="S31" s="1575">
        <f t="shared" si="12"/>
        <v>100</v>
      </c>
      <c r="T31" s="1574" t="s">
        <v>11</v>
      </c>
      <c r="U31" s="1575">
        <f t="shared" si="13"/>
        <v>100</v>
      </c>
      <c r="V31" s="1574" t="s">
        <v>11</v>
      </c>
      <c r="W31" s="1575">
        <f t="shared" si="14"/>
        <v>100</v>
      </c>
      <c r="X31" s="1568"/>
      <c r="Y31" s="3421"/>
      <c r="Z31" s="1576">
        <f t="shared" si="15"/>
        <v>111</v>
      </c>
      <c r="AA31" s="1577">
        <f t="shared" si="3"/>
        <v>1</v>
      </c>
      <c r="AB31" s="1577">
        <f t="shared" si="4"/>
        <v>1</v>
      </c>
      <c r="AC31" s="1577">
        <f t="shared" si="5"/>
        <v>1</v>
      </c>
    </row>
    <row r="32" spans="1:29" ht="15">
      <c r="A32" s="2909" t="s">
        <v>2753</v>
      </c>
      <c r="B32" s="172" t="s">
        <v>724</v>
      </c>
      <c r="C32" s="878" t="s">
        <v>3246</v>
      </c>
      <c r="D32" s="597">
        <v>100</v>
      </c>
      <c r="E32" s="879" t="s">
        <v>3246</v>
      </c>
      <c r="F32" s="575">
        <f>SUMIF(100:100,E32,101:101)-SUMIF(100:100,C32,101:101)+100</f>
        <v>100</v>
      </c>
      <c r="G32" s="878" t="s">
        <v>3246</v>
      </c>
      <c r="H32" s="597">
        <f>SUMIF(100:100,G32,101:101)-SUMIF(100:100,C32,101:101)+100</f>
        <v>100</v>
      </c>
      <c r="I32" s="879" t="s">
        <v>3246</v>
      </c>
      <c r="J32" s="540">
        <f>SUMIF(100:100,I32,101:101)-SUMIF(100:100,C32,101:101)+100</f>
        <v>100</v>
      </c>
      <c r="K32" s="864">
        <v>3</v>
      </c>
      <c r="L32" s="2144"/>
      <c r="M32" s="2136"/>
      <c r="N32" s="2136"/>
      <c r="O32" s="2143"/>
      <c r="P32" s="3422" t="s">
        <v>549</v>
      </c>
      <c r="Q32" s="1573" t="str">
        <f t="shared" si="11"/>
        <v>建筑类型</v>
      </c>
      <c r="R32" s="1574" t="s">
        <v>11</v>
      </c>
      <c r="S32" s="1575">
        <f t="shared" si="12"/>
        <v>100</v>
      </c>
      <c r="T32" s="1574" t="s">
        <v>11</v>
      </c>
      <c r="U32" s="1575">
        <f t="shared" si="13"/>
        <v>100</v>
      </c>
      <c r="V32" s="1574" t="s">
        <v>11</v>
      </c>
      <c r="W32" s="1575">
        <f t="shared" si="14"/>
        <v>100</v>
      </c>
      <c r="X32" s="1568"/>
      <c r="Y32" s="3423" t="s">
        <v>549</v>
      </c>
      <c r="Z32" s="1576" t="str">
        <f t="shared" si="15"/>
        <v>建筑类型</v>
      </c>
      <c r="AA32" s="1577">
        <f t="shared" si="3"/>
        <v>1</v>
      </c>
      <c r="AB32" s="1577">
        <f t="shared" si="4"/>
        <v>1</v>
      </c>
      <c r="AC32" s="1577">
        <f t="shared" si="5"/>
        <v>1</v>
      </c>
    </row>
    <row r="33" spans="1:29" s="1339" customFormat="1" ht="15">
      <c r="A33" s="603"/>
      <c r="B33" s="527" t="s">
        <v>725</v>
      </c>
      <c r="C33" s="880">
        <f>'数据-基础表'!B3</f>
        <v>155944.12999999998</v>
      </c>
      <c r="D33" s="255">
        <v>100</v>
      </c>
      <c r="E33" s="534">
        <v>235871</v>
      </c>
      <c r="F33" s="863">
        <f>LOOKUP(E33,103:103,104:104)-LOOKUP(C33,103:103,104:104)+100</f>
        <v>101</v>
      </c>
      <c r="G33" s="533">
        <v>53484</v>
      </c>
      <c r="H33" s="255">
        <f>LOOKUP(G33,103:103,104:104)-LOOKUP(C33,103:103,104:104)+100</f>
        <v>98</v>
      </c>
      <c r="I33" s="534">
        <v>210000</v>
      </c>
      <c r="J33" s="255">
        <f>LOOKUP(I33,103:103,104:104)-LOOKUP(C33,103:103,104:104)+100</f>
        <v>101</v>
      </c>
      <c r="K33" s="865"/>
      <c r="L33" s="2142"/>
      <c r="M33" s="2173"/>
      <c r="N33" s="2173"/>
      <c r="O33" s="2145"/>
      <c r="P33" s="3423"/>
      <c r="Q33" s="1606" t="str">
        <f t="shared" si="11"/>
        <v>项目建筑规模</v>
      </c>
      <c r="R33" s="1578" t="s">
        <v>11</v>
      </c>
      <c r="S33" s="1579">
        <f t="shared" si="12"/>
        <v>101</v>
      </c>
      <c r="T33" s="1578" t="s">
        <v>11</v>
      </c>
      <c r="U33" s="1579">
        <f t="shared" si="13"/>
        <v>98</v>
      </c>
      <c r="V33" s="1578" t="s">
        <v>11</v>
      </c>
      <c r="W33" s="1579">
        <f t="shared" si="14"/>
        <v>101</v>
      </c>
      <c r="X33" s="1580"/>
      <c r="Y33" s="3423"/>
      <c r="Z33" s="1581" t="str">
        <f t="shared" si="15"/>
        <v>项目建筑规模</v>
      </c>
      <c r="AA33" s="1577">
        <f t="shared" si="3"/>
        <v>0.99009900990099009</v>
      </c>
      <c r="AB33" s="1577">
        <f t="shared" si="4"/>
        <v>1.0204081632653061</v>
      </c>
      <c r="AC33" s="1577">
        <f t="shared" si="5"/>
        <v>0.99009900990099009</v>
      </c>
    </row>
    <row r="34" spans="1:29" ht="15">
      <c r="A34" s="594"/>
      <c r="B34" s="527" t="s">
        <v>726</v>
      </c>
      <c r="C34" s="881" t="s">
        <v>3227</v>
      </c>
      <c r="D34" s="540">
        <v>100</v>
      </c>
      <c r="E34" s="881" t="s">
        <v>3227</v>
      </c>
      <c r="F34" s="575">
        <f>SUMIF(105:105,E34,106:106)-SUMIF(105:105,C34,106:106)+100</f>
        <v>100</v>
      </c>
      <c r="G34" s="881" t="s">
        <v>3227</v>
      </c>
      <c r="H34" s="540">
        <f>SUMIF(105:105,G34,106:106)-SUMIF(105:105,C34,106:106)+100</f>
        <v>100</v>
      </c>
      <c r="I34" s="881" t="s">
        <v>3227</v>
      </c>
      <c r="J34" s="540">
        <f>SUMIF(105:105,I34,106:106)-SUMIF(105:105,C34,106:106)+100</f>
        <v>100</v>
      </c>
      <c r="K34" s="864">
        <v>1</v>
      </c>
      <c r="L34" s="2144"/>
      <c r="M34" s="2136"/>
      <c r="N34" s="2136"/>
      <c r="O34" s="2143"/>
      <c r="P34" s="3423"/>
      <c r="Q34" s="1573" t="str">
        <f t="shared" si="11"/>
        <v>建筑结构</v>
      </c>
      <c r="R34" s="1574" t="s">
        <v>11</v>
      </c>
      <c r="S34" s="1575">
        <f t="shared" si="12"/>
        <v>100</v>
      </c>
      <c r="T34" s="1574" t="s">
        <v>11</v>
      </c>
      <c r="U34" s="1575">
        <f t="shared" si="13"/>
        <v>100</v>
      </c>
      <c r="V34" s="1574" t="s">
        <v>11</v>
      </c>
      <c r="W34" s="1575">
        <f t="shared" si="14"/>
        <v>100</v>
      </c>
      <c r="X34" s="1568"/>
      <c r="Y34" s="3423"/>
      <c r="Z34" s="1576" t="str">
        <f t="shared" si="15"/>
        <v>建筑结构</v>
      </c>
      <c r="AA34" s="1577">
        <f t="shared" si="3"/>
        <v>1</v>
      </c>
      <c r="AB34" s="1577">
        <f t="shared" si="4"/>
        <v>1</v>
      </c>
      <c r="AC34" s="1577">
        <f t="shared" si="5"/>
        <v>1</v>
      </c>
    </row>
    <row r="35" spans="1:29" ht="15">
      <c r="A35" s="594"/>
      <c r="B35" s="527" t="s">
        <v>727</v>
      </c>
      <c r="C35" s="599" t="s">
        <v>3249</v>
      </c>
      <c r="D35" s="540">
        <v>100</v>
      </c>
      <c r="E35" s="599" t="s">
        <v>3249</v>
      </c>
      <c r="F35" s="575">
        <f>SUMIF(107:107,E35,108:108)-SUMIF(107:107,C35,108:108)+100</f>
        <v>100</v>
      </c>
      <c r="G35" s="599" t="s">
        <v>3249</v>
      </c>
      <c r="H35" s="540">
        <f>SUMIF(107:107,G35,108:108)-SUMIF(107:107,C35,108:108)+100</f>
        <v>100</v>
      </c>
      <c r="I35" s="599" t="s">
        <v>3249</v>
      </c>
      <c r="J35" s="540">
        <f>SUMIF(107:107,I35,108:108)-SUMIF(107:107,C35,108:108)+100</f>
        <v>100</v>
      </c>
      <c r="K35" s="864">
        <v>3</v>
      </c>
      <c r="L35" s="2144"/>
      <c r="M35" s="2136"/>
      <c r="N35" s="2136"/>
      <c r="O35" s="2143"/>
      <c r="P35" s="3423"/>
      <c r="Q35" s="1573" t="str">
        <f t="shared" si="11"/>
        <v>建筑品质</v>
      </c>
      <c r="R35" s="1574" t="s">
        <v>11</v>
      </c>
      <c r="S35" s="1575">
        <f t="shared" si="12"/>
        <v>100</v>
      </c>
      <c r="T35" s="1574" t="s">
        <v>11</v>
      </c>
      <c r="U35" s="1575">
        <f t="shared" si="13"/>
        <v>100</v>
      </c>
      <c r="V35" s="1574" t="s">
        <v>11</v>
      </c>
      <c r="W35" s="1575">
        <f t="shared" si="14"/>
        <v>100</v>
      </c>
      <c r="X35" s="1568"/>
      <c r="Y35" s="3423"/>
      <c r="Z35" s="1576" t="str">
        <f t="shared" si="15"/>
        <v>建筑品质</v>
      </c>
      <c r="AA35" s="1577">
        <f t="shared" si="3"/>
        <v>1</v>
      </c>
      <c r="AB35" s="1577">
        <f t="shared" si="4"/>
        <v>1</v>
      </c>
      <c r="AC35" s="1577">
        <f t="shared" si="5"/>
        <v>1</v>
      </c>
    </row>
    <row r="36" spans="1:29" ht="15">
      <c r="A36" s="594"/>
      <c r="B36" s="527" t="s">
        <v>728</v>
      </c>
      <c r="C36" s="599" t="s">
        <v>3252</v>
      </c>
      <c r="D36" s="540">
        <v>100</v>
      </c>
      <c r="E36" s="599" t="s">
        <v>3252</v>
      </c>
      <c r="F36" s="575">
        <f>SUMIF(109:109,E36,110:110)-SUMIF(109:109,C36,110:110)+100</f>
        <v>100</v>
      </c>
      <c r="G36" s="599" t="s">
        <v>3252</v>
      </c>
      <c r="H36" s="540">
        <f>SUMIF(109:109,G36,110:110)-SUMIF(109:109,C36,110:110)+100</f>
        <v>100</v>
      </c>
      <c r="I36" s="599" t="s">
        <v>3252</v>
      </c>
      <c r="J36" s="540">
        <f>SUMIF(109:109,I36,110:110)-SUMIF(109:109,C36,110:110)+100</f>
        <v>100</v>
      </c>
      <c r="K36" s="864">
        <v>2</v>
      </c>
      <c r="L36" s="2144"/>
      <c r="M36" s="2136"/>
      <c r="N36" s="2136"/>
      <c r="O36" s="2143"/>
      <c r="P36" s="3423"/>
      <c r="Q36" s="1573" t="str">
        <f t="shared" si="11"/>
        <v>公共部分装修</v>
      </c>
      <c r="R36" s="1574" t="s">
        <v>11</v>
      </c>
      <c r="S36" s="1575">
        <f t="shared" si="12"/>
        <v>100</v>
      </c>
      <c r="T36" s="1574" t="s">
        <v>11</v>
      </c>
      <c r="U36" s="1575">
        <f t="shared" si="13"/>
        <v>100</v>
      </c>
      <c r="V36" s="1574" t="s">
        <v>11</v>
      </c>
      <c r="W36" s="1575">
        <f t="shared" si="14"/>
        <v>100</v>
      </c>
      <c r="X36" s="1568"/>
      <c r="Y36" s="3423"/>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23"/>
      <c r="Q37" s="1151" t="str">
        <f t="shared" si="11"/>
        <v>成新度</v>
      </c>
      <c r="R37" s="1569" t="s">
        <v>11</v>
      </c>
      <c r="S37" s="1570">
        <f t="shared" si="12"/>
        <v>100</v>
      </c>
      <c r="T37" s="1569" t="s">
        <v>11</v>
      </c>
      <c r="U37" s="1570">
        <f t="shared" si="13"/>
        <v>100</v>
      </c>
      <c r="V37" s="1569" t="s">
        <v>11</v>
      </c>
      <c r="W37" s="1570">
        <f t="shared" si="14"/>
        <v>100</v>
      </c>
      <c r="X37" s="1571"/>
      <c r="Y37" s="3423"/>
      <c r="Z37" s="1150" t="str">
        <f t="shared" si="15"/>
        <v>成新度</v>
      </c>
      <c r="AA37" s="1572">
        <f t="shared" si="3"/>
        <v>1</v>
      </c>
      <c r="AB37" s="1572">
        <f t="shared" si="4"/>
        <v>1</v>
      </c>
      <c r="AC37" s="1572">
        <f t="shared" si="5"/>
        <v>1</v>
      </c>
    </row>
    <row r="38" spans="1:29" ht="15">
      <c r="A38" s="594"/>
      <c r="B38" s="527" t="s">
        <v>730</v>
      </c>
      <c r="C38" s="599" t="s">
        <v>3258</v>
      </c>
      <c r="D38" s="540">
        <v>100</v>
      </c>
      <c r="E38" s="599" t="s">
        <v>3258</v>
      </c>
      <c r="F38" s="575">
        <f>SUMIF(114:114,E38,115:115)-SUMIF(114:114,C38,115:115)+100</f>
        <v>100</v>
      </c>
      <c r="G38" s="599" t="s">
        <v>3258</v>
      </c>
      <c r="H38" s="540">
        <f>SUMIF(114:114,G38,115:115)-SUMIF(114:114,C38,115:115)+100</f>
        <v>100</v>
      </c>
      <c r="I38" s="599" t="s">
        <v>3258</v>
      </c>
      <c r="J38" s="540">
        <f>SUMIF(114:114,I38,115:115)-SUMIF(114:114,C38,115:115)+100</f>
        <v>100</v>
      </c>
      <c r="K38" s="864">
        <v>3</v>
      </c>
      <c r="L38" s="2144"/>
      <c r="M38" s="2136"/>
      <c r="N38" s="2136"/>
      <c r="O38" s="2143"/>
      <c r="P38" s="3423" t="s">
        <v>549</v>
      </c>
      <c r="Q38" s="1573" t="str">
        <f t="shared" si="11"/>
        <v>物业管理</v>
      </c>
      <c r="R38" s="1574" t="s">
        <v>11</v>
      </c>
      <c r="S38" s="1575">
        <f t="shared" si="12"/>
        <v>100</v>
      </c>
      <c r="T38" s="1574" t="s">
        <v>11</v>
      </c>
      <c r="U38" s="1575">
        <f t="shared" si="13"/>
        <v>100</v>
      </c>
      <c r="V38" s="1574" t="s">
        <v>11</v>
      </c>
      <c r="W38" s="1575">
        <f t="shared" si="14"/>
        <v>100</v>
      </c>
      <c r="X38" s="1568"/>
      <c r="Y38" s="3423" t="s">
        <v>549</v>
      </c>
      <c r="Z38" s="1576" t="str">
        <f t="shared" si="15"/>
        <v>物业管理</v>
      </c>
      <c r="AA38" s="1577">
        <f t="shared" si="3"/>
        <v>1</v>
      </c>
      <c r="AB38" s="1577">
        <f t="shared" si="4"/>
        <v>1</v>
      </c>
      <c r="AC38" s="1577">
        <f t="shared" si="5"/>
        <v>1</v>
      </c>
    </row>
    <row r="39" spans="1:29" ht="15">
      <c r="A39" s="594"/>
      <c r="B39" s="1897" t="s">
        <v>2562</v>
      </c>
      <c r="C39" s="599" t="s">
        <v>3261</v>
      </c>
      <c r="D39" s="540">
        <v>100</v>
      </c>
      <c r="E39" s="599" t="s">
        <v>3261</v>
      </c>
      <c r="F39" s="575">
        <f>SUMIF(116:116,E39,117:117)-SUMIF(116:116,C39,117:117)+100</f>
        <v>100</v>
      </c>
      <c r="G39" s="599" t="s">
        <v>3261</v>
      </c>
      <c r="H39" s="540">
        <f>SUMIF(116:116,G39,117:117)-SUMIF(116:116,C39,117:117)+100</f>
        <v>100</v>
      </c>
      <c r="I39" s="599" t="s">
        <v>3261</v>
      </c>
      <c r="J39" s="540">
        <f>SUMIF(116:116,I39,117:117)-SUMIF(116:116,C39,117:117)+100</f>
        <v>100</v>
      </c>
      <c r="K39" s="864">
        <v>1</v>
      </c>
      <c r="L39" s="2144"/>
      <c r="M39" s="2136"/>
      <c r="N39" s="2136"/>
      <c r="O39" s="2143"/>
      <c r="P39" s="3423"/>
      <c r="Q39" s="1573" t="str">
        <f t="shared" si="11"/>
        <v>市政基础设施</v>
      </c>
      <c r="R39" s="1574" t="s">
        <v>11</v>
      </c>
      <c r="S39" s="1575">
        <f t="shared" si="12"/>
        <v>100</v>
      </c>
      <c r="T39" s="1574" t="s">
        <v>11</v>
      </c>
      <c r="U39" s="1575">
        <f t="shared" si="13"/>
        <v>100</v>
      </c>
      <c r="V39" s="1574" t="s">
        <v>11</v>
      </c>
      <c r="W39" s="1575">
        <f t="shared" si="14"/>
        <v>100</v>
      </c>
      <c r="X39" s="1568"/>
      <c r="Y39" s="3423"/>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23"/>
      <c r="Q40" s="1573" t="str">
        <f t="shared" si="11"/>
        <v>房型</v>
      </c>
      <c r="R40" s="1574" t="s">
        <v>11</v>
      </c>
      <c r="S40" s="1575">
        <f t="shared" si="12"/>
        <v>100</v>
      </c>
      <c r="T40" s="1574" t="s">
        <v>11</v>
      </c>
      <c r="U40" s="1575">
        <f t="shared" si="13"/>
        <v>100</v>
      </c>
      <c r="V40" s="1574" t="s">
        <v>11</v>
      </c>
      <c r="W40" s="1575">
        <f t="shared" si="14"/>
        <v>100</v>
      </c>
      <c r="X40" s="1568"/>
      <c r="Y40" s="3423"/>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23"/>
      <c r="Q41" s="1606" t="str">
        <f t="shared" si="11"/>
        <v>单套/主力户型建筑面积</v>
      </c>
      <c r="R41" s="1578" t="s">
        <v>11</v>
      </c>
      <c r="S41" s="1579">
        <f t="shared" si="12"/>
        <v>100</v>
      </c>
      <c r="T41" s="1578" t="s">
        <v>11</v>
      </c>
      <c r="U41" s="1579">
        <f t="shared" si="13"/>
        <v>100</v>
      </c>
      <c r="V41" s="1578" t="s">
        <v>11</v>
      </c>
      <c r="W41" s="1579">
        <f t="shared" si="14"/>
        <v>100</v>
      </c>
      <c r="X41" s="1580"/>
      <c r="Y41" s="3423"/>
      <c r="Z41" s="1581" t="str">
        <f t="shared" si="15"/>
        <v>单套/主力户型建筑面积</v>
      </c>
      <c r="AA41" s="1577">
        <f t="shared" si="3"/>
        <v>1</v>
      </c>
      <c r="AB41" s="1577">
        <f t="shared" si="4"/>
        <v>1</v>
      </c>
      <c r="AC41" s="1577">
        <f t="shared" si="5"/>
        <v>1</v>
      </c>
    </row>
    <row r="42" spans="1:29" ht="15">
      <c r="A42" s="594"/>
      <c r="B42" s="527" t="s">
        <v>733</v>
      </c>
      <c r="C42" s="599" t="s">
        <v>3256</v>
      </c>
      <c r="D42" s="540">
        <v>100</v>
      </c>
      <c r="E42" s="599" t="s">
        <v>3256</v>
      </c>
      <c r="F42" s="575">
        <f>SUMIF(122:122,E42,123:123)-SUMIF(122:122,C42,123:123)+100</f>
        <v>100</v>
      </c>
      <c r="G42" s="599" t="s">
        <v>3256</v>
      </c>
      <c r="H42" s="540">
        <f>SUMIF(122:122,G42,123:123)-SUMIF(122:122,C42,123:123)+100</f>
        <v>100</v>
      </c>
      <c r="I42" s="599" t="s">
        <v>3256</v>
      </c>
      <c r="J42" s="540">
        <f>SUMIF(122:122,I42,123:123)-SUMIF(122:122,C42,123:123)+100</f>
        <v>100</v>
      </c>
      <c r="K42" s="864">
        <v>3</v>
      </c>
      <c r="L42" s="2144"/>
      <c r="M42" s="2136"/>
      <c r="N42" s="2136"/>
      <c r="O42" s="2143"/>
      <c r="P42" s="3423"/>
      <c r="Q42" s="1573" t="str">
        <f t="shared" si="11"/>
        <v>内部装修</v>
      </c>
      <c r="R42" s="1574" t="s">
        <v>11</v>
      </c>
      <c r="S42" s="1575">
        <f t="shared" si="12"/>
        <v>100</v>
      </c>
      <c r="T42" s="1574" t="s">
        <v>11</v>
      </c>
      <c r="U42" s="1575">
        <f t="shared" si="13"/>
        <v>100</v>
      </c>
      <c r="V42" s="1574" t="s">
        <v>11</v>
      </c>
      <c r="W42" s="1575">
        <f t="shared" si="14"/>
        <v>100</v>
      </c>
      <c r="X42" s="1568"/>
      <c r="Y42" s="3423"/>
      <c r="Z42" s="1576" t="str">
        <f t="shared" si="15"/>
        <v>内部装修</v>
      </c>
      <c r="AA42" s="1577">
        <f t="shared" si="3"/>
        <v>1</v>
      </c>
      <c r="AB42" s="1577">
        <f t="shared" si="4"/>
        <v>1</v>
      </c>
      <c r="AC42" s="1577">
        <f t="shared" si="5"/>
        <v>1</v>
      </c>
    </row>
    <row r="43" spans="1:29" ht="27">
      <c r="A43" s="594"/>
      <c r="B43" s="527" t="s">
        <v>734</v>
      </c>
      <c r="C43" s="599" t="s">
        <v>3276</v>
      </c>
      <c r="D43" s="540">
        <v>100</v>
      </c>
      <c r="E43" s="599" t="s">
        <v>3276</v>
      </c>
      <c r="F43" s="575">
        <f>SUMIF(124:124,E43,125:125)-SUMIF(124:124,C43,125:125)+100</f>
        <v>100</v>
      </c>
      <c r="G43" s="599" t="s">
        <v>3276</v>
      </c>
      <c r="H43" s="540">
        <f>SUMIF(124:124,G43,125:125)-SUMIF(124:124,C43,125:125)+100</f>
        <v>100</v>
      </c>
      <c r="I43" s="599" t="s">
        <v>3276</v>
      </c>
      <c r="J43" s="540">
        <f>SUMIF(124:124,I43,125:125)-SUMIF(124:124,C43,125:125)+100</f>
        <v>100</v>
      </c>
      <c r="K43" s="864">
        <v>1</v>
      </c>
      <c r="L43" s="2144"/>
      <c r="M43" s="2136"/>
      <c r="N43" s="2136"/>
      <c r="O43" s="2143"/>
      <c r="P43" s="3423"/>
      <c r="Q43" s="1573" t="str">
        <f t="shared" si="11"/>
        <v>内部装修维护情况</v>
      </c>
      <c r="R43" s="1574" t="s">
        <v>11</v>
      </c>
      <c r="S43" s="1575">
        <f t="shared" si="12"/>
        <v>100</v>
      </c>
      <c r="T43" s="1574" t="s">
        <v>11</v>
      </c>
      <c r="U43" s="1575">
        <f t="shared" si="13"/>
        <v>100</v>
      </c>
      <c r="V43" s="1574" t="s">
        <v>11</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3205" t="s">
        <v>3277</v>
      </c>
      <c r="C44" s="3206" t="s">
        <v>3278</v>
      </c>
      <c r="D44" s="255">
        <v>100</v>
      </c>
      <c r="E44" s="3206" t="s">
        <v>3279</v>
      </c>
      <c r="F44" s="863">
        <f>SUMIF(126:126,E44,127:127)-SUMIF(126:126,C44,127:127)+100</f>
        <v>80</v>
      </c>
      <c r="G44" s="3206" t="s">
        <v>3278</v>
      </c>
      <c r="H44" s="255">
        <f>SUMIF(126:126,G44,127:127)-SUMIF(126:126,C44,127:127)+100</f>
        <v>100</v>
      </c>
      <c r="I44" s="3206" t="s">
        <v>3278</v>
      </c>
      <c r="J44" s="255">
        <f>SUMIF(126:126,I44,127:127)-SUMIF(126:126,C44,127:127)+100</f>
        <v>100</v>
      </c>
      <c r="K44" s="865"/>
      <c r="L44" s="2137"/>
      <c r="M44" s="2138"/>
      <c r="N44" s="2138"/>
      <c r="O44" s="2139"/>
      <c r="P44" s="3423"/>
      <c r="Q44" s="1151" t="str">
        <f t="shared" si="11"/>
        <v>特殊修正</v>
      </c>
      <c r="R44" s="1569" t="s">
        <v>11</v>
      </c>
      <c r="S44" s="1570">
        <f t="shared" si="12"/>
        <v>80</v>
      </c>
      <c r="T44" s="1569" t="s">
        <v>11</v>
      </c>
      <c r="U44" s="1570">
        <f t="shared" si="13"/>
        <v>100</v>
      </c>
      <c r="V44" s="1569" t="s">
        <v>11</v>
      </c>
      <c r="W44" s="1570">
        <f t="shared" si="14"/>
        <v>100</v>
      </c>
      <c r="X44" s="1571"/>
      <c r="Y44" s="3423"/>
      <c r="Z44" s="1150" t="str">
        <f t="shared" si="15"/>
        <v>特殊修正</v>
      </c>
      <c r="AA44" s="1572">
        <f t="shared" si="3"/>
        <v>1.25</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3"/>
      <c r="Q45" s="1573">
        <f t="shared" si="11"/>
        <v>111</v>
      </c>
      <c r="R45" s="1574" t="s">
        <v>11</v>
      </c>
      <c r="S45" s="1575">
        <f t="shared" si="12"/>
        <v>100</v>
      </c>
      <c r="T45" s="1574" t="s">
        <v>11</v>
      </c>
      <c r="U45" s="1575">
        <f t="shared" si="13"/>
        <v>100</v>
      </c>
      <c r="V45" s="1574" t="s">
        <v>11</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7" t="s">
        <v>735</v>
      </c>
      <c r="B47" s="887"/>
      <c r="C47" s="2629" t="s">
        <v>9</v>
      </c>
      <c r="D47" s="2630"/>
      <c r="E47" s="2631">
        <v>43000</v>
      </c>
      <c r="F47" s="2632"/>
      <c r="G47" s="2633">
        <v>57000</v>
      </c>
      <c r="H47" s="2634"/>
      <c r="I47" s="2631">
        <v>66000</v>
      </c>
      <c r="J47" s="2634"/>
      <c r="K47" s="1607"/>
      <c r="L47" s="2146"/>
      <c r="M47" s="2147"/>
      <c r="N47" s="2136"/>
      <c r="O47" s="2147"/>
      <c r="P47" s="3386" t="str">
        <f>A47</f>
        <v>成交单价（元/平方米）</v>
      </c>
      <c r="Q47" s="3386"/>
      <c r="R47" s="3476">
        <f>E47</f>
        <v>43000</v>
      </c>
      <c r="S47" s="3476"/>
      <c r="T47" s="3476">
        <f>G47</f>
        <v>57000</v>
      </c>
      <c r="U47" s="3476"/>
      <c r="V47" s="3476">
        <f>I47</f>
        <v>66000</v>
      </c>
      <c r="W47" s="3476"/>
      <c r="X47" s="1560"/>
      <c r="Y47" s="1582"/>
      <c r="Z47" s="1560"/>
      <c r="AA47" s="1560"/>
      <c r="AB47" s="1560"/>
      <c r="AC47" s="1560"/>
    </row>
    <row r="48" spans="1:29" ht="15.75" thickBot="1">
      <c r="A48" s="615" t="s">
        <v>2758</v>
      </c>
      <c r="B48" s="888"/>
      <c r="C48" s="2635">
        <f>R49</f>
        <v>56440</v>
      </c>
      <c r="D48" s="2636"/>
      <c r="E48" s="2637">
        <f>R48</f>
        <v>54387</v>
      </c>
      <c r="F48" s="2637"/>
      <c r="G48" s="2635">
        <f>T48</f>
        <v>54871</v>
      </c>
      <c r="H48" s="2636"/>
      <c r="I48" s="2637">
        <f>V48</f>
        <v>63443</v>
      </c>
      <c r="J48" s="2636"/>
      <c r="K48" s="1608"/>
      <c r="L48" s="2146"/>
      <c r="M48" s="2147"/>
      <c r="N48" s="2147"/>
      <c r="O48" s="2147"/>
      <c r="P48" s="3386" t="str">
        <f>A48</f>
        <v>比较价格（元/平方米）</v>
      </c>
      <c r="Q48" s="3386"/>
      <c r="R48" s="3476">
        <f>IF(F1="售价",ROUND(PRODUCT(R47,AA7:AA46),0),ROUND(PRODUCT(R47,AA7:AA46),1))</f>
        <v>54387</v>
      </c>
      <c r="S48" s="3476"/>
      <c r="T48" s="3476">
        <f>IF(F1="售价",ROUND(PRODUCT(T47,AB7:AB46),0),ROUND(PRODUCT(T47,AB7:AB46),1))</f>
        <v>54871</v>
      </c>
      <c r="U48" s="3476"/>
      <c r="V48" s="3476">
        <f>IF(F1="售价",ROUND(PRODUCT(V47,AC7:AC46),0),ROUND(PRODUCT(V47,AC7:AC46),1))</f>
        <v>63443</v>
      </c>
      <c r="W48" s="3476"/>
      <c r="X48" s="1560"/>
      <c r="Y48" s="1560"/>
      <c r="Z48" s="1560"/>
      <c r="AA48" s="1560"/>
      <c r="AB48" s="1560"/>
      <c r="AC48" s="1560"/>
    </row>
    <row r="49" spans="1:29" ht="15.75" thickBot="1">
      <c r="A49" s="621" t="s">
        <v>2931</v>
      </c>
      <c r="B49" s="622"/>
      <c r="C49" s="2638">
        <f>R49</f>
        <v>56440</v>
      </c>
      <c r="D49" s="2638"/>
      <c r="E49" s="2638"/>
      <c r="F49" s="2638"/>
      <c r="G49" s="2638"/>
      <c r="H49" s="2638"/>
      <c r="I49" s="2638"/>
      <c r="J49" s="2638"/>
      <c r="K49" s="1609"/>
      <c r="L49" s="2146"/>
      <c r="M49" s="2147"/>
      <c r="N49" s="2147"/>
      <c r="O49" s="2147"/>
      <c r="P49" s="3383" t="str">
        <f>A49</f>
        <v>估价对象XX用房的比较价格（楼面单价，元/平方米）</v>
      </c>
      <c r="Q49" s="3384"/>
      <c r="R49" s="3475">
        <f>ROUND(R48*R50+T48*T50+V48*V50,0)</f>
        <v>56440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3207" t="s">
        <v>3282</v>
      </c>
      <c r="R50" s="2150">
        <v>0.3</v>
      </c>
      <c r="S50" s="2147"/>
      <c r="T50" s="2150">
        <v>0.5</v>
      </c>
      <c r="U50" s="2147"/>
      <c r="V50" s="2150">
        <v>0.2</v>
      </c>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0.264813953488372</v>
      </c>
      <c r="F52" s="627" t="str">
        <f>IF(OR(E52&gt;=0.3,E52&lt;=-0.3),"超过30%","")</f>
        <v/>
      </c>
      <c r="G52" s="626">
        <f>IF(G47&lt;G48,G48/G47-1,G47/G48-1)</f>
        <v>3.8800094767727833E-2</v>
      </c>
      <c r="H52" s="627" t="str">
        <f>IF(OR(G52&gt;=0.3,G52&lt;=-0.3),"超过30%","")</f>
        <v/>
      </c>
      <c r="I52" s="626">
        <f>IF(I47&lt;I48,I48/I47-1,I47/I48-1)</f>
        <v>4.0303894834733622E-2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8.8991854671152115E-3</v>
      </c>
      <c r="F53" s="627" t="str">
        <f>IF(OR(E53&gt;=0.2,E53&lt;=-0.2),"超过20%","")</f>
        <v/>
      </c>
      <c r="G53" s="626">
        <f>IF(G48&lt;I48,I48/G48-1,G48/I48-1)</f>
        <v>0.15622095460261343</v>
      </c>
      <c r="H53" s="627" t="str">
        <f>IF(OR(G53&gt;=0.2,G53&lt;=-0.2),"超过20%","")</f>
        <v/>
      </c>
      <c r="I53" s="626">
        <f>IF(I48&lt;E48,E48/I48-1,I48/E48-1)</f>
        <v>0.16651037931858714</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0.32558139534883712</v>
      </c>
      <c r="F54" s="627" t="str">
        <f>IF(OR(E54&gt;=0.3,E54&lt;=-0.3),"超过30%","")</f>
        <v>超过30%</v>
      </c>
      <c r="G54" s="626">
        <f>IF(G47&lt;I47,I47/G47-1,G47/I47-1)</f>
        <v>0.15789473684210531</v>
      </c>
      <c r="H54" s="627" t="str">
        <f>IF(OR(G54&gt;=0.3,G54&lt;=-0.3),"超过30%","")</f>
        <v/>
      </c>
      <c r="I54" s="626">
        <f>IF(I47&lt;E47,E47/I47-1,I47/E47-1)</f>
        <v>0.53488372093023262</v>
      </c>
      <c r="J54" s="627" t="str">
        <f>IF(OR(I54&gt;=0.3,I54&lt;=-0.3),"超过30%","")</f>
        <v>超过30%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2</v>
      </c>
      <c r="E68" s="541">
        <v>4</v>
      </c>
      <c r="F68" s="541">
        <v>6</v>
      </c>
      <c r="G68" s="541">
        <v>8</v>
      </c>
      <c r="H68" s="541">
        <v>10</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95</v>
      </c>
      <c r="E85" s="679">
        <f>D85-$K23</f>
        <v>90</v>
      </c>
      <c r="F85" s="679">
        <f>E85-$K23</f>
        <v>85</v>
      </c>
      <c r="G85" s="679">
        <f>F85-$K23</f>
        <v>80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3247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300000(含)-400000</v>
      </c>
      <c r="I102" s="708" t="str">
        <f t="shared" si="23"/>
        <v>400000(含)-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v>400000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9" t="s">
        <v>3248</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90" t="s">
        <v>3250</v>
      </c>
      <c r="D107" s="3190" t="s">
        <v>3251</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9" t="s">
        <v>3253</v>
      </c>
      <c r="D109" s="3189" t="s">
        <v>3254</v>
      </c>
      <c r="E109" s="3189" t="s">
        <v>3255</v>
      </c>
      <c r="F109" s="3190" t="s">
        <v>3257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9" t="s">
        <v>3259</v>
      </c>
      <c r="D114" s="3189" t="s">
        <v>3251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2554</v>
      </c>
      <c r="C116" s="3189" t="s">
        <v>3260</v>
      </c>
      <c r="D116" s="3189" t="s">
        <v>3262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9" t="s">
        <v>3253</v>
      </c>
      <c r="D122" s="3189" t="s">
        <v>3254</v>
      </c>
      <c r="E122" s="3189" t="s">
        <v>3255</v>
      </c>
      <c r="F122" s="3190" t="s">
        <v>3257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特殊修正</v>
      </c>
      <c r="C126" s="3189" t="s">
        <v>3278</v>
      </c>
      <c r="D126" s="3189" t="s">
        <v>3279</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80</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2259</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2260</v>
      </c>
      <c r="C137" s="1921"/>
      <c r="D137" s="1921"/>
      <c r="E137" s="1921"/>
      <c r="F137" s="1921"/>
      <c r="G137" s="1922"/>
      <c r="H137" s="1923"/>
      <c r="I137" s="1924" t="s">
        <v>2261</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2262</v>
      </c>
      <c r="D138" s="1927" t="s">
        <v>2263</v>
      </c>
      <c r="E138" s="1928" t="s">
        <v>2264</v>
      </c>
      <c r="F138" s="1929" t="s">
        <v>2265</v>
      </c>
      <c r="G138" s="1927" t="s">
        <v>2266</v>
      </c>
      <c r="H138" s="1930" t="s">
        <v>2267</v>
      </c>
      <c r="I138" s="1931"/>
      <c r="J138" s="1927" t="s">
        <v>2268</v>
      </c>
      <c r="K138" s="1930" t="s">
        <v>2269</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2270</v>
      </c>
      <c r="E139" s="1901">
        <v>100</v>
      </c>
      <c r="F139" s="1902">
        <v>102.5</v>
      </c>
      <c r="G139" s="1932" t="s">
        <v>2271</v>
      </c>
      <c r="H139" s="1903">
        <v>105</v>
      </c>
      <c r="I139" s="1933" t="s">
        <v>2272</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2273</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2274</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2275</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2276</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2277</v>
      </c>
      <c r="E144" s="1907">
        <v>102</v>
      </c>
      <c r="F144" s="1913">
        <v>100</v>
      </c>
      <c r="G144" s="1936" t="s">
        <v>2277</v>
      </c>
      <c r="H144" s="1909">
        <v>105</v>
      </c>
      <c r="I144" s="1935" t="s">
        <v>2276</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E2" sqref="E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3222</v>
      </c>
      <c r="D1" s="3126" t="s">
        <v>3288</v>
      </c>
      <c r="E1" s="2389" t="s">
        <v>2374</v>
      </c>
      <c r="F1" s="2390">
        <f ca="1">J53</f>
        <v>31.490000000000002</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6679</v>
      </c>
      <c r="C2" s="2059"/>
      <c r="D2" s="2057"/>
      <c r="E2" s="2058"/>
      <c r="F2" s="2058"/>
      <c r="G2" s="1591"/>
      <c r="H2" s="2059"/>
      <c r="I2" s="2059"/>
      <c r="J2" s="2059"/>
      <c r="K2" s="2060"/>
      <c r="L2" s="2059"/>
      <c r="M2" s="2059"/>
    </row>
    <row r="3" spans="1:33" ht="18" customHeight="1" thickBot="1">
      <c r="A3" s="833" t="s">
        <v>1726</v>
      </c>
      <c r="B3" s="834">
        <f ca="1">IF(ISERROR(B2*10000/F43),0,ROUND(B2*10000/F43,0))</f>
        <v>22983</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1731</v>
      </c>
      <c r="I4" s="778" t="s">
        <v>1732</v>
      </c>
      <c r="J4" s="778" t="s">
        <v>1733</v>
      </c>
      <c r="K4" s="778" t="s">
        <v>1734</v>
      </c>
      <c r="L4" s="779" t="s">
        <v>1735</v>
      </c>
      <c r="M4" s="780"/>
    </row>
    <row r="5" spans="1:33" ht="18" customHeight="1">
      <c r="A5" s="781">
        <v>1</v>
      </c>
      <c r="B5" s="782" t="s">
        <v>2456</v>
      </c>
      <c r="C5" s="55">
        <f ca="1">C6+C10+C12</f>
        <v>431</v>
      </c>
      <c r="D5" s="2498" t="s">
        <v>2459</v>
      </c>
      <c r="E5" s="2492"/>
      <c r="F5" s="2493"/>
      <c r="G5" s="1593"/>
      <c r="H5" s="781">
        <v>1</v>
      </c>
      <c r="I5" s="782" t="s">
        <v>2456</v>
      </c>
      <c r="J5" s="55">
        <f ca="1">J6+J10+J12</f>
        <v>0</v>
      </c>
      <c r="K5" s="2498" t="s">
        <v>2459</v>
      </c>
      <c r="L5" s="2492"/>
      <c r="M5" s="2493"/>
    </row>
    <row r="6" spans="1:33" ht="18" customHeight="1">
      <c r="A6" s="1832" t="s">
        <v>1823</v>
      </c>
      <c r="B6" s="3459" t="s">
        <v>2461</v>
      </c>
      <c r="C6" s="783">
        <f ca="1">ROUND(F6*F8*F7*(1-F9)/10000,0)</f>
        <v>430</v>
      </c>
      <c r="D6" s="2499" t="s">
        <v>2460</v>
      </c>
      <c r="E6" s="784" t="s">
        <v>1737</v>
      </c>
      <c r="F6" s="785">
        <f ca="1">INDIRECT("'数据-取费表'!u"&amp;$G$1)</f>
        <v>4.5</v>
      </c>
      <c r="G6" s="1593"/>
      <c r="H6" s="2506" t="s">
        <v>2466</v>
      </c>
      <c r="I6" s="3459" t="s">
        <v>2461</v>
      </c>
      <c r="J6" s="783">
        <f ca="1">ROUND(M6*M8*M7*(1-M9)/10000,0)</f>
        <v>0</v>
      </c>
      <c r="K6" s="341" t="s">
        <v>1736</v>
      </c>
      <c r="L6" s="784" t="s">
        <v>1737</v>
      </c>
      <c r="M6" s="785">
        <f ca="1">INDIRECT("'数据-取费表'!z"&amp;$G$1)</f>
        <v>0</v>
      </c>
    </row>
    <row r="7" spans="1:33" ht="18" customHeight="1">
      <c r="A7" s="2502"/>
      <c r="B7" s="3460"/>
      <c r="C7" s="788"/>
      <c r="D7" s="789"/>
      <c r="E7" s="784" t="s">
        <v>1738</v>
      </c>
      <c r="F7" s="785">
        <f ca="1">IF(INDIRECT("'数据-取费表'!ah"&amp;$G$1)="",INDIRECT("'数据-取费表'!k"&amp;$G$1),INDIRECT("'数据-取费表'!ah"&amp;$G$1))</f>
        <v>2906.04</v>
      </c>
      <c r="G7" s="1593"/>
      <c r="H7" s="2491"/>
      <c r="I7" s="3460"/>
      <c r="J7" s="788"/>
      <c r="K7" s="789"/>
      <c r="L7" s="784" t="s">
        <v>1738</v>
      </c>
      <c r="M7" s="785">
        <f ca="1">F7</f>
        <v>2906.04</v>
      </c>
    </row>
    <row r="8" spans="1:33" ht="18" customHeight="1">
      <c r="A8" s="2495"/>
      <c r="B8" s="3461"/>
      <c r="C8" s="788"/>
      <c r="D8" s="789"/>
      <c r="E8" s="784" t="s">
        <v>1739</v>
      </c>
      <c r="F8" s="785">
        <f ca="1">INDIRECT("'数据-取费表'!ai"&amp;$G$1)</f>
        <v>365</v>
      </c>
      <c r="G8" s="1593"/>
      <c r="H8" s="2491"/>
      <c r="I8" s="3461"/>
      <c r="J8" s="788"/>
      <c r="K8" s="789"/>
      <c r="L8" s="784" t="s">
        <v>1739</v>
      </c>
      <c r="M8" s="785">
        <f ca="1">INDIRECT("'数据-取费表'!ai"&amp;$G$1)</f>
        <v>365</v>
      </c>
    </row>
    <row r="9" spans="1:33" ht="18" customHeight="1">
      <c r="A9" s="786"/>
      <c r="B9" s="3462"/>
      <c r="C9" s="788"/>
      <c r="D9" s="789"/>
      <c r="E9" s="784" t="s">
        <v>1740</v>
      </c>
      <c r="F9" s="794">
        <f ca="1">INDIRECT("'数据-取费表'!w"&amp;$G$1)</f>
        <v>0.1</v>
      </c>
      <c r="G9" s="1593"/>
      <c r="H9" s="2507"/>
      <c r="I9" s="3461"/>
      <c r="J9" s="788"/>
      <c r="K9" s="789"/>
      <c r="L9" s="795" t="s">
        <v>1740</v>
      </c>
      <c r="M9" s="796">
        <f ca="1">INDIRECT("'数据-取费表'!ab"&amp;$G$1)</f>
        <v>0</v>
      </c>
    </row>
    <row r="10" spans="1:33" ht="18" customHeight="1">
      <c r="A10" s="1832" t="s">
        <v>2464</v>
      </c>
      <c r="B10" s="2496" t="s">
        <v>2457</v>
      </c>
      <c r="C10" s="799">
        <f ca="1">ROUND(IF(F10="押一",C6/12*F11,IF(F10="押二",C6/12*2*F11,IF(F10="押三",C6/12*3*F11,C11*F11))),0)</f>
        <v>1</v>
      </c>
      <c r="D10" s="2503" t="s">
        <v>2971</v>
      </c>
      <c r="E10" s="2500" t="s">
        <v>2462</v>
      </c>
      <c r="F10" s="2623" t="s">
        <v>3225</v>
      </c>
      <c r="G10" s="1593"/>
      <c r="H10" s="2563" t="s">
        <v>2467</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2463</v>
      </c>
      <c r="F11" s="796">
        <f ca="1">'数据-取费表'!B39</f>
        <v>1.4999999999999999E-2</v>
      </c>
      <c r="G11" s="1593"/>
      <c r="H11" s="2564"/>
      <c r="I11" s="2497" t="s">
        <v>2571</v>
      </c>
      <c r="J11" s="2501"/>
      <c r="K11" s="2565"/>
      <c r="L11" s="2500" t="s">
        <v>2463</v>
      </c>
      <c r="M11" s="2494">
        <f ca="1">'数据-取费表'!B39</f>
        <v>1.4999999999999999E-2</v>
      </c>
    </row>
    <row r="12" spans="1:33" ht="18" customHeight="1" thickBot="1">
      <c r="A12" s="2539" t="s">
        <v>2465</v>
      </c>
      <c r="B12" s="2540" t="s">
        <v>2458</v>
      </c>
      <c r="C12" s="2541"/>
      <c r="D12" s="2542"/>
      <c r="E12" s="2543"/>
      <c r="F12" s="2544"/>
      <c r="G12" s="1593"/>
      <c r="H12" s="2553" t="s">
        <v>2468</v>
      </c>
      <c r="I12" s="2566" t="s">
        <v>2458</v>
      </c>
      <c r="J12" s="2567"/>
      <c r="K12" s="2542"/>
      <c r="L12" s="2543"/>
      <c r="M12" s="2556"/>
    </row>
    <row r="13" spans="1:33" ht="18" customHeight="1" thickTop="1">
      <c r="A13" s="1831">
        <v>2</v>
      </c>
      <c r="B13" s="1829" t="s">
        <v>1741</v>
      </c>
      <c r="C13" s="792">
        <f ca="1">ROUND(C29*F13,0)</f>
        <v>2190</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1883</v>
      </c>
      <c r="B14" s="784" t="s">
        <v>644</v>
      </c>
      <c r="C14" s="804">
        <f ca="1">INDIRECT("'数据-取费表'!m"&amp;$G$1)+INDIRECT("'数据-取费表'!t"&amp;$G$1)</f>
        <v>1481</v>
      </c>
      <c r="D14" s="1981" t="s">
        <v>1744</v>
      </c>
      <c r="E14" s="1982"/>
      <c r="F14" s="805"/>
      <c r="G14" s="1593"/>
      <c r="H14" s="1650" t="s">
        <v>1829</v>
      </c>
      <c r="I14" s="2233" t="s">
        <v>2824</v>
      </c>
      <c r="J14" s="53">
        <f ca="1">C29</f>
        <v>2190</v>
      </c>
      <c r="K14" s="26"/>
      <c r="L14" s="801"/>
      <c r="M14" s="802"/>
    </row>
    <row r="15" spans="1:33" s="2066" customFormat="1" ht="18" customHeight="1" thickBot="1">
      <c r="A15" s="1649" t="s">
        <v>1884</v>
      </c>
      <c r="B15" s="784" t="s">
        <v>646</v>
      </c>
      <c r="C15" s="53">
        <f ca="1">ROUND(C14*F15,0)</f>
        <v>44</v>
      </c>
      <c r="D15" s="806" t="s">
        <v>1745</v>
      </c>
      <c r="E15" s="806" t="s">
        <v>1746</v>
      </c>
      <c r="F15" s="807">
        <f>'数据-取费表'!B33</f>
        <v>0.03</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217</v>
      </c>
      <c r="K16" s="1823" t="s">
        <v>1749</v>
      </c>
      <c r="L16" s="2488"/>
      <c r="M16" s="2493"/>
    </row>
    <row r="17" spans="1:33" s="2066" customFormat="1" ht="18" customHeight="1">
      <c r="A17" s="1649" t="s">
        <v>1886</v>
      </c>
      <c r="B17" s="784" t="s">
        <v>652</v>
      </c>
      <c r="C17" s="53">
        <f ca="1">ROUND(F17*(F43+INDIRECT("'数据-取费表'!S"&amp;$G$1))/10000,0)</f>
        <v>60</v>
      </c>
      <c r="D17" s="784" t="s">
        <v>1750</v>
      </c>
      <c r="E17" s="784" t="s">
        <v>1751</v>
      </c>
      <c r="F17" s="56">
        <f>'数据-取费表'!B35</f>
        <v>200</v>
      </c>
      <c r="G17" s="1594"/>
      <c r="H17" s="1650" t="s">
        <v>1829</v>
      </c>
      <c r="I17" s="784" t="s">
        <v>655</v>
      </c>
      <c r="J17" s="53">
        <f ca="1">ROUND(IF(项目基本情况!B11="自然人",J5*M17,J18+J19+J20),0)</f>
        <v>184</v>
      </c>
      <c r="K17" s="2487" t="s">
        <v>1752</v>
      </c>
      <c r="L17" s="2486"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22</v>
      </c>
      <c r="D18" s="784" t="s">
        <v>1745</v>
      </c>
      <c r="E18" s="784" t="s">
        <v>1746</v>
      </c>
      <c r="F18" s="809">
        <f>'数据-取费表'!B36</f>
        <v>1.4999999999999999E-2</v>
      </c>
      <c r="G18" s="1594"/>
      <c r="H18" s="1649" t="s">
        <v>1883</v>
      </c>
      <c r="I18" s="784" t="s">
        <v>1754</v>
      </c>
      <c r="J18" s="53">
        <f ca="1">ROUND(J5*M18/1.05,1)</f>
        <v>0</v>
      </c>
      <c r="K18" s="2486" t="s">
        <v>1755</v>
      </c>
      <c r="L18" s="784" t="s">
        <v>1746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661</v>
      </c>
      <c r="C19" s="53">
        <f ca="1">SUM(C14:C18)</f>
        <v>1607</v>
      </c>
      <c r="D19" s="261" t="s">
        <v>1756</v>
      </c>
      <c r="E19" s="1984"/>
      <c r="F19" s="56"/>
      <c r="G19" s="1593"/>
      <c r="H19" s="1649" t="s">
        <v>1884</v>
      </c>
      <c r="I19" s="784" t="s">
        <v>1757</v>
      </c>
      <c r="J19" s="53">
        <f ca="1">IF(K19="按租金收入计税",ROUND(J5*M19,1),ROUND(C29*F33*0.7,1))</f>
        <v>184</v>
      </c>
      <c r="K19" s="811" t="s">
        <v>664</v>
      </c>
      <c r="L19" s="784" t="s">
        <v>1746</v>
      </c>
      <c r="M19" s="809">
        <f>IF(K19="按租金收入计税",'数据-取费表'!B51,'数据-取费表'!B50)</f>
        <v>1.2E-2</v>
      </c>
    </row>
    <row r="20" spans="1:33" s="2066" customFormat="1" ht="18" customHeight="1">
      <c r="A20" s="1650" t="s">
        <v>1888</v>
      </c>
      <c r="B20" s="784" t="s">
        <v>665</v>
      </c>
      <c r="C20" s="53">
        <f ca="1">ROUND(C19*F20,0)</f>
        <v>48</v>
      </c>
      <c r="D20" s="812" t="s">
        <v>1758</v>
      </c>
      <c r="E20" s="784" t="s">
        <v>1746</v>
      </c>
      <c r="F20" s="809">
        <f>'数据-取费表'!B37</f>
        <v>0.03</v>
      </c>
      <c r="G20" s="1594"/>
      <c r="H20" s="1652" t="s">
        <v>1879</v>
      </c>
      <c r="I20" s="341" t="s">
        <v>1759</v>
      </c>
      <c r="J20" s="54">
        <f ca="1">ROUND(M20*M21/10000,0)</f>
        <v>0</v>
      </c>
      <c r="K20" s="814" t="s">
        <v>1760</v>
      </c>
      <c r="L20" s="784" t="s">
        <v>1761</v>
      </c>
      <c r="M20" s="640">
        <f>'数据-取费表'!B52</f>
        <v>12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0.02</v>
      </c>
      <c r="G21" s="1594"/>
      <c r="H21" s="2508"/>
      <c r="I21" s="793"/>
      <c r="J21" s="69"/>
      <c r="K21" s="816"/>
      <c r="L21" s="784" t="s">
        <v>1765</v>
      </c>
      <c r="M21" s="785">
        <f ca="1">INDIRECT("'数据-取费表'!r"&amp;$G$1)</f>
        <v>270.43</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33</v>
      </c>
      <c r="K22" s="2486" t="s">
        <v>1768</v>
      </c>
      <c r="L22" s="784" t="s">
        <v>1746</v>
      </c>
      <c r="M22" s="817">
        <f ca="1">INDIRECT("'数据-取费表'!Ak"&amp;$G$1)</f>
        <v>1.4999999999999999E-2</v>
      </c>
    </row>
    <row r="23" spans="1:33" s="2066" customFormat="1" ht="18" customHeight="1">
      <c r="A23" s="1649" t="s">
        <v>1830</v>
      </c>
      <c r="B23" s="784" t="s">
        <v>2533</v>
      </c>
      <c r="C23" s="53">
        <f ca="1">ROUND(IF('数据-取费表'!B22&lt;=1,(C19+C20)*F24*F23/2,(C19+C20)*(POWER((1+F24),F23/2)-1)),0)</f>
        <v>119</v>
      </c>
      <c r="D23" s="2573" t="str">
        <f>IF(F23&lt;=1,"(建造成本+管理费用)×利率×(建设周期÷2)","(建造成本+管理费用)×((1+利率)^(建设周期÷2)-1)")</f>
        <v>(建造成本+管理费用)×((1+利率)^(建设周期÷2)-1)</v>
      </c>
      <c r="E23" s="784" t="s">
        <v>1769</v>
      </c>
      <c r="F23" s="640">
        <f>'数据-取费表'!B20</f>
        <v>3</v>
      </c>
      <c r="G23" s="1594"/>
      <c r="H23" s="1650" t="s">
        <v>1889</v>
      </c>
      <c r="I23" s="784" t="s">
        <v>678</v>
      </c>
      <c r="J23" s="53">
        <f ca="1">ROUND(J13*M23,0)</f>
        <v>0</v>
      </c>
      <c r="K23" s="2486"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1.4E-3</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1984"/>
      <c r="F25" s="56"/>
      <c r="G25" s="1593"/>
      <c r="H25" s="1831" t="s">
        <v>1775</v>
      </c>
      <c r="I25" s="3012" t="s">
        <v>2820</v>
      </c>
      <c r="J25" s="792">
        <f ca="1">J5-J16</f>
        <v>-217</v>
      </c>
      <c r="K25" s="2550" t="s">
        <v>1776</v>
      </c>
      <c r="L25" s="2551"/>
      <c r="M25" s="2552"/>
    </row>
    <row r="26" spans="1:33" ht="18" customHeight="1">
      <c r="A26" s="1649" t="s">
        <v>1830</v>
      </c>
      <c r="B26" s="784" t="s">
        <v>2438</v>
      </c>
      <c r="C26" s="53">
        <f ca="1">ROUND((C19+C20)*F26,0)</f>
        <v>248</v>
      </c>
      <c r="D26" s="812" t="s">
        <v>1777</v>
      </c>
      <c r="E26" s="795" t="s">
        <v>1778</v>
      </c>
      <c r="F26" s="794">
        <f ca="1">INDIRECT("'数据-取费表'!q"&amp;$G$1)</f>
        <v>0.15</v>
      </c>
      <c r="G26" s="1593"/>
      <c r="H26" s="2504" t="s">
        <v>1779</v>
      </c>
      <c r="I26" s="2234" t="s">
        <v>2825</v>
      </c>
      <c r="J26" s="783">
        <f ca="1">IF(J5&lt;&gt;0,ROUND(J25*(1-((1+M28)/(1+M26))^M27)/(M26-M28),0),0)</f>
        <v>0</v>
      </c>
      <c r="K26" s="814" t="s">
        <v>1780</v>
      </c>
      <c r="L26" s="784" t="s">
        <v>2419</v>
      </c>
      <c r="M26" s="794">
        <f ca="1">INDIRECT("'数据-取费表'!I"&amp;$G$1)</f>
        <v>0.06</v>
      </c>
    </row>
    <row r="27" spans="1:33" ht="18" customHeight="1">
      <c r="A27" s="1649" t="s">
        <v>1831</v>
      </c>
      <c r="B27" s="784" t="s">
        <v>685</v>
      </c>
      <c r="C27" s="53">
        <f ca="1">ROUND(F21*F26,4)</f>
        <v>3.0000000000000001E-3</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5.2400000000000002E-2</v>
      </c>
      <c r="D28" s="812" t="s">
        <v>2299</v>
      </c>
      <c r="E28" s="784" t="s">
        <v>1784</v>
      </c>
      <c r="F28" s="809">
        <f>'数据-取费表'!B41</f>
        <v>5.5000000000000007E-2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2190</v>
      </c>
      <c r="D29" s="2547"/>
      <c r="E29" s="2548"/>
      <c r="F29" s="2549"/>
      <c r="G29" s="1594"/>
      <c r="H29" s="823" t="s">
        <v>1786</v>
      </c>
      <c r="I29" s="824" t="s">
        <v>1787</v>
      </c>
      <c r="J29" s="825">
        <f ca="1">ROUND(J26/(1+F40)^F41,0)</f>
        <v>0</v>
      </c>
      <c r="K29" s="826" t="s">
        <v>1788</v>
      </c>
      <c r="L29" s="827"/>
      <c r="M29" s="828">
        <f ca="1">INDIRECT("'数据-取费表'!k"&amp;$G$1)</f>
        <v>2906.04</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115</v>
      </c>
      <c r="D30" s="1823" t="s">
        <v>1790</v>
      </c>
      <c r="E30" s="2488"/>
      <c r="F30" s="2493"/>
      <c r="G30" s="2064"/>
      <c r="H30" s="2067"/>
      <c r="I30" s="2068"/>
      <c r="J30" s="2069"/>
      <c r="K30" s="2070"/>
      <c r="L30" s="2071"/>
      <c r="M30" s="2072"/>
    </row>
    <row r="31" spans="1:33" ht="18" customHeight="1">
      <c r="A31" s="1650" t="s">
        <v>1829</v>
      </c>
      <c r="B31" s="784" t="s">
        <v>655</v>
      </c>
      <c r="C31" s="53">
        <f ca="1">ROUND(IF(项目基本情况!B11="自然人",C5*F31,C32+C33+C34),1)</f>
        <v>74.599999999999994</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22.6</v>
      </c>
      <c r="D32" s="1979" t="s">
        <v>1794</v>
      </c>
      <c r="E32" s="784" t="s">
        <v>1795</v>
      </c>
      <c r="F32" s="809">
        <f>'数据-取费表'!B41</f>
        <v>5.5000000000000007E-2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51.7</v>
      </c>
      <c r="D33" s="811" t="s">
        <v>3226</v>
      </c>
      <c r="E33" s="784" t="s">
        <v>1795</v>
      </c>
      <c r="F33" s="809">
        <f>IF(D33="按租金收入计税",'数据-取费表'!B51,'数据-取费表'!B50)</f>
        <v>0.12</v>
      </c>
      <c r="G33" s="2064"/>
      <c r="H33" s="2079"/>
      <c r="I33" s="2079"/>
      <c r="J33" s="2079"/>
      <c r="K33" s="2080"/>
      <c r="L33" s="2079"/>
      <c r="M33" s="2079"/>
    </row>
    <row r="34" spans="1:18" ht="18" customHeight="1">
      <c r="A34" s="1652" t="s">
        <v>1832</v>
      </c>
      <c r="B34" s="341" t="s">
        <v>1797</v>
      </c>
      <c r="C34" s="54">
        <f ca="1">ROUND(F34*F35/10000,1)</f>
        <v>0.3</v>
      </c>
      <c r="D34" s="814" t="s">
        <v>1798</v>
      </c>
      <c r="E34" s="784" t="s">
        <v>1799</v>
      </c>
      <c r="F34" s="640">
        <f>'数据-取费表'!B52</f>
        <v>12</v>
      </c>
      <c r="G34" s="2064"/>
      <c r="H34" s="2067"/>
      <c r="I34" s="835" t="s">
        <v>1812</v>
      </c>
      <c r="J34" s="836"/>
      <c r="K34" s="2082"/>
      <c r="L34" s="2081"/>
      <c r="M34" s="2081"/>
    </row>
    <row r="35" spans="1:18" ht="18" customHeight="1">
      <c r="A35" s="815"/>
      <c r="B35" s="793"/>
      <c r="C35" s="69"/>
      <c r="D35" s="816"/>
      <c r="E35" s="784" t="s">
        <v>1800</v>
      </c>
      <c r="F35" s="785">
        <f ca="1">INDIRECT("'数据-取费表'!r"&amp;$G$1)</f>
        <v>270.43</v>
      </c>
      <c r="G35" s="2064"/>
      <c r="H35" s="2067"/>
      <c r="I35" s="837" t="s">
        <v>1813</v>
      </c>
      <c r="J35" s="838">
        <f ca="1">ROUND(C13*J36,0)</f>
        <v>186</v>
      </c>
      <c r="K35" s="2080"/>
      <c r="L35" s="2079"/>
      <c r="M35" s="2079"/>
    </row>
    <row r="36" spans="1:18" ht="18" customHeight="1">
      <c r="A36" s="1650" t="s">
        <v>1888</v>
      </c>
      <c r="B36" s="784" t="s">
        <v>1801</v>
      </c>
      <c r="C36" s="53">
        <f ca="1">ROUND(C29*F36,1)</f>
        <v>32.9</v>
      </c>
      <c r="D36" s="1979" t="s">
        <v>1802</v>
      </c>
      <c r="E36" s="784" t="s">
        <v>1795</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3.3</v>
      </c>
      <c r="D37" s="1979" t="s">
        <v>1803</v>
      </c>
      <c r="E37" s="784" t="s">
        <v>1795</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4.3</v>
      </c>
      <c r="D38" s="2547" t="s">
        <v>1804</v>
      </c>
      <c r="E38" s="2548" t="s">
        <v>1795</v>
      </c>
      <c r="F38" s="2544">
        <f ca="1">INDIRECT("'数据-取费表'!Am"&amp;$G$1)</f>
        <v>0.01</v>
      </c>
      <c r="G38" s="2064"/>
      <c r="H38" s="2079"/>
      <c r="I38" s="843" t="s">
        <v>1816</v>
      </c>
      <c r="J38" s="844"/>
      <c r="K38" s="2085"/>
      <c r="L38" s="2079"/>
      <c r="M38" s="2079"/>
    </row>
    <row r="39" spans="1:18" ht="24.6" customHeight="1" thickTop="1">
      <c r="A39" s="1831" t="s">
        <v>1893</v>
      </c>
      <c r="B39" s="3012" t="s">
        <v>2820</v>
      </c>
      <c r="C39" s="792">
        <f ca="1">C5-C30</f>
        <v>316</v>
      </c>
      <c r="D39" s="2550" t="s">
        <v>1805</v>
      </c>
      <c r="E39" s="2551"/>
      <c r="F39" s="2552"/>
      <c r="G39" s="2064"/>
      <c r="H39" s="2079"/>
      <c r="I39" s="837" t="s">
        <v>1817</v>
      </c>
      <c r="J39" s="845">
        <f ca="1">ROUND(J35/C39,3)</f>
        <v>0.58899999999999997</v>
      </c>
      <c r="K39" s="2085"/>
      <c r="L39" s="2079"/>
      <c r="M39" s="2079"/>
    </row>
    <row r="40" spans="1:18" ht="18" customHeight="1">
      <c r="A40" s="781" t="s">
        <v>1894</v>
      </c>
      <c r="B40" s="2234" t="s">
        <v>2301</v>
      </c>
      <c r="C40" s="783">
        <f ca="1">ROUND(C39*(1-((1+F42)/(1+F40))^F41)/(F40-F42),0)</f>
        <v>6679</v>
      </c>
      <c r="D40" s="814" t="s">
        <v>1806</v>
      </c>
      <c r="E40" s="784" t="s">
        <v>2419</v>
      </c>
      <c r="F40" s="794">
        <f ca="1">INDIRECT("'数据-取费表'!I"&amp;$G$1)</f>
        <v>0.06</v>
      </c>
      <c r="G40" s="2064"/>
      <c r="H40" s="2064"/>
      <c r="I40" s="837" t="s">
        <v>1818</v>
      </c>
      <c r="J40" s="845">
        <f ca="1">1-J39</f>
        <v>0.41100000000000003</v>
      </c>
      <c r="K40" s="2085"/>
      <c r="L40" s="2064"/>
      <c r="M40" s="2064"/>
    </row>
    <row r="41" spans="1:18" ht="18" customHeight="1">
      <c r="A41" s="786"/>
      <c r="B41" s="787"/>
      <c r="C41" s="788"/>
      <c r="D41" s="821" t="s">
        <v>1807</v>
      </c>
      <c r="E41" s="784" t="s">
        <v>2961</v>
      </c>
      <c r="F41" s="822">
        <f ca="1">IF(INDIRECT("'数据-取费表'!af"&amp;$G$1)=0,INDIRECT("'数据-取费表'!ae"&amp;$G$1),INDIRECT("'数据-取费表'!af"&amp;$G$1))</f>
        <v>31.490000000000002</v>
      </c>
      <c r="G41" s="2064"/>
      <c r="H41" s="1990"/>
      <c r="I41" s="843" t="s">
        <v>1819</v>
      </c>
      <c r="J41" s="846"/>
      <c r="K41" s="2084"/>
      <c r="L41" s="1990"/>
      <c r="M41" s="1990"/>
    </row>
    <row r="42" spans="1:18" ht="18" customHeight="1">
      <c r="A42" s="790"/>
      <c r="B42" s="791"/>
      <c r="C42" s="792"/>
      <c r="D42" s="816"/>
      <c r="E42" s="784" t="s">
        <v>1808</v>
      </c>
      <c r="F42" s="794">
        <f ca="1">INDIRECT("'数据-取费表'!v"&amp;$G$1)</f>
        <v>3.5000000000000003E-2</v>
      </c>
      <c r="G42" s="2064"/>
      <c r="H42" s="1990"/>
      <c r="I42" s="847" t="s">
        <v>1820</v>
      </c>
      <c r="J42" s="845">
        <f ca="1">ROUND(C13/C40,3)</f>
        <v>0.32800000000000001</v>
      </c>
      <c r="K42" s="2084"/>
      <c r="L42" s="1990"/>
      <c r="M42" s="1990"/>
    </row>
    <row r="43" spans="1:18" ht="18" customHeight="1" thickBot="1">
      <c r="A43" s="823" t="s">
        <v>1786</v>
      </c>
      <c r="B43" s="824" t="s">
        <v>1809</v>
      </c>
      <c r="C43" s="825">
        <f ca="1">ROUND(C40*10000/F43,0)</f>
        <v>22983</v>
      </c>
      <c r="D43" s="826" t="s">
        <v>1810</v>
      </c>
      <c r="E43" s="827" t="s">
        <v>1811</v>
      </c>
      <c r="F43" s="828">
        <f ca="1">INDIRECT("'数据-取费表'!k"&amp;$G$1)</f>
        <v>2906.04</v>
      </c>
      <c r="G43" s="2064"/>
      <c r="H43" s="1990"/>
      <c r="I43" s="847" t="s">
        <v>1821</v>
      </c>
      <c r="J43" s="848">
        <f ca="1">1-J42</f>
        <v>0.67199999999999993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-7197</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3227</v>
      </c>
      <c r="K47" s="3158" t="s">
        <v>2349</v>
      </c>
      <c r="L47" s="3162">
        <f ca="1">INDIRECT("'数据-取费表'!d"&amp;$G$1)</f>
        <v>40</v>
      </c>
      <c r="M47" s="1605" t="str">
        <f>IF(ISNUMBER(FIND("住宅",C1)),"住宅","非住宅")</f>
        <v>非住宅</v>
      </c>
      <c r="O47" s="2397" t="s">
        <v>2375</v>
      </c>
      <c r="P47" s="2398" t="s">
        <v>2376</v>
      </c>
      <c r="Q47" s="2399" t="s">
        <v>2377</v>
      </c>
      <c r="R47" s="2398" t="s">
        <v>2378</v>
      </c>
    </row>
    <row r="48" spans="1:18" s="2061" customFormat="1" ht="18" customHeight="1" thickBot="1">
      <c r="A48" s="2644" t="s">
        <v>2535</v>
      </c>
      <c r="B48" s="2645" t="s">
        <v>2536</v>
      </c>
      <c r="C48" s="2376">
        <f ca="1">ROUND(F48*F50*F49*(1-F51)/10000,0)</f>
        <v>0</v>
      </c>
      <c r="D48" s="2377" t="s">
        <v>635</v>
      </c>
      <c r="E48" s="2378" t="s">
        <v>2296</v>
      </c>
      <c r="F48" s="2379"/>
      <c r="G48" s="2092"/>
      <c r="I48" s="3127" t="s">
        <v>2345</v>
      </c>
      <c r="J48" s="2384" t="s">
        <v>2350</v>
      </c>
      <c r="K48" s="3159" t="s">
        <v>2351</v>
      </c>
      <c r="L48" s="1910">
        <f ca="1">INDIRECT("'数据-取费表'!f"&amp;$G$1)</f>
        <v>34.49</v>
      </c>
      <c r="O48" s="2400" t="s">
        <v>2379</v>
      </c>
      <c r="P48" s="2401" t="s">
        <v>2405</v>
      </c>
      <c r="Q48" s="2402">
        <f ca="1">C40+J29</f>
        <v>6679</v>
      </c>
      <c r="R48" s="2401" t="s">
        <v>2380</v>
      </c>
    </row>
    <row r="49" spans="1:18" s="2061" customFormat="1" ht="18" customHeight="1" thickBot="1">
      <c r="A49" s="786"/>
      <c r="B49" s="787"/>
      <c r="C49" s="788"/>
      <c r="D49" s="789"/>
      <c r="E49" s="784" t="s">
        <v>1738</v>
      </c>
      <c r="F49" s="785">
        <f ca="1">F7</f>
        <v>2906.04</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2190</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1988</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2972</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31.490000000000002</v>
      </c>
      <c r="K53" s="3480" t="s">
        <v>2963</v>
      </c>
      <c r="L53" s="3481"/>
      <c r="O53" s="2403" t="s">
        <v>2388</v>
      </c>
      <c r="P53" s="2401" t="s">
        <v>2389</v>
      </c>
      <c r="Q53" s="2402">
        <f ca="1">J53</f>
        <v>31.490000000000002</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6679</v>
      </c>
      <c r="R54" s="2405" t="s">
        <v>2392</v>
      </c>
    </row>
    <row r="55" spans="1:18" s="2061" customFormat="1" ht="18" customHeight="1" thickTop="1" thickBot="1">
      <c r="A55" s="797">
        <v>2</v>
      </c>
      <c r="B55" s="798" t="s">
        <v>643</v>
      </c>
      <c r="C55" s="799">
        <f ca="1">C13</f>
        <v>2190</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2302</v>
      </c>
      <c r="C56" s="53">
        <f ca="1">C29</f>
        <v>2190</v>
      </c>
      <c r="D56" s="2641"/>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37</v>
      </c>
      <c r="D57" s="26" t="s">
        <v>1749</v>
      </c>
      <c r="E57" s="2642"/>
      <c r="F57" s="56"/>
      <c r="I57" s="3169" t="s">
        <v>2358</v>
      </c>
      <c r="J57" s="3170" t="str">
        <f ca="1">IF(OR(M47="住宅",J51&lt;L48,J56="是"),"——",J51-L48)</f>
        <v>——</v>
      </c>
      <c r="K57" s="3127" t="s">
        <v>2363</v>
      </c>
      <c r="L57" s="1910" t="str">
        <f ca="1">IF(L48&lt;J51,"——",IF(L55="比较法",L49,IF(L55="基准地价",L50,L51)))</f>
        <v>——</v>
      </c>
      <c r="O57" s="2400" t="s">
        <v>2379</v>
      </c>
      <c r="P57" s="2401" t="s">
        <v>2409</v>
      </c>
      <c r="Q57" s="2402">
        <f ca="1">C40+J29</f>
        <v>6679</v>
      </c>
      <c r="R57" s="2401" t="s">
        <v>2380</v>
      </c>
    </row>
    <row r="58" spans="1:18" s="2061" customFormat="1" ht="28.5" customHeight="1" thickBot="1">
      <c r="A58" s="1650" t="s">
        <v>1823</v>
      </c>
      <c r="B58" s="784" t="s">
        <v>655</v>
      </c>
      <c r="C58" s="53">
        <f ca="1">ROUND(IF(项目基本情况!B11="自然人",C47*F58,C59+C60+C61),1)</f>
        <v>0.3</v>
      </c>
      <c r="D58" s="2640" t="s">
        <v>656</v>
      </c>
      <c r="E58" s="2641"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2641" t="s">
        <v>1755</v>
      </c>
      <c r="E59" s="784" t="s">
        <v>1746</v>
      </c>
      <c r="F59" s="809">
        <f t="shared" ref="F59:F65" si="0">F32</f>
        <v>5.5000000000000007E-2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2641"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0.3</v>
      </c>
      <c r="D61" s="814" t="s">
        <v>668</v>
      </c>
      <c r="E61" s="784" t="s">
        <v>669</v>
      </c>
      <c r="F61" s="640">
        <f t="shared" si="0"/>
        <v>12</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270.43</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32.9</v>
      </c>
      <c r="D63" s="2641" t="s">
        <v>1802</v>
      </c>
      <c r="E63" s="784" t="s">
        <v>1746</v>
      </c>
      <c r="F63" s="817">
        <f t="shared" ca="1" si="0"/>
        <v>1.4999999999999999E-2</v>
      </c>
      <c r="I63" s="3174" t="s">
        <v>2370</v>
      </c>
      <c r="J63" s="3175">
        <v>70</v>
      </c>
      <c r="K63" s="3175">
        <v>50</v>
      </c>
      <c r="L63" s="3175">
        <v>80</v>
      </c>
      <c r="M63" s="3177">
        <v>0.02</v>
      </c>
      <c r="O63" s="2400" t="s">
        <v>2391</v>
      </c>
      <c r="P63" s="2401" t="s">
        <v>2408</v>
      </c>
      <c r="Q63" s="2402">
        <f ca="1">Q57+Q58</f>
        <v>6679</v>
      </c>
      <c r="R63" s="2405" t="s">
        <v>2392</v>
      </c>
    </row>
    <row r="64" spans="1:18" s="2061" customFormat="1" ht="16.5" thickBot="1">
      <c r="A64" s="1650" t="s">
        <v>1889</v>
      </c>
      <c r="B64" s="784" t="s">
        <v>678</v>
      </c>
      <c r="C64" s="53">
        <f ca="1">ROUND(C55*F64,1)</f>
        <v>3.3</v>
      </c>
      <c r="D64" s="2641"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2641"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-37</v>
      </c>
      <c r="D66" s="2640" t="s">
        <v>699</v>
      </c>
      <c r="E66" s="2639"/>
      <c r="F66" s="820"/>
      <c r="K66" s="2088"/>
      <c r="O66" s="2400" t="s">
        <v>2379</v>
      </c>
      <c r="P66" s="2401" t="s">
        <v>2409</v>
      </c>
      <c r="Q66" s="2402">
        <f ca="1">C40+J29</f>
        <v>6679</v>
      </c>
      <c r="R66" s="2401" t="s">
        <v>2380</v>
      </c>
    </row>
    <row r="67" spans="1:18" s="2061" customFormat="1" ht="20.25" thickBot="1">
      <c r="A67" s="781" t="s">
        <v>1779</v>
      </c>
      <c r="B67" s="2234" t="s">
        <v>2301</v>
      </c>
      <c r="C67" s="783">
        <f ca="1">ROUND(C66*(1-((1+F69)/(1+F67))^F68)/(F67-F69),0)</f>
        <v>-518</v>
      </c>
      <c r="D67" s="814" t="s">
        <v>703</v>
      </c>
      <c r="E67" s="784" t="s">
        <v>704</v>
      </c>
      <c r="F67" s="794">
        <f ca="1">F40</f>
        <v>0.06</v>
      </c>
      <c r="K67" s="2088"/>
      <c r="O67" s="2400" t="s">
        <v>2381</v>
      </c>
      <c r="P67" s="2401" t="s">
        <v>2412</v>
      </c>
      <c r="Q67" s="2402">
        <f ca="1">L60</f>
        <v>0</v>
      </c>
      <c r="R67" s="2405" t="s">
        <v>2414</v>
      </c>
    </row>
    <row r="68" spans="1:18" ht="21.75" thickBot="1">
      <c r="A68" s="786"/>
      <c r="B68" s="787"/>
      <c r="C68" s="788"/>
      <c r="D68" s="821" t="s">
        <v>1807</v>
      </c>
      <c r="E68" s="784" t="s">
        <v>1783</v>
      </c>
      <c r="F68" s="822">
        <f ca="1">F41</f>
        <v>31.490000000000002</v>
      </c>
      <c r="O68" s="2403" t="s">
        <v>2383</v>
      </c>
      <c r="P68" s="2401" t="s">
        <v>2413</v>
      </c>
      <c r="Q68" s="2407">
        <f ca="1">L51</f>
        <v>1988</v>
      </c>
      <c r="R68" s="2408" t="s">
        <v>2416</v>
      </c>
    </row>
    <row r="69" spans="1:18" ht="20.25" thickBot="1">
      <c r="A69" s="790"/>
      <c r="B69" s="791"/>
      <c r="C69" s="792"/>
      <c r="D69" s="816"/>
      <c r="E69" s="784" t="s">
        <v>709</v>
      </c>
      <c r="F69" s="2373"/>
      <c r="O69" s="2403" t="s">
        <v>2384</v>
      </c>
      <c r="P69" s="2409" t="s">
        <v>2398</v>
      </c>
      <c r="Q69" s="2402">
        <f ca="1">ROUND(Q70-Q71*Q72,0)</f>
        <v>130</v>
      </c>
      <c r="R69" s="2405"/>
    </row>
    <row r="70" spans="1:18" ht="15.75" thickBot="1">
      <c r="A70" s="823" t="s">
        <v>1786</v>
      </c>
      <c r="B70" s="824" t="s">
        <v>1809</v>
      </c>
      <c r="C70" s="825">
        <f ca="1">ROUND(C67*10000/F70,0)</f>
        <v>-1782</v>
      </c>
      <c r="D70" s="826" t="s">
        <v>1810</v>
      </c>
      <c r="E70" s="827" t="s">
        <v>1811</v>
      </c>
      <c r="F70" s="828">
        <f ca="1">F43</f>
        <v>2906.04</v>
      </c>
      <c r="O70" s="2403" t="s">
        <v>2399</v>
      </c>
      <c r="P70" s="2409" t="s">
        <v>2400</v>
      </c>
      <c r="Q70" s="2402">
        <f ca="1">C39</f>
        <v>316</v>
      </c>
      <c r="R70" s="2401" t="s">
        <v>2380</v>
      </c>
    </row>
    <row r="71" spans="1:18" ht="15.75" thickBot="1">
      <c r="O71" s="2403" t="s">
        <v>2401</v>
      </c>
      <c r="P71" s="2409" t="s">
        <v>2402</v>
      </c>
      <c r="Q71" s="2402">
        <f ca="1">C13</f>
        <v>2190</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6679</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2" t="s">
        <v>2469</v>
      </c>
      <c r="B1" s="3483"/>
      <c r="C1" s="3484"/>
      <c r="D1" s="3485">
        <f>SUM(I10,I15,I20,I21,I23)</f>
        <v>0</v>
      </c>
      <c r="E1" s="3485"/>
      <c r="F1" s="3485"/>
      <c r="G1" s="3485"/>
      <c r="H1" s="3485"/>
      <c r="I1" s="3486"/>
    </row>
    <row r="2" spans="1:9">
      <c r="A2" s="3487" t="s">
        <v>2470</v>
      </c>
      <c r="B2" s="3488" t="s">
        <v>2471</v>
      </c>
      <c r="C2" s="3488"/>
      <c r="D2" s="2509" t="s">
        <v>2472</v>
      </c>
      <c r="E2" s="2509" t="s">
        <v>2473</v>
      </c>
      <c r="F2" s="2509" t="s">
        <v>2474</v>
      </c>
      <c r="G2" s="2509" t="s">
        <v>2475</v>
      </c>
      <c r="H2" s="2509" t="s">
        <v>2476</v>
      </c>
      <c r="I2" s="2510" t="s">
        <v>2477</v>
      </c>
    </row>
    <row r="3" spans="1:9">
      <c r="A3" s="3487"/>
      <c r="B3" s="3488" t="s">
        <v>2478</v>
      </c>
      <c r="C3" s="3488"/>
      <c r="D3" s="2511"/>
      <c r="E3" s="2509"/>
      <c r="F3" s="2512"/>
      <c r="G3" s="2512"/>
      <c r="H3" s="2513"/>
      <c r="I3" s="2514">
        <f>ROUND(D3*E3*F3*G3*H3/10000,0)</f>
        <v>0</v>
      </c>
    </row>
    <row r="4" spans="1:9">
      <c r="A4" s="3487"/>
      <c r="B4" s="3488" t="s">
        <v>2479</v>
      </c>
      <c r="C4" s="3488"/>
      <c r="D4" s="2511"/>
      <c r="E4" s="2509"/>
      <c r="F4" s="2512"/>
      <c r="G4" s="2512"/>
      <c r="H4" s="2513"/>
      <c r="I4" s="2514">
        <f t="shared" ref="I4:I9" si="0">ROUND(D4*E4*F4*G4*H4/10000,0)</f>
        <v>0</v>
      </c>
    </row>
    <row r="5" spans="1:9">
      <c r="A5" s="3487"/>
      <c r="B5" s="3488" t="s">
        <v>2480</v>
      </c>
      <c r="C5" s="3488"/>
      <c r="D5" s="2511"/>
      <c r="E5" s="2509"/>
      <c r="F5" s="2512"/>
      <c r="G5" s="2512"/>
      <c r="H5" s="2513"/>
      <c r="I5" s="2514">
        <f t="shared" si="0"/>
        <v>0</v>
      </c>
    </row>
    <row r="6" spans="1:9">
      <c r="A6" s="3487"/>
      <c r="B6" s="3488" t="s">
        <v>2481</v>
      </c>
      <c r="C6" s="3488"/>
      <c r="D6" s="2511"/>
      <c r="E6" s="2509"/>
      <c r="F6" s="2512"/>
      <c r="G6" s="2512"/>
      <c r="H6" s="2513"/>
      <c r="I6" s="2514">
        <f t="shared" si="0"/>
        <v>0</v>
      </c>
    </row>
    <row r="7" spans="1:9">
      <c r="A7" s="3487"/>
      <c r="B7" s="3488" t="s">
        <v>2482</v>
      </c>
      <c r="C7" s="3488"/>
      <c r="D7" s="2511"/>
      <c r="E7" s="2509"/>
      <c r="F7" s="2512"/>
      <c r="G7" s="2512"/>
      <c r="H7" s="2513"/>
      <c r="I7" s="2514">
        <f t="shared" si="0"/>
        <v>0</v>
      </c>
    </row>
    <row r="8" spans="1:9">
      <c r="A8" s="3487"/>
      <c r="B8" s="3488" t="s">
        <v>2483</v>
      </c>
      <c r="C8" s="3488"/>
      <c r="D8" s="2511"/>
      <c r="E8" s="2509"/>
      <c r="F8" s="2512"/>
      <c r="G8" s="2512"/>
      <c r="H8" s="2513"/>
      <c r="I8" s="2514">
        <f t="shared" si="0"/>
        <v>0</v>
      </c>
    </row>
    <row r="9" spans="1:9">
      <c r="A9" s="3487"/>
      <c r="B9" s="3488" t="s">
        <v>2484</v>
      </c>
      <c r="C9" s="3488"/>
      <c r="D9" s="2511"/>
      <c r="E9" s="2509"/>
      <c r="F9" s="2512"/>
      <c r="G9" s="2512"/>
      <c r="H9" s="2513"/>
      <c r="I9" s="2514">
        <f t="shared" si="0"/>
        <v>0</v>
      </c>
    </row>
    <row r="10" spans="1:9">
      <c r="A10" s="3487"/>
      <c r="B10" s="3489" t="s">
        <v>2485</v>
      </c>
      <c r="C10" s="3489"/>
      <c r="D10" s="2515">
        <v>527</v>
      </c>
      <c r="E10" s="2515" t="e">
        <f>ROUND(D1*10000/D10/H9,0)</f>
        <v>#DIV/0!</v>
      </c>
      <c r="F10" s="2516"/>
      <c r="G10" s="2516"/>
      <c r="H10" s="2517"/>
      <c r="I10" s="2518">
        <f>SUM(I3:I9)</f>
        <v>0</v>
      </c>
    </row>
    <row r="11" spans="1:9" ht="14.25">
      <c r="A11" s="3487" t="s">
        <v>2486</v>
      </c>
      <c r="B11" s="3488" t="s">
        <v>2487</v>
      </c>
      <c r="C11" s="3488"/>
      <c r="D11" s="2511" t="s">
        <v>2488</v>
      </c>
      <c r="E11" s="2511" t="s">
        <v>2489</v>
      </c>
      <c r="F11" s="2512" t="s">
        <v>2490</v>
      </c>
      <c r="G11" s="2512" t="s">
        <v>2491</v>
      </c>
      <c r="H11" s="2519" t="s">
        <v>2492</v>
      </c>
      <c r="I11" s="2510" t="s">
        <v>2493</v>
      </c>
    </row>
    <row r="12" spans="1:9">
      <c r="A12" s="3487"/>
      <c r="B12" s="3488" t="s">
        <v>2494</v>
      </c>
      <c r="C12" s="3488"/>
      <c r="D12" s="2511"/>
      <c r="E12" s="2511"/>
      <c r="F12" s="2512"/>
      <c r="G12" s="2513"/>
      <c r="H12" s="2520"/>
      <c r="I12" s="2510">
        <f>ROUND(D12*E12*F12*G12/10000,0)</f>
        <v>0</v>
      </c>
    </row>
    <row r="13" spans="1:9">
      <c r="A13" s="3487"/>
      <c r="B13" s="3488" t="s">
        <v>2495</v>
      </c>
      <c r="C13" s="3488"/>
      <c r="D13" s="2511"/>
      <c r="E13" s="2511"/>
      <c r="F13" s="2512"/>
      <c r="G13" s="2513"/>
      <c r="H13" s="2520"/>
      <c r="I13" s="2510">
        <f>ROUND(D13*E13*F13*G13/10000,0)</f>
        <v>0</v>
      </c>
    </row>
    <row r="14" spans="1:9">
      <c r="A14" s="3487"/>
      <c r="B14" s="3488" t="s">
        <v>2496</v>
      </c>
      <c r="C14" s="3488"/>
      <c r="D14" s="2511"/>
      <c r="E14" s="2511"/>
      <c r="F14" s="2512"/>
      <c r="G14" s="2513"/>
      <c r="H14" s="2520"/>
      <c r="I14" s="2510">
        <f>ROUND(D14*E14*F14*G14/10000,0)</f>
        <v>0</v>
      </c>
    </row>
    <row r="15" spans="1:9">
      <c r="A15" s="3487"/>
      <c r="B15" s="3489" t="s">
        <v>2485</v>
      </c>
      <c r="C15" s="3489"/>
      <c r="D15" s="2515"/>
      <c r="E15" s="2515">
        <f>SUM(E12:E14)</f>
        <v>0</v>
      </c>
      <c r="F15" s="2516"/>
      <c r="G15" s="2513"/>
      <c r="H15" s="2520"/>
      <c r="I15" s="2521">
        <f>SUM(I12:I14)</f>
        <v>0</v>
      </c>
    </row>
    <row r="16" spans="1:9" ht="24">
      <c r="A16" s="3487" t="s">
        <v>2497</v>
      </c>
      <c r="B16" s="3488" t="s">
        <v>2498</v>
      </c>
      <c r="C16" s="3488"/>
      <c r="D16" s="2511" t="s">
        <v>2499</v>
      </c>
      <c r="E16" s="2522" t="s">
        <v>2500</v>
      </c>
      <c r="F16" s="2512" t="s">
        <v>2501</v>
      </c>
      <c r="G16" s="2513" t="s">
        <v>2491</v>
      </c>
      <c r="H16" s="2519" t="s">
        <v>2492</v>
      </c>
      <c r="I16" s="2510" t="s">
        <v>2493</v>
      </c>
    </row>
    <row r="17" spans="1:9" ht="14.25">
      <c r="A17" s="3487"/>
      <c r="B17" s="3488" t="s">
        <v>2502</v>
      </c>
      <c r="C17" s="3488"/>
      <c r="D17" s="2511"/>
      <c r="E17" s="2511"/>
      <c r="F17" s="2512"/>
      <c r="G17" s="2513"/>
      <c r="H17" s="2523"/>
      <c r="I17" s="2524">
        <f>ROUND(D17*E17*F17*G17/10000,0)</f>
        <v>0</v>
      </c>
    </row>
    <row r="18" spans="1:9" ht="14.25">
      <c r="A18" s="3487"/>
      <c r="B18" s="3488" t="s">
        <v>2503</v>
      </c>
      <c r="C18" s="3488"/>
      <c r="D18" s="2511"/>
      <c r="E18" s="2511"/>
      <c r="F18" s="2512"/>
      <c r="G18" s="2513"/>
      <c r="H18" s="2523"/>
      <c r="I18" s="2524">
        <f>ROUND(D18*E18*F18*G18/10000,0)</f>
        <v>0</v>
      </c>
    </row>
    <row r="19" spans="1:9" ht="14.25">
      <c r="A19" s="3487"/>
      <c r="B19" s="3488" t="s">
        <v>2504</v>
      </c>
      <c r="C19" s="3488"/>
      <c r="D19" s="2511"/>
      <c r="E19" s="2511"/>
      <c r="F19" s="2512"/>
      <c r="G19" s="2513"/>
      <c r="H19" s="2523"/>
      <c r="I19" s="2524">
        <f>ROUND(D19*E19*F19*G19/10000,0)</f>
        <v>0</v>
      </c>
    </row>
    <row r="20" spans="1:9">
      <c r="A20" s="3487"/>
      <c r="B20" s="3489" t="s">
        <v>2485</v>
      </c>
      <c r="C20" s="3489"/>
      <c r="D20" s="2515">
        <f>SUM(D17:D19)</f>
        <v>0</v>
      </c>
      <c r="E20" s="2515"/>
      <c r="F20" s="2516"/>
      <c r="G20" s="2513"/>
      <c r="H20" s="2520"/>
      <c r="I20" s="2521">
        <f>SUM(I17:I19)</f>
        <v>0</v>
      </c>
    </row>
    <row r="21" spans="1:9">
      <c r="A21" s="3487" t="s">
        <v>2505</v>
      </c>
      <c r="B21" s="3491"/>
      <c r="C21" s="3491"/>
      <c r="D21" s="3491"/>
      <c r="E21" s="3491"/>
      <c r="F21" s="3491"/>
      <c r="G21" s="3491"/>
      <c r="H21" s="2525">
        <v>0.1</v>
      </c>
      <c r="I21" s="2518">
        <f>ROUND(I10*H21,0)</f>
        <v>0</v>
      </c>
    </row>
    <row r="22" spans="1:9" ht="14.25">
      <c r="A22" s="3492" t="s">
        <v>2506</v>
      </c>
      <c r="B22" s="3493"/>
      <c r="C22" s="3494"/>
      <c r="D22" s="2526" t="s">
        <v>2507</v>
      </c>
      <c r="E22" s="2526" t="s">
        <v>2508</v>
      </c>
      <c r="F22" s="2527" t="s">
        <v>2509</v>
      </c>
      <c r="G22" s="2527" t="s">
        <v>2510</v>
      </c>
      <c r="H22" s="2519" t="s">
        <v>2511</v>
      </c>
      <c r="I22" s="2510" t="s">
        <v>2512</v>
      </c>
    </row>
    <row r="23" spans="1:9" ht="14.25" thickBot="1">
      <c r="A23" s="3495"/>
      <c r="B23" s="3496"/>
      <c r="C23" s="3497"/>
      <c r="D23" s="2528"/>
      <c r="E23" s="2528"/>
      <c r="F23" s="2528"/>
      <c r="G23" s="2529"/>
      <c r="H23" s="2530"/>
      <c r="I23" s="2531">
        <f>ROUND(E23*D23*F23*(1-G23)/10000,0)</f>
        <v>0</v>
      </c>
    </row>
    <row r="26" spans="1:9">
      <c r="A26" s="2532" t="s">
        <v>2513</v>
      </c>
      <c r="B26" s="2532"/>
      <c r="C26" s="2532"/>
      <c r="D26" s="2532"/>
      <c r="E26" s="3498">
        <f>C27-C30-C31-C32</f>
        <v>0</v>
      </c>
      <c r="F26" s="3498"/>
      <c r="G26" s="3498"/>
      <c r="H26" s="3046" t="s">
        <v>2841</v>
      </c>
    </row>
    <row r="27" spans="1:9">
      <c r="A27" s="2533">
        <v>1</v>
      </c>
      <c r="B27" s="2534" t="s">
        <v>2514</v>
      </c>
      <c r="C27" s="2534"/>
      <c r="D27" s="2534"/>
      <c r="E27" s="3499"/>
      <c r="F27" s="3499"/>
      <c r="G27" s="3499"/>
    </row>
    <row r="28" spans="1:9">
      <c r="A28" s="2535" t="s">
        <v>2515</v>
      </c>
      <c r="B28" s="2534" t="s">
        <v>2516</v>
      </c>
      <c r="C28" s="2534"/>
      <c r="D28" s="2534"/>
      <c r="E28" s="3499"/>
      <c r="F28" s="3499"/>
      <c r="G28" s="3499"/>
    </row>
    <row r="29" spans="1:9">
      <c r="A29" s="2535" t="s">
        <v>2517</v>
      </c>
      <c r="B29" s="2534" t="s">
        <v>2458</v>
      </c>
      <c r="C29" s="2534"/>
      <c r="D29" s="2534"/>
      <c r="E29" s="2534" t="s">
        <v>2518</v>
      </c>
      <c r="F29" s="2534"/>
      <c r="G29" s="2534"/>
    </row>
    <row r="30" spans="1:9">
      <c r="A30" s="2533">
        <v>2</v>
      </c>
      <c r="B30" s="2534" t="s">
        <v>2519</v>
      </c>
      <c r="C30" s="2534">
        <f>C27*D30</f>
        <v>0</v>
      </c>
      <c r="D30" s="2536">
        <v>0.2</v>
      </c>
      <c r="E30" s="2534" t="s">
        <v>2520</v>
      </c>
      <c r="F30" s="2534"/>
      <c r="G30" s="2534"/>
    </row>
    <row r="31" spans="1:9">
      <c r="A31" s="2533">
        <v>3</v>
      </c>
      <c r="B31" s="2534" t="s">
        <v>2521</v>
      </c>
      <c r="C31" s="2534">
        <f>C25*D31</f>
        <v>0</v>
      </c>
      <c r="D31" s="2536">
        <v>0.15</v>
      </c>
      <c r="E31" s="2534" t="s">
        <v>2522</v>
      </c>
      <c r="F31" s="2534"/>
      <c r="G31" s="2534"/>
    </row>
    <row r="32" spans="1:9">
      <c r="A32" s="2533">
        <v>4</v>
      </c>
      <c r="B32" s="2534" t="s">
        <v>2523</v>
      </c>
      <c r="C32" s="2534">
        <f>C27*D32</f>
        <v>0</v>
      </c>
      <c r="D32" s="2536">
        <v>0.05</v>
      </c>
      <c r="E32" s="3490"/>
      <c r="F32" s="3490"/>
      <c r="G32" s="3490"/>
    </row>
    <row r="33" spans="1:7" hidden="1">
      <c r="A33" s="3500" t="s">
        <v>2524</v>
      </c>
      <c r="B33" s="3501"/>
      <c r="C33" s="3501"/>
      <c r="D33" s="3502"/>
      <c r="E33" s="3498"/>
      <c r="F33" s="3498"/>
      <c r="G33" s="3498"/>
    </row>
    <row r="34" spans="1:7" hidden="1">
      <c r="A34" s="2537">
        <v>1</v>
      </c>
      <c r="B34" s="2534" t="s">
        <v>2525</v>
      </c>
      <c r="C34" s="2534"/>
      <c r="D34" s="2534"/>
      <c r="E34" s="3499"/>
      <c r="F34" s="3499"/>
      <c r="G34" s="3499"/>
    </row>
    <row r="35" spans="1:7" hidden="1">
      <c r="A35" s="2537">
        <v>2</v>
      </c>
      <c r="B35" s="2534" t="s">
        <v>2526</v>
      </c>
      <c r="C35" s="2534"/>
      <c r="D35" s="2534"/>
      <c r="E35" s="3499"/>
      <c r="F35" s="3499"/>
      <c r="G35" s="3499"/>
    </row>
    <row r="36" spans="1:7" hidden="1">
      <c r="A36" s="2537">
        <v>3</v>
      </c>
      <c r="B36" s="2534" t="s">
        <v>2527</v>
      </c>
      <c r="C36" s="2534"/>
      <c r="D36" s="2534"/>
      <c r="E36" s="3499"/>
      <c r="F36" s="3499"/>
      <c r="G36" s="3499"/>
    </row>
    <row r="37" spans="1:7" hidden="1">
      <c r="A37" s="2537">
        <v>4</v>
      </c>
      <c r="B37" s="2534" t="s">
        <v>2528</v>
      </c>
      <c r="C37" s="2534"/>
      <c r="D37" s="2534"/>
      <c r="E37" s="3499"/>
      <c r="F37" s="3499"/>
      <c r="G37" s="3499"/>
    </row>
    <row r="38" spans="1:7" hidden="1">
      <c r="A38" s="3500" t="s">
        <v>2529</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2439</v>
      </c>
      <c r="B8" s="2474" t="s">
        <v>2441</v>
      </c>
      <c r="C8" s="2475"/>
      <c r="D8" s="749"/>
      <c r="E8" s="750"/>
      <c r="F8" s="750"/>
      <c r="G8" s="751"/>
    </row>
    <row r="9" spans="1:25" s="2185" customFormat="1" ht="13.5" customHeight="1">
      <c r="A9" s="2471" t="s">
        <v>2440</v>
      </c>
      <c r="B9" s="2474" t="s">
        <v>2442</v>
      </c>
      <c r="C9" s="2475"/>
      <c r="D9" s="749"/>
      <c r="E9" s="750"/>
      <c r="F9" s="750"/>
      <c r="G9" s="751"/>
    </row>
    <row r="10" spans="1:25" s="2185" customFormat="1" ht="36">
      <c r="A10" s="2471">
        <v>2</v>
      </c>
      <c r="B10" s="748" t="s">
        <v>612</v>
      </c>
      <c r="C10" s="749">
        <f>C11+C14+C15</f>
        <v>0</v>
      </c>
      <c r="D10" s="760">
        <f>'数据-汇总表'!E3</f>
        <v>155944.13</v>
      </c>
      <c r="E10" s="749">
        <f>'数据-取费表'!B31</f>
        <v>100</v>
      </c>
      <c r="F10" s="761"/>
      <c r="G10" s="759" t="s">
        <v>613</v>
      </c>
    </row>
    <row r="11" spans="1:25" s="2185" customFormat="1" ht="13.5" customHeight="1">
      <c r="A11" s="2471" t="s">
        <v>2439</v>
      </c>
      <c r="B11" s="752" t="s">
        <v>609</v>
      </c>
      <c r="C11" s="753">
        <f>'数据-取费表'!B29</f>
        <v>0</v>
      </c>
      <c r="D11" s="754"/>
      <c r="E11" s="753"/>
      <c r="F11" s="755"/>
      <c r="G11" s="2480" t="s">
        <v>2450</v>
      </c>
    </row>
    <row r="12" spans="1:25" s="2185" customFormat="1" ht="13.5" customHeight="1">
      <c r="A12" s="2478" t="s">
        <v>2447</v>
      </c>
      <c r="B12" s="756" t="s">
        <v>610</v>
      </c>
      <c r="C12" s="757">
        <f>ROUND(D12*E12/10000,0)</f>
        <v>1055</v>
      </c>
      <c r="D12" s="758">
        <f>'数据-汇总表'!E5</f>
        <v>105477.65</v>
      </c>
      <c r="E12" s="757">
        <f>'数据-取费表'!B27</f>
        <v>100</v>
      </c>
      <c r="F12" s="755"/>
      <c r="G12" s="759"/>
    </row>
    <row r="13" spans="1:25" s="2185" customFormat="1" ht="13.5" customHeight="1">
      <c r="A13" s="2478" t="s">
        <v>2446</v>
      </c>
      <c r="B13" s="756" t="s">
        <v>611</v>
      </c>
      <c r="C13" s="757">
        <f>ROUND(D13*E13/10000,0)</f>
        <v>505</v>
      </c>
      <c r="D13" s="758">
        <f>'数据-汇总表'!E6</f>
        <v>50466.48000000001</v>
      </c>
      <c r="E13" s="757">
        <f>'数据-取费表'!B28</f>
        <v>100</v>
      </c>
      <c r="F13" s="755"/>
      <c r="G13" s="759"/>
    </row>
    <row r="14" spans="1:25" s="2185" customFormat="1" ht="13.5" customHeight="1">
      <c r="A14" s="2471" t="s">
        <v>2440</v>
      </c>
      <c r="B14" s="2477" t="s">
        <v>2443</v>
      </c>
      <c r="C14" s="2475"/>
      <c r="D14" s="758"/>
      <c r="E14" s="757"/>
      <c r="F14" s="2476"/>
      <c r="G14" s="2479" t="s">
        <v>2448</v>
      </c>
    </row>
    <row r="15" spans="1:25" s="2185" customFormat="1" ht="13.5" customHeight="1">
      <c r="A15" s="2471" t="s">
        <v>2445</v>
      </c>
      <c r="B15" s="2477" t="s">
        <v>2444</v>
      </c>
      <c r="C15" s="2475"/>
      <c r="D15" s="758"/>
      <c r="E15" s="757"/>
      <c r="F15" s="2476"/>
      <c r="G15" s="2479" t="s">
        <v>2449</v>
      </c>
    </row>
    <row r="16" spans="1:25" s="2186" customFormat="1" ht="48">
      <c r="A16" s="2471">
        <v>3</v>
      </c>
      <c r="B16" s="748" t="s">
        <v>614</v>
      </c>
      <c r="C16" s="2475"/>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0.12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0.91800000000000004</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5" zoomScaleNormal="85"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35</v>
      </c>
      <c r="D1" s="3126" t="s">
        <v>3288</v>
      </c>
      <c r="E1" s="2389" t="s">
        <v>869</v>
      </c>
      <c r="F1" s="2390">
        <f ca="1">J53</f>
        <v>41.5</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21720</v>
      </c>
      <c r="C2" s="2059"/>
      <c r="D2" s="2057"/>
      <c r="E2" s="2058"/>
      <c r="F2" s="2058"/>
      <c r="G2" s="1591"/>
      <c r="H2" s="2059"/>
      <c r="I2" s="2059"/>
      <c r="J2" s="2059"/>
      <c r="K2" s="2060"/>
      <c r="L2" s="2059"/>
      <c r="M2" s="2059"/>
    </row>
    <row r="3" spans="1:33" ht="18" customHeight="1" thickBot="1">
      <c r="A3" s="833" t="s">
        <v>1726</v>
      </c>
      <c r="B3" s="834">
        <f ca="1">IF(ISERROR(B2*10000/F43),0,ROUND(B2*10000/F43,0))</f>
        <v>5566</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1727</v>
      </c>
      <c r="I4" s="778" t="s">
        <v>1728</v>
      </c>
      <c r="J4" s="778" t="s">
        <v>1729</v>
      </c>
      <c r="K4" s="778" t="s">
        <v>1734</v>
      </c>
      <c r="L4" s="779" t="s">
        <v>1730</v>
      </c>
      <c r="M4" s="780"/>
    </row>
    <row r="5" spans="1:33" ht="18" customHeight="1">
      <c r="A5" s="781">
        <v>1</v>
      </c>
      <c r="B5" s="782" t="s">
        <v>2456</v>
      </c>
      <c r="C5" s="55">
        <f ca="1">C6+C10+C12</f>
        <v>1353</v>
      </c>
      <c r="D5" s="2498" t="s">
        <v>2459</v>
      </c>
      <c r="E5" s="2492"/>
      <c r="F5" s="2493"/>
      <c r="G5" s="1593"/>
      <c r="H5" s="781">
        <v>1</v>
      </c>
      <c r="I5" s="782" t="s">
        <v>2456</v>
      </c>
      <c r="J5" s="55">
        <f ca="1">J6+J10+J12</f>
        <v>0</v>
      </c>
      <c r="K5" s="2498" t="s">
        <v>2459</v>
      </c>
      <c r="L5" s="2492"/>
      <c r="M5" s="2493"/>
    </row>
    <row r="6" spans="1:33" ht="18" customHeight="1">
      <c r="A6" s="1832" t="s">
        <v>1823</v>
      </c>
      <c r="B6" s="3459" t="s">
        <v>2461</v>
      </c>
      <c r="C6" s="783">
        <f ca="1">ROUND(F6*F8*F7*(1-F9)/10000,0)</f>
        <v>1353</v>
      </c>
      <c r="D6" s="2499" t="s">
        <v>2460</v>
      </c>
      <c r="E6" s="784" t="s">
        <v>1737</v>
      </c>
      <c r="F6" s="785">
        <f ca="1">INDIRECT("'数据-取费表'!u"&amp;$G$1)</f>
        <v>1</v>
      </c>
      <c r="G6" s="1593"/>
      <c r="H6" s="2506" t="s">
        <v>1823</v>
      </c>
      <c r="I6" s="3459" t="s">
        <v>2461</v>
      </c>
      <c r="J6" s="783">
        <f ca="1">ROUND(M6*M8*M7*(1-M9)/10000,0)</f>
        <v>0</v>
      </c>
      <c r="K6" s="341" t="s">
        <v>1736</v>
      </c>
      <c r="L6" s="784" t="s">
        <v>1737</v>
      </c>
      <c r="M6" s="785">
        <f ca="1">INDIRECT("'数据-取费表'!z"&amp;$G$1)</f>
        <v>0</v>
      </c>
    </row>
    <row r="7" spans="1:33" ht="18" customHeight="1">
      <c r="A7" s="2502"/>
      <c r="B7" s="3460"/>
      <c r="C7" s="788"/>
      <c r="D7" s="789"/>
      <c r="E7" s="784" t="s">
        <v>1738</v>
      </c>
      <c r="F7" s="785">
        <f ca="1">IF(INDIRECT("'数据-取费表'!ah"&amp;$G$1)="",INDIRECT("'数据-取费表'!k"&amp;$G$1),INDIRECT("'数据-取费表'!ah"&amp;$G$1))</f>
        <v>39021.96</v>
      </c>
      <c r="G7" s="1593"/>
      <c r="H7" s="2491"/>
      <c r="I7" s="3460"/>
      <c r="J7" s="788"/>
      <c r="K7" s="789"/>
      <c r="L7" s="784" t="s">
        <v>1738</v>
      </c>
      <c r="M7" s="785">
        <f ca="1">F7</f>
        <v>39021.96</v>
      </c>
    </row>
    <row r="8" spans="1:33" ht="18" customHeight="1">
      <c r="A8" s="2495"/>
      <c r="B8" s="3461"/>
      <c r="C8" s="788"/>
      <c r="D8" s="789"/>
      <c r="E8" s="784" t="s">
        <v>1739</v>
      </c>
      <c r="F8" s="785">
        <f ca="1">INDIRECT("'数据-取费表'!ai"&amp;$G$1)</f>
        <v>365</v>
      </c>
      <c r="G8" s="1593"/>
      <c r="H8" s="2491"/>
      <c r="I8" s="3461"/>
      <c r="J8" s="788"/>
      <c r="K8" s="789"/>
      <c r="L8" s="784" t="s">
        <v>1739</v>
      </c>
      <c r="M8" s="785">
        <f ca="1">INDIRECT("'数据-取费表'!ai"&amp;$G$1)</f>
        <v>365</v>
      </c>
    </row>
    <row r="9" spans="1:33" ht="18" customHeight="1">
      <c r="A9" s="786"/>
      <c r="B9" s="3462"/>
      <c r="C9" s="788"/>
      <c r="D9" s="789"/>
      <c r="E9" s="784" t="s">
        <v>1740</v>
      </c>
      <c r="F9" s="794">
        <f ca="1">INDIRECT("'数据-取费表'!w"&amp;$G$1)</f>
        <v>0.05</v>
      </c>
      <c r="G9" s="1593"/>
      <c r="H9" s="2507"/>
      <c r="I9" s="3461"/>
      <c r="J9" s="788"/>
      <c r="K9" s="789"/>
      <c r="L9" s="795" t="s">
        <v>1740</v>
      </c>
      <c r="M9" s="796">
        <f ca="1">INDIRECT("'数据-取费表'!ab"&amp;$G$1)</f>
        <v>0</v>
      </c>
    </row>
    <row r="10" spans="1:33" ht="18" customHeight="1">
      <c r="A10" s="1832" t="s">
        <v>1824</v>
      </c>
      <c r="B10" s="2496" t="s">
        <v>2457</v>
      </c>
      <c r="C10" s="799">
        <f ca="1">ROUND(IF(F10="押一",C6/12*F11,IF(F10="押二",C6/12*2*F11,IF(F10="押三",C6/12*3*F11,C11*F11))),0)</f>
        <v>0</v>
      </c>
      <c r="D10" s="2503" t="s">
        <v>2971</v>
      </c>
      <c r="E10" s="2500" t="s">
        <v>2462</v>
      </c>
      <c r="F10" s="2623" t="s">
        <v>3243</v>
      </c>
      <c r="G10" s="1593"/>
      <c r="H10" s="2563" t="s">
        <v>1824</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2454</v>
      </c>
      <c r="F11" s="796">
        <f ca="1">'数据-取费表'!B39</f>
        <v>1.4999999999999999E-2</v>
      </c>
      <c r="G11" s="1593"/>
      <c r="H11" s="2564"/>
      <c r="I11" s="2497" t="s">
        <v>2571</v>
      </c>
      <c r="J11" s="2501"/>
      <c r="K11" s="2565"/>
      <c r="L11" s="2500" t="s">
        <v>2454</v>
      </c>
      <c r="M11" s="2494">
        <f ca="1">'数据-取费表'!B39</f>
        <v>1.4999999999999999E-2</v>
      </c>
    </row>
    <row r="12" spans="1:33" ht="18" customHeight="1" thickBot="1">
      <c r="A12" s="2539" t="s">
        <v>2465</v>
      </c>
      <c r="B12" s="2540" t="s">
        <v>2458</v>
      </c>
      <c r="C12" s="2541"/>
      <c r="D12" s="2542"/>
      <c r="E12" s="2543"/>
      <c r="F12" s="2544"/>
      <c r="G12" s="1593"/>
      <c r="H12" s="2553" t="s">
        <v>2465</v>
      </c>
      <c r="I12" s="2566" t="s">
        <v>2458</v>
      </c>
      <c r="J12" s="2567"/>
      <c r="K12" s="2542"/>
      <c r="L12" s="2543"/>
      <c r="M12" s="2556"/>
    </row>
    <row r="13" spans="1:33" ht="18" customHeight="1" thickTop="1">
      <c r="A13" s="1831">
        <v>2</v>
      </c>
      <c r="B13" s="1829" t="s">
        <v>1741</v>
      </c>
      <c r="C13" s="792">
        <f ca="1">ROUND(C29*F13,0)</f>
        <v>14741</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1830</v>
      </c>
      <c r="B14" s="784" t="s">
        <v>644</v>
      </c>
      <c r="C14" s="804">
        <f ca="1">INDIRECT("'数据-取费表'!m"&amp;$G$1)+INDIRECT("'数据-取费表'!t"&amp;$G$1)</f>
        <v>10517</v>
      </c>
      <c r="D14" s="3181" t="s">
        <v>1744</v>
      </c>
      <c r="E14" s="3180"/>
      <c r="F14" s="805"/>
      <c r="G14" s="1593"/>
      <c r="H14" s="1650" t="s">
        <v>1823</v>
      </c>
      <c r="I14" s="2233" t="s">
        <v>2823</v>
      </c>
      <c r="J14" s="53">
        <f ca="1">C29</f>
        <v>14741</v>
      </c>
      <c r="K14" s="26"/>
      <c r="L14" s="801"/>
      <c r="M14" s="802"/>
    </row>
    <row r="15" spans="1:33" s="2066" customFormat="1" ht="18" customHeight="1" thickBot="1">
      <c r="A15" s="1649" t="s">
        <v>1831</v>
      </c>
      <c r="B15" s="784" t="s">
        <v>646</v>
      </c>
      <c r="C15" s="53">
        <f ca="1">ROUND(C14*F15,0)</f>
        <v>316</v>
      </c>
      <c r="D15" s="806" t="s">
        <v>1745</v>
      </c>
      <c r="E15" s="806" t="s">
        <v>1746</v>
      </c>
      <c r="F15" s="807">
        <f>'数据-取费表'!B33</f>
        <v>0.03</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1832</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1463</v>
      </c>
      <c r="K16" s="1823" t="s">
        <v>1749</v>
      </c>
      <c r="L16" s="3183"/>
      <c r="M16" s="2493"/>
    </row>
    <row r="17" spans="1:33" s="2066" customFormat="1" ht="18" customHeight="1">
      <c r="A17" s="1649" t="s">
        <v>1886</v>
      </c>
      <c r="B17" s="784" t="s">
        <v>652</v>
      </c>
      <c r="C17" s="53">
        <f ca="1">ROUND(F17*(F43+INDIRECT("'数据-取费表'!S"&amp;$G$1))/10000,0)</f>
        <v>809</v>
      </c>
      <c r="D17" s="784" t="s">
        <v>1750</v>
      </c>
      <c r="E17" s="784" t="s">
        <v>1751</v>
      </c>
      <c r="F17" s="56">
        <f>'数据-取费表'!B35</f>
        <v>200</v>
      </c>
      <c r="G17" s="1594"/>
      <c r="H17" s="1650" t="s">
        <v>1823</v>
      </c>
      <c r="I17" s="784" t="s">
        <v>655</v>
      </c>
      <c r="J17" s="53">
        <f ca="1">ROUND(IF(项目基本情况!B11="自然人",J5*M17,J18+J19+J20),0)</f>
        <v>1242</v>
      </c>
      <c r="K17" s="3181" t="s">
        <v>1752</v>
      </c>
      <c r="L17" s="3182"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158</v>
      </c>
      <c r="D18" s="784" t="s">
        <v>1745</v>
      </c>
      <c r="E18" s="784" t="s">
        <v>1746</v>
      </c>
      <c r="F18" s="809">
        <f>'数据-取费表'!B36</f>
        <v>1.4999999999999999E-2</v>
      </c>
      <c r="G18" s="1594"/>
      <c r="H18" s="1649" t="s">
        <v>1830</v>
      </c>
      <c r="I18" s="784" t="s">
        <v>1754</v>
      </c>
      <c r="J18" s="53">
        <f ca="1">ROUND(J5*M18/1.05,1)</f>
        <v>0</v>
      </c>
      <c r="K18" s="3182" t="s">
        <v>1755</v>
      </c>
      <c r="L18" s="784" t="s">
        <v>1746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1823</v>
      </c>
      <c r="B19" s="784" t="s">
        <v>661</v>
      </c>
      <c r="C19" s="53">
        <f ca="1">SUM(C14:C18)</f>
        <v>11800</v>
      </c>
      <c r="D19" s="261" t="s">
        <v>1756</v>
      </c>
      <c r="E19" s="3184"/>
      <c r="F19" s="56"/>
      <c r="G19" s="1593"/>
      <c r="H19" s="1649" t="s">
        <v>1831</v>
      </c>
      <c r="I19" s="784" t="s">
        <v>1757</v>
      </c>
      <c r="J19" s="53">
        <f ca="1">IF(K19="按租金收入计税",ROUND(J5*M19,1),ROUND(C29*F33*0.7,1))</f>
        <v>1238.2</v>
      </c>
      <c r="K19" s="811" t="s">
        <v>664</v>
      </c>
      <c r="L19" s="784" t="s">
        <v>1746</v>
      </c>
      <c r="M19" s="809">
        <f>IF(K19="按租金收入计税",'数据-取费表'!B51,'数据-取费表'!B50)</f>
        <v>1.2E-2</v>
      </c>
    </row>
    <row r="20" spans="1:33" s="2066" customFormat="1" ht="18" customHeight="1">
      <c r="A20" s="1650" t="s">
        <v>1888</v>
      </c>
      <c r="B20" s="784" t="s">
        <v>665</v>
      </c>
      <c r="C20" s="53">
        <f ca="1">ROUND(C19*F20,0)</f>
        <v>354</v>
      </c>
      <c r="D20" s="812" t="s">
        <v>1758</v>
      </c>
      <c r="E20" s="784" t="s">
        <v>1746</v>
      </c>
      <c r="F20" s="809">
        <f>'数据-取费表'!B37</f>
        <v>0.03</v>
      </c>
      <c r="G20" s="1594"/>
      <c r="H20" s="1652" t="s">
        <v>1832</v>
      </c>
      <c r="I20" s="341" t="s">
        <v>1759</v>
      </c>
      <c r="J20" s="54">
        <f ca="1">ROUND(M20*M21/10000,0)</f>
        <v>4</v>
      </c>
      <c r="K20" s="814" t="s">
        <v>1760</v>
      </c>
      <c r="L20" s="784" t="s">
        <v>1761</v>
      </c>
      <c r="M20" s="640">
        <f>'数据-取费表'!B52</f>
        <v>12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0.02</v>
      </c>
      <c r="G21" s="1594"/>
      <c r="H21" s="2508"/>
      <c r="I21" s="793"/>
      <c r="J21" s="69"/>
      <c r="K21" s="816"/>
      <c r="L21" s="784" t="s">
        <v>1765</v>
      </c>
      <c r="M21" s="785">
        <f ca="1">INDIRECT("'数据-取费表'!r"&amp;$G$1)</f>
        <v>3631.4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3184"/>
      <c r="F22" s="56"/>
      <c r="G22" s="1593"/>
      <c r="H22" s="1650" t="s">
        <v>1888</v>
      </c>
      <c r="I22" s="784" t="s">
        <v>1767</v>
      </c>
      <c r="J22" s="53">
        <f ca="1">ROUND(J14*M22,0)</f>
        <v>221</v>
      </c>
      <c r="K22" s="3182" t="s">
        <v>1768</v>
      </c>
      <c r="L22" s="784" t="s">
        <v>1746</v>
      </c>
      <c r="M22" s="817">
        <f ca="1">INDIRECT("'数据-取费表'!Ak"&amp;$G$1)</f>
        <v>1.4999999999999999E-2</v>
      </c>
    </row>
    <row r="23" spans="1:33" s="2066" customFormat="1" ht="18" customHeight="1">
      <c r="A23" s="1649" t="s">
        <v>1830</v>
      </c>
      <c r="B23" s="784" t="s">
        <v>2437</v>
      </c>
      <c r="C23" s="53">
        <f ca="1">ROUND(IF('数据-取费表'!B22&lt;=1,(C19+C20)*F24*F23/2,(C19+C20)*(POWER((1+F24),F23/2)-1)),0)</f>
        <v>876</v>
      </c>
      <c r="D23" s="2573" t="str">
        <f>IF(F23&lt;=1,"(建造成本+管理费用)×利率×(建设周期÷2)","(建造成本+管理费用)×((1+利率)^(建设周期÷2)-1)")</f>
        <v>(建造成本+管理费用)×((1+利率)^(建设周期÷2)-1)</v>
      </c>
      <c r="E23" s="784" t="s">
        <v>1769</v>
      </c>
      <c r="F23" s="640">
        <f>'数据-取费表'!B20</f>
        <v>3</v>
      </c>
      <c r="G23" s="1594"/>
      <c r="H23" s="1650" t="s">
        <v>1889</v>
      </c>
      <c r="I23" s="784" t="s">
        <v>678</v>
      </c>
      <c r="J23" s="53">
        <f ca="1">ROUND(J13*M23,0)</f>
        <v>0</v>
      </c>
      <c r="K23" s="3182"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1.4E-3</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3184"/>
      <c r="F25" s="56"/>
      <c r="G25" s="1593"/>
      <c r="H25" s="1831" t="s">
        <v>1775</v>
      </c>
      <c r="I25" s="3012" t="s">
        <v>2820</v>
      </c>
      <c r="J25" s="792">
        <f ca="1">J5-J16</f>
        <v>-1463</v>
      </c>
      <c r="K25" s="2550" t="s">
        <v>1776</v>
      </c>
      <c r="L25" s="2551"/>
      <c r="M25" s="2552"/>
    </row>
    <row r="26" spans="1:33" ht="18" customHeight="1">
      <c r="A26" s="1649" t="s">
        <v>1830</v>
      </c>
      <c r="B26" s="784" t="s">
        <v>2438</v>
      </c>
      <c r="C26" s="53">
        <f ca="1">ROUND((C19+C20)*F26,0)</f>
        <v>608</v>
      </c>
      <c r="D26" s="812" t="s">
        <v>1777</v>
      </c>
      <c r="E26" s="795" t="s">
        <v>1778</v>
      </c>
      <c r="F26" s="794">
        <f ca="1">INDIRECT("'数据-取费表'!q"&amp;$G$1)</f>
        <v>0.05</v>
      </c>
      <c r="G26" s="1593"/>
      <c r="H26" s="2504" t="s">
        <v>1779</v>
      </c>
      <c r="I26" s="2234" t="s">
        <v>2825</v>
      </c>
      <c r="J26" s="783">
        <f ca="1">IF(J5&lt;&gt;0,ROUND(J25*(1-((1+M28)/(1+M26))^M27)/(M26-M28),0),0)</f>
        <v>0</v>
      </c>
      <c r="K26" s="814" t="s">
        <v>1780</v>
      </c>
      <c r="L26" s="784" t="s">
        <v>2419</v>
      </c>
      <c r="M26" s="794">
        <f ca="1">INDIRECT("'数据-取费表'!I"&amp;$G$1)</f>
        <v>0.05</v>
      </c>
    </row>
    <row r="27" spans="1:33" ht="18" customHeight="1">
      <c r="A27" s="1649" t="s">
        <v>1831</v>
      </c>
      <c r="B27" s="784" t="s">
        <v>685</v>
      </c>
      <c r="C27" s="53">
        <f ca="1">ROUND(F21*F26,4)</f>
        <v>1E-3</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5.2400000000000002E-2</v>
      </c>
      <c r="D28" s="812" t="s">
        <v>2299</v>
      </c>
      <c r="E28" s="784" t="s">
        <v>1746</v>
      </c>
      <c r="F28" s="809">
        <f>'数据-取费表'!B41</f>
        <v>5.5000000000000007E-2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14741</v>
      </c>
      <c r="D29" s="2547"/>
      <c r="E29" s="2548"/>
      <c r="F29" s="2549"/>
      <c r="G29" s="1594"/>
      <c r="H29" s="823" t="s">
        <v>1786</v>
      </c>
      <c r="I29" s="824" t="s">
        <v>1787</v>
      </c>
      <c r="J29" s="825">
        <f ca="1">ROUND(J26/(1+F40)^F41,0)</f>
        <v>0</v>
      </c>
      <c r="K29" s="826" t="s">
        <v>1788</v>
      </c>
      <c r="L29" s="827"/>
      <c r="M29" s="828">
        <f ca="1">INDIRECT("'数据-取费表'!k"&amp;$G$1)</f>
        <v>39021.96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1747</v>
      </c>
      <c r="B30" s="1829" t="s">
        <v>1748</v>
      </c>
      <c r="C30" s="792">
        <f ca="1">ROUND(C31+C36+C37+C38,0)</f>
        <v>494</v>
      </c>
      <c r="D30" s="1823" t="s">
        <v>1749</v>
      </c>
      <c r="E30" s="3183"/>
      <c r="F30" s="2493"/>
      <c r="G30" s="2064"/>
      <c r="H30" s="2067"/>
      <c r="I30" s="2068"/>
      <c r="J30" s="2069"/>
      <c r="K30" s="2070"/>
      <c r="L30" s="2071"/>
      <c r="M30" s="2072"/>
    </row>
    <row r="31" spans="1:33" ht="18" customHeight="1">
      <c r="A31" s="1650" t="s">
        <v>1823</v>
      </c>
      <c r="B31" s="784" t="s">
        <v>655</v>
      </c>
      <c r="C31" s="53">
        <f ca="1">ROUND(IF(项目基本情况!B11="自然人",C5*F31,C32+C33+C34),1)</f>
        <v>237.7</v>
      </c>
      <c r="D31" s="3181" t="s">
        <v>1752</v>
      </c>
      <c r="E31" s="3182"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1754</v>
      </c>
      <c r="C32" s="53">
        <f ca="1">ROUND(C5*F32/1.05,1)</f>
        <v>70.900000000000006</v>
      </c>
      <c r="D32" s="3182" t="s">
        <v>1755</v>
      </c>
      <c r="E32" s="784" t="s">
        <v>1746</v>
      </c>
      <c r="F32" s="809">
        <f>'数据-取费表'!B41</f>
        <v>5.5000000000000007E-2</v>
      </c>
      <c r="G32" s="2064"/>
      <c r="H32" s="2073"/>
      <c r="I32" s="2074"/>
      <c r="J32" s="2075"/>
      <c r="K32" s="2076"/>
      <c r="L32" s="2077"/>
      <c r="M32" s="2078"/>
    </row>
    <row r="33" spans="1:18" ht="18" customHeight="1">
      <c r="A33" s="1649" t="s">
        <v>1831</v>
      </c>
      <c r="B33" s="784" t="s">
        <v>1757</v>
      </c>
      <c r="C33" s="53">
        <f ca="1">IF(D33="按租金收入计税",ROUND(C5*F33,1),IF(D33="按房产原值计税",ROUND(C29*F33*0.7,1),INDIRECT("'数据-取费表'!Aj"&amp;$G$1)))</f>
        <v>162.4</v>
      </c>
      <c r="D33" s="811" t="s">
        <v>3226</v>
      </c>
      <c r="E33" s="784" t="s">
        <v>1746</v>
      </c>
      <c r="F33" s="809">
        <f>IF(D33="按租金收入计税",'数据-取费表'!B51,'数据-取费表'!B50)</f>
        <v>0.12</v>
      </c>
      <c r="G33" s="2064"/>
      <c r="H33" s="2079"/>
      <c r="I33" s="2079"/>
      <c r="J33" s="2079"/>
      <c r="K33" s="2080"/>
      <c r="L33" s="2079"/>
      <c r="M33" s="2079"/>
    </row>
    <row r="34" spans="1:18" ht="18" customHeight="1">
      <c r="A34" s="1652" t="s">
        <v>1832</v>
      </c>
      <c r="B34" s="341" t="s">
        <v>1759</v>
      </c>
      <c r="C34" s="54">
        <f ca="1">ROUND(F34*F35/10000,1)</f>
        <v>4.4000000000000004</v>
      </c>
      <c r="D34" s="814" t="s">
        <v>1760</v>
      </c>
      <c r="E34" s="784" t="s">
        <v>1761</v>
      </c>
      <c r="F34" s="640">
        <f>'数据-取费表'!B52</f>
        <v>12</v>
      </c>
      <c r="G34" s="2064"/>
      <c r="H34" s="2067"/>
      <c r="I34" s="835" t="s">
        <v>1812</v>
      </c>
      <c r="J34" s="836"/>
      <c r="K34" s="2082"/>
      <c r="L34" s="2081"/>
      <c r="M34" s="2081"/>
    </row>
    <row r="35" spans="1:18" ht="18" customHeight="1">
      <c r="A35" s="815"/>
      <c r="B35" s="793"/>
      <c r="C35" s="69"/>
      <c r="D35" s="816"/>
      <c r="E35" s="784" t="s">
        <v>1765</v>
      </c>
      <c r="F35" s="785">
        <f ca="1">INDIRECT("'数据-取费表'!r"&amp;$G$1)</f>
        <v>3631.4</v>
      </c>
      <c r="G35" s="2064"/>
      <c r="H35" s="2067"/>
      <c r="I35" s="837" t="s">
        <v>1813</v>
      </c>
      <c r="J35" s="838">
        <f ca="1">ROUND(C13*J36,0)</f>
        <v>1253</v>
      </c>
      <c r="K35" s="2080"/>
      <c r="L35" s="2079"/>
      <c r="M35" s="2079"/>
    </row>
    <row r="36" spans="1:18" ht="18" customHeight="1">
      <c r="A36" s="1650" t="s">
        <v>1888</v>
      </c>
      <c r="B36" s="784" t="s">
        <v>1767</v>
      </c>
      <c r="C36" s="53">
        <f ca="1">ROUND(C29*F36,1)</f>
        <v>221.1</v>
      </c>
      <c r="D36" s="3182" t="s">
        <v>1802</v>
      </c>
      <c r="E36" s="784" t="s">
        <v>1746</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22.1</v>
      </c>
      <c r="D37" s="3182" t="s">
        <v>1770</v>
      </c>
      <c r="E37" s="784" t="s">
        <v>1746</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13.5</v>
      </c>
      <c r="D38" s="2547" t="s">
        <v>1773</v>
      </c>
      <c r="E38" s="2548" t="s">
        <v>1746</v>
      </c>
      <c r="F38" s="2544">
        <f ca="1">INDIRECT("'数据-取费表'!Am"&amp;$G$1)</f>
        <v>0.01</v>
      </c>
      <c r="G38" s="2064"/>
      <c r="H38" s="2079"/>
      <c r="I38" s="843" t="s">
        <v>1816</v>
      </c>
      <c r="J38" s="844"/>
      <c r="K38" s="2085"/>
      <c r="L38" s="2079"/>
      <c r="M38" s="2079"/>
    </row>
    <row r="39" spans="1:18" ht="24.6" customHeight="1" thickTop="1">
      <c r="A39" s="1831" t="s">
        <v>1775</v>
      </c>
      <c r="B39" s="3012" t="s">
        <v>2820</v>
      </c>
      <c r="C39" s="792">
        <f ca="1">C5-C30</f>
        <v>859</v>
      </c>
      <c r="D39" s="2550" t="s">
        <v>1776</v>
      </c>
      <c r="E39" s="2551"/>
      <c r="F39" s="2552"/>
      <c r="G39" s="2064"/>
      <c r="H39" s="2079"/>
      <c r="I39" s="837" t="s">
        <v>1817</v>
      </c>
      <c r="J39" s="845">
        <f ca="1">ROUND(J35/C39,3)</f>
        <v>1.4590000000000001</v>
      </c>
      <c r="K39" s="2085"/>
      <c r="L39" s="2079"/>
      <c r="M39" s="2079"/>
    </row>
    <row r="40" spans="1:18" ht="18" customHeight="1">
      <c r="A40" s="781" t="s">
        <v>1779</v>
      </c>
      <c r="B40" s="2234" t="s">
        <v>2301</v>
      </c>
      <c r="C40" s="783">
        <f ca="1">ROUND(C39*(1-((1+F42)/(1+F40))^F41)/(F40-F42),0)</f>
        <v>21720</v>
      </c>
      <c r="D40" s="814" t="s">
        <v>1780</v>
      </c>
      <c r="E40" s="784" t="s">
        <v>2419</v>
      </c>
      <c r="F40" s="794">
        <f ca="1">INDIRECT("'数据-取费表'!I"&amp;$G$1)</f>
        <v>0.05</v>
      </c>
      <c r="G40" s="2064"/>
      <c r="H40" s="2064"/>
      <c r="I40" s="837" t="s">
        <v>1818</v>
      </c>
      <c r="J40" s="845">
        <f ca="1">1-J39</f>
        <v>-0.45900000000000007</v>
      </c>
      <c r="K40" s="2085"/>
      <c r="L40" s="2064"/>
      <c r="M40" s="2064"/>
    </row>
    <row r="41" spans="1:18" ht="18" customHeight="1">
      <c r="A41" s="786"/>
      <c r="B41" s="787"/>
      <c r="C41" s="788"/>
      <c r="D41" s="821" t="s">
        <v>1807</v>
      </c>
      <c r="E41" s="784" t="s">
        <v>1783</v>
      </c>
      <c r="F41" s="822">
        <f ca="1">IF(INDIRECT("'数据-取费表'!af"&amp;$G$1)=0,INDIRECT("'数据-取费表'!ae"&amp;$G$1),INDIRECT("'数据-取费表'!af"&amp;$G$1))</f>
        <v>41.5</v>
      </c>
      <c r="G41" s="2064"/>
      <c r="H41" s="1990"/>
      <c r="I41" s="843" t="s">
        <v>1819</v>
      </c>
      <c r="J41" s="846"/>
      <c r="K41" s="2084"/>
      <c r="L41" s="1990"/>
      <c r="M41" s="1990"/>
    </row>
    <row r="42" spans="1:18" ht="18" customHeight="1">
      <c r="A42" s="790"/>
      <c r="B42" s="791"/>
      <c r="C42" s="792"/>
      <c r="D42" s="816"/>
      <c r="E42" s="784" t="s">
        <v>1785</v>
      </c>
      <c r="F42" s="794">
        <f ca="1">INDIRECT("'数据-取费表'!v"&amp;$G$1)</f>
        <v>2.5000000000000001E-2</v>
      </c>
      <c r="G42" s="2064"/>
      <c r="H42" s="1990"/>
      <c r="I42" s="847" t="s">
        <v>1820</v>
      </c>
      <c r="J42" s="845">
        <f ca="1">ROUND(C13/C40,3)</f>
        <v>0.67900000000000005</v>
      </c>
      <c r="K42" s="2084"/>
      <c r="L42" s="1990"/>
      <c r="M42" s="1990"/>
    </row>
    <row r="43" spans="1:18" ht="18" customHeight="1" thickBot="1">
      <c r="A43" s="823" t="s">
        <v>1786</v>
      </c>
      <c r="B43" s="824" t="s">
        <v>1809</v>
      </c>
      <c r="C43" s="825">
        <f ca="1">ROUND(C40*10000/F43,0)</f>
        <v>5566</v>
      </c>
      <c r="D43" s="826" t="s">
        <v>1810</v>
      </c>
      <c r="E43" s="827" t="s">
        <v>1811</v>
      </c>
      <c r="F43" s="828">
        <f ca="1">INDIRECT("'数据-取费表'!k"&amp;$G$1)</f>
        <v>39021.96</v>
      </c>
      <c r="G43" s="2064"/>
      <c r="H43" s="1990"/>
      <c r="I43" s="847" t="s">
        <v>1821</v>
      </c>
      <c r="J43" s="848">
        <f ca="1">1-J42</f>
        <v>0.32099999999999995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-26025</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3227</v>
      </c>
      <c r="K47" s="3158" t="s">
        <v>2349</v>
      </c>
      <c r="L47" s="3162">
        <f ca="1">INDIRECT("'数据-取费表'!d"&amp;$G$1)</f>
        <v>50</v>
      </c>
      <c r="M47" s="1605" t="str">
        <f>IF(ISNUMBER(FIND("住宅",C1)),"住宅","非住宅")</f>
        <v>非住宅</v>
      </c>
      <c r="O47" s="2397" t="s">
        <v>2375</v>
      </c>
      <c r="P47" s="2398" t="s">
        <v>2376</v>
      </c>
      <c r="Q47" s="2399" t="s">
        <v>2377</v>
      </c>
      <c r="R47" s="2398" t="s">
        <v>2378</v>
      </c>
    </row>
    <row r="48" spans="1:18" s="2061" customFormat="1" ht="18" customHeight="1" thickBot="1">
      <c r="A48" s="2644" t="s">
        <v>1869</v>
      </c>
      <c r="B48" s="2645" t="s">
        <v>2536</v>
      </c>
      <c r="C48" s="2376">
        <f ca="1">ROUND(F48*F50*F49*(1-F51)/10000,0)</f>
        <v>0</v>
      </c>
      <c r="D48" s="2377" t="s">
        <v>635</v>
      </c>
      <c r="E48" s="2378" t="s">
        <v>2296</v>
      </c>
      <c r="F48" s="2379"/>
      <c r="G48" s="2092"/>
      <c r="I48" s="3127" t="s">
        <v>2345</v>
      </c>
      <c r="J48" s="2384" t="s">
        <v>2350</v>
      </c>
      <c r="K48" s="3159" t="s">
        <v>2351</v>
      </c>
      <c r="L48" s="1910">
        <f ca="1">INDIRECT("'数据-取费表'!f"&amp;$G$1)</f>
        <v>44.5</v>
      </c>
      <c r="O48" s="2400" t="s">
        <v>2379</v>
      </c>
      <c r="P48" s="2401" t="s">
        <v>2405</v>
      </c>
      <c r="Q48" s="2402">
        <f ca="1">C40+J29</f>
        <v>21720</v>
      </c>
      <c r="R48" s="2401" t="s">
        <v>2380</v>
      </c>
    </row>
    <row r="49" spans="1:18" s="2061" customFormat="1" ht="18" customHeight="1" thickBot="1">
      <c r="A49" s="786"/>
      <c r="B49" s="787"/>
      <c r="C49" s="788"/>
      <c r="D49" s="789"/>
      <c r="E49" s="784" t="s">
        <v>1738</v>
      </c>
      <c r="F49" s="785">
        <f ca="1">F7</f>
        <v>39021.96</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14741</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-7520</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2971</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41.5</v>
      </c>
      <c r="K53" s="3480" t="s">
        <v>2963</v>
      </c>
      <c r="L53" s="3481"/>
      <c r="O53" s="2403" t="s">
        <v>2388</v>
      </c>
      <c r="P53" s="2401" t="s">
        <v>2389</v>
      </c>
      <c r="Q53" s="2402">
        <f ca="1">J53</f>
        <v>41.5</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21720</v>
      </c>
      <c r="R54" s="2405" t="s">
        <v>2392</v>
      </c>
    </row>
    <row r="55" spans="1:18" s="2061" customFormat="1" ht="18" customHeight="1" thickTop="1" thickBot="1">
      <c r="A55" s="797">
        <v>2</v>
      </c>
      <c r="B55" s="798" t="s">
        <v>643</v>
      </c>
      <c r="C55" s="799">
        <f ca="1">C13</f>
        <v>14741</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2300</v>
      </c>
      <c r="C56" s="53">
        <f ca="1">C29</f>
        <v>14741</v>
      </c>
      <c r="D56" s="3182"/>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248</v>
      </c>
      <c r="D57" s="26" t="s">
        <v>1749</v>
      </c>
      <c r="E57" s="3184"/>
      <c r="F57" s="56"/>
      <c r="I57" s="3169" t="s">
        <v>2358</v>
      </c>
      <c r="J57" s="3170" t="str">
        <f ca="1">IF(OR(M47="住宅",J51&lt;L48,J56="是"),"——",J51-L48)</f>
        <v>——</v>
      </c>
      <c r="K57" s="3127" t="s">
        <v>2363</v>
      </c>
      <c r="L57" s="1910" t="str">
        <f ca="1">IF(L48&lt;J51,"——",IF(L55="比较法",L49,IF(L55="基准地价",L50,L51)))</f>
        <v>——</v>
      </c>
      <c r="O57" s="2400" t="s">
        <v>2379</v>
      </c>
      <c r="P57" s="2401" t="s">
        <v>2405</v>
      </c>
      <c r="Q57" s="2402">
        <f ca="1">C40+J29</f>
        <v>21720</v>
      </c>
      <c r="R57" s="2401" t="s">
        <v>2380</v>
      </c>
    </row>
    <row r="58" spans="1:18" s="2061" customFormat="1" ht="28.5" customHeight="1" thickBot="1">
      <c r="A58" s="1650" t="s">
        <v>1823</v>
      </c>
      <c r="B58" s="784" t="s">
        <v>655</v>
      </c>
      <c r="C58" s="53">
        <f ca="1">ROUND(IF(项目基本情况!B11="自然人",C47*F58,C59+C60+C61),1)</f>
        <v>4.4000000000000004</v>
      </c>
      <c r="D58" s="3181" t="s">
        <v>656</v>
      </c>
      <c r="E58" s="3182"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3182" t="s">
        <v>1755</v>
      </c>
      <c r="E59" s="784" t="s">
        <v>1746</v>
      </c>
      <c r="F59" s="809">
        <f t="shared" ref="F59:F65" si="0">F32</f>
        <v>5.5000000000000007E-2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3182"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4.4000000000000004</v>
      </c>
      <c r="D61" s="814" t="s">
        <v>668</v>
      </c>
      <c r="E61" s="784" t="s">
        <v>669</v>
      </c>
      <c r="F61" s="640">
        <f t="shared" si="0"/>
        <v>12</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3631.4</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221.1</v>
      </c>
      <c r="D63" s="3182" t="s">
        <v>1802</v>
      </c>
      <c r="E63" s="784" t="s">
        <v>1746</v>
      </c>
      <c r="F63" s="817">
        <f t="shared" ca="1" si="0"/>
        <v>1.4999999999999999E-2</v>
      </c>
      <c r="I63" s="3174" t="s">
        <v>2370</v>
      </c>
      <c r="J63" s="3175">
        <v>70</v>
      </c>
      <c r="K63" s="3175">
        <v>50</v>
      </c>
      <c r="L63" s="3175">
        <v>80</v>
      </c>
      <c r="M63" s="3177">
        <v>0.02</v>
      </c>
      <c r="O63" s="2400" t="s">
        <v>2391</v>
      </c>
      <c r="P63" s="2401" t="s">
        <v>2408</v>
      </c>
      <c r="Q63" s="2402">
        <f ca="1">Q57+Q58</f>
        <v>21720</v>
      </c>
      <c r="R63" s="2405" t="s">
        <v>2392</v>
      </c>
    </row>
    <row r="64" spans="1:18" s="2061" customFormat="1" ht="16.5" thickBot="1">
      <c r="A64" s="1650" t="s">
        <v>1889</v>
      </c>
      <c r="B64" s="784" t="s">
        <v>678</v>
      </c>
      <c r="C64" s="53">
        <f ca="1">ROUND(C55*F64,1)</f>
        <v>22.1</v>
      </c>
      <c r="D64" s="3182"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3182"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-248</v>
      </c>
      <c r="D66" s="3181" t="s">
        <v>699</v>
      </c>
      <c r="E66" s="3179"/>
      <c r="F66" s="820"/>
      <c r="K66" s="2088"/>
      <c r="O66" s="2400" t="s">
        <v>2379</v>
      </c>
      <c r="P66" s="2401" t="s">
        <v>2405</v>
      </c>
      <c r="Q66" s="2402">
        <f ca="1">C40+J29</f>
        <v>21720</v>
      </c>
      <c r="R66" s="2401" t="s">
        <v>2380</v>
      </c>
    </row>
    <row r="67" spans="1:18" s="2061" customFormat="1" ht="20.25" thickBot="1">
      <c r="A67" s="781" t="s">
        <v>1779</v>
      </c>
      <c r="B67" s="2234" t="s">
        <v>2301</v>
      </c>
      <c r="C67" s="783">
        <f ca="1">ROUND(C66*(1-((1+F69)/(1+F67))^F68)/(F67-F69),0)</f>
        <v>-4305</v>
      </c>
      <c r="D67" s="814" t="s">
        <v>703</v>
      </c>
      <c r="E67" s="784" t="s">
        <v>704</v>
      </c>
      <c r="F67" s="794">
        <f ca="1">F40</f>
        <v>0.05</v>
      </c>
      <c r="K67" s="2088"/>
      <c r="O67" s="2400" t="s">
        <v>2381</v>
      </c>
      <c r="P67" s="2401" t="s">
        <v>2412</v>
      </c>
      <c r="Q67" s="2402">
        <f ca="1">L60</f>
        <v>0</v>
      </c>
      <c r="R67" s="2405" t="s">
        <v>2414</v>
      </c>
    </row>
    <row r="68" spans="1:18" ht="21.75" thickBot="1">
      <c r="A68" s="786"/>
      <c r="B68" s="787"/>
      <c r="C68" s="788"/>
      <c r="D68" s="821" t="s">
        <v>1807</v>
      </c>
      <c r="E68" s="784" t="s">
        <v>1783</v>
      </c>
      <c r="F68" s="822">
        <f ca="1">F41</f>
        <v>41.5</v>
      </c>
      <c r="O68" s="2403" t="s">
        <v>2383</v>
      </c>
      <c r="P68" s="2401" t="s">
        <v>2413</v>
      </c>
      <c r="Q68" s="2407">
        <f ca="1">L51</f>
        <v>-7520</v>
      </c>
      <c r="R68" s="2408" t="s">
        <v>2416</v>
      </c>
    </row>
    <row r="69" spans="1:18" ht="20.25" thickBot="1">
      <c r="A69" s="790"/>
      <c r="B69" s="791"/>
      <c r="C69" s="792"/>
      <c r="D69" s="816"/>
      <c r="E69" s="784" t="s">
        <v>709</v>
      </c>
      <c r="F69" s="2373"/>
      <c r="O69" s="2403" t="s">
        <v>2384</v>
      </c>
      <c r="P69" s="2409" t="s">
        <v>2398</v>
      </c>
      <c r="Q69" s="2402">
        <f ca="1">ROUND(Q70-Q71*Q72,0)</f>
        <v>-394</v>
      </c>
      <c r="R69" s="2405"/>
    </row>
    <row r="70" spans="1:18" ht="15.75" thickBot="1">
      <c r="A70" s="823" t="s">
        <v>1786</v>
      </c>
      <c r="B70" s="824" t="s">
        <v>1809</v>
      </c>
      <c r="C70" s="825">
        <f ca="1">ROUND(C67*10000/F70,0)</f>
        <v>-1103</v>
      </c>
      <c r="D70" s="826" t="s">
        <v>1810</v>
      </c>
      <c r="E70" s="827" t="s">
        <v>1811</v>
      </c>
      <c r="F70" s="828">
        <f ca="1">F43</f>
        <v>39021.96</v>
      </c>
      <c r="O70" s="2403" t="s">
        <v>2399</v>
      </c>
      <c r="P70" s="2409" t="s">
        <v>2400</v>
      </c>
      <c r="Q70" s="2402">
        <f ca="1">C39</f>
        <v>859</v>
      </c>
      <c r="R70" s="2401" t="s">
        <v>2380</v>
      </c>
    </row>
    <row r="71" spans="1:18" ht="15.75" thickBot="1">
      <c r="O71" s="2403" t="s">
        <v>2401</v>
      </c>
      <c r="P71" s="2409" t="s">
        <v>2402</v>
      </c>
      <c r="Q71" s="2402">
        <f ca="1">C13</f>
        <v>14741</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21720</v>
      </c>
      <c r="R76" s="240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92" t="s">
        <v>521</v>
      </c>
      <c r="D4" s="3393"/>
      <c r="E4" s="3426" t="s">
        <v>522</v>
      </c>
      <c r="F4" s="3427"/>
      <c r="G4" s="3392" t="s">
        <v>523</v>
      </c>
      <c r="H4" s="3393"/>
      <c r="I4" s="3392" t="s">
        <v>524</v>
      </c>
      <c r="J4" s="3393"/>
      <c r="K4" s="514"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87" t="s">
        <v>523</v>
      </c>
      <c r="AC4" s="3389" t="s">
        <v>524</v>
      </c>
    </row>
    <row r="5" spans="1:29" ht="15">
      <c r="A5" s="515"/>
      <c r="B5" s="516"/>
      <c r="C5" s="3408" t="s">
        <v>2925</v>
      </c>
      <c r="D5" s="3409"/>
      <c r="E5" s="3428" t="s">
        <v>2926</v>
      </c>
      <c r="F5" s="342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87"/>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87"/>
      <c r="AC6" s="3391"/>
    </row>
    <row r="7" spans="1:29" s="1220" customFormat="1" ht="15.75" thickBot="1">
      <c r="A7" s="2914"/>
      <c r="B7" s="2921" t="s">
        <v>528</v>
      </c>
      <c r="C7" s="519">
        <f>'数据-取费表'!B2</f>
        <v>43390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7"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46" si="3">D8/F8</f>
        <v>#DIV/0!</v>
      </c>
      <c r="AB8" s="1572" t="e">
        <f t="shared" ref="AB8:AB46" si="4">D8/H8</f>
        <v>#DIV/0!</v>
      </c>
      <c r="AC8" s="1572" t="e">
        <f t="shared" ref="AC8:AC46" si="5">D8/J8</f>
        <v>#DIV/0!</v>
      </c>
    </row>
    <row r="9" spans="1:29" s="1220" customFormat="1" ht="15">
      <c r="A9" s="2916"/>
      <c r="B9" s="2923" t="s">
        <v>2754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2" t="s">
        <v>2752</v>
      </c>
      <c r="B15" s="166" t="s">
        <v>540</v>
      </c>
      <c r="C15" s="867" t="str">
        <f>估价对象房地状况!C4</f>
        <v>估价对象周边商业氛围较成熟，多为社区配套底商人流量较大，商业繁华度较好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0" t="s">
        <v>539</v>
      </c>
      <c r="Q15" s="1573" t="str">
        <f t="shared" si="6"/>
        <v>商业繁华度</v>
      </c>
      <c r="R15" s="1574" t="s">
        <v>8</v>
      </c>
      <c r="S15" s="1575">
        <f t="shared" si="0"/>
        <v>100</v>
      </c>
      <c r="T15" s="1574" t="s">
        <v>8</v>
      </c>
      <c r="U15" s="1575">
        <f t="shared" si="1"/>
        <v>100</v>
      </c>
      <c r="V15" s="1574" t="s">
        <v>8</v>
      </c>
      <c r="W15" s="1575">
        <f t="shared" si="2"/>
        <v>100</v>
      </c>
      <c r="X15" s="1568"/>
      <c r="Y15" s="3420"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2"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21"/>
      <c r="Q22" s="2581"/>
      <c r="R22" s="1574"/>
      <c r="S22" s="1575"/>
      <c r="T22" s="1574"/>
      <c r="U22" s="1575"/>
      <c r="V22" s="1574"/>
      <c r="W22" s="1575"/>
      <c r="X22" s="2583"/>
      <c r="Y22" s="3421"/>
      <c r="Z22" s="2582"/>
      <c r="AA22" s="1577">
        <v>1</v>
      </c>
      <c r="AB22" s="1577">
        <v>1</v>
      </c>
      <c r="AC22" s="1577">
        <v>1</v>
      </c>
    </row>
    <row r="23" spans="1:29" ht="57">
      <c r="A23" s="532"/>
      <c r="B23" s="871" t="s">
        <v>296</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1"/>
      <c r="Q23" s="1573" t="str">
        <f>B23</f>
        <v>自然及人文环境</v>
      </c>
      <c r="R23" s="1574" t="s">
        <v>8</v>
      </c>
      <c r="S23" s="1575">
        <f>F23</f>
        <v>100</v>
      </c>
      <c r="T23" s="1574" t="s">
        <v>8</v>
      </c>
      <c r="U23" s="1575">
        <f>H23</f>
        <v>100</v>
      </c>
      <c r="V23" s="1574" t="s">
        <v>8</v>
      </c>
      <c r="W23" s="1575">
        <f>J23</f>
        <v>100</v>
      </c>
      <c r="X23" s="1568"/>
      <c r="Y23" s="342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1"/>
      <c r="Q25" s="1573" t="str">
        <f t="shared" ref="Q25:Q46" si="11">B25</f>
        <v>临街状况</v>
      </c>
      <c r="R25" s="1574" t="s">
        <v>8</v>
      </c>
      <c r="S25" s="1575">
        <f>F25</f>
        <v>100</v>
      </c>
      <c r="T25" s="1574" t="s">
        <v>8</v>
      </c>
      <c r="U25" s="1575">
        <f>H25</f>
        <v>100</v>
      </c>
      <c r="V25" s="1574" t="s">
        <v>8</v>
      </c>
      <c r="W25" s="1575">
        <f>J25</f>
        <v>100</v>
      </c>
      <c r="X25" s="1568"/>
      <c r="Y25" s="3421"/>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1"/>
      <c r="Q26" s="1573" t="str">
        <f t="shared" si="11"/>
        <v>平面位置/可视性</v>
      </c>
      <c r="R26" s="1574" t="s">
        <v>8</v>
      </c>
      <c r="S26" s="1575">
        <f>F26</f>
        <v>100</v>
      </c>
      <c r="T26" s="1574" t="s">
        <v>8</v>
      </c>
      <c r="U26" s="1575">
        <f>H26</f>
        <v>100</v>
      </c>
      <c r="V26" s="1574" t="s">
        <v>8</v>
      </c>
      <c r="W26" s="1575">
        <f>J26</f>
        <v>100</v>
      </c>
      <c r="X26" s="1568"/>
      <c r="Y26" s="3421"/>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1"/>
      <c r="Q27" s="1151" t="str">
        <f t="shared" si="11"/>
        <v>人流量</v>
      </c>
      <c r="R27" s="1569" t="s">
        <v>8</v>
      </c>
      <c r="S27" s="1570">
        <f>F27</f>
        <v>100</v>
      </c>
      <c r="T27" s="1569" t="s">
        <v>8</v>
      </c>
      <c r="U27" s="1570">
        <f>H27</f>
        <v>100</v>
      </c>
      <c r="V27" s="1569" t="s">
        <v>8</v>
      </c>
      <c r="W27" s="1570">
        <f>J27</f>
        <v>100</v>
      </c>
      <c r="X27" s="1571"/>
      <c r="Y27" s="3421"/>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1"/>
      <c r="Q29" s="1573">
        <f t="shared" si="11"/>
        <v>111</v>
      </c>
      <c r="R29" s="1574" t="s">
        <v>8</v>
      </c>
      <c r="S29" s="1575">
        <f t="shared" si="12"/>
        <v>100</v>
      </c>
      <c r="T29" s="1574" t="s">
        <v>8</v>
      </c>
      <c r="U29" s="1575">
        <f t="shared" si="13"/>
        <v>100</v>
      </c>
      <c r="V29" s="1574" t="s">
        <v>8</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
      <c r="A32" s="2909"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2" t="s">
        <v>549</v>
      </c>
      <c r="Q32" s="1573" t="str">
        <f t="shared" si="11"/>
        <v>商业类型</v>
      </c>
      <c r="R32" s="1574" t="s">
        <v>8</v>
      </c>
      <c r="S32" s="1575">
        <f t="shared" si="12"/>
        <v>100</v>
      </c>
      <c r="T32" s="1574" t="s">
        <v>8</v>
      </c>
      <c r="U32" s="1575">
        <f t="shared" si="13"/>
        <v>100</v>
      </c>
      <c r="V32" s="1574" t="s">
        <v>8</v>
      </c>
      <c r="W32" s="1575">
        <f t="shared" si="14"/>
        <v>100</v>
      </c>
      <c r="X32" s="1568"/>
      <c r="Y32" s="3423"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3"/>
      <c r="Q33" s="1606" t="str">
        <f t="shared" si="11"/>
        <v>项目建筑规模</v>
      </c>
      <c r="R33" s="1578" t="s">
        <v>8</v>
      </c>
      <c r="S33" s="1579" t="e">
        <f t="shared" si="12"/>
        <v>#N/A</v>
      </c>
      <c r="T33" s="1578" t="s">
        <v>8</v>
      </c>
      <c r="U33" s="1579" t="e">
        <f t="shared" si="13"/>
        <v>#N/A</v>
      </c>
      <c r="V33" s="1578" t="s">
        <v>8</v>
      </c>
      <c r="W33" s="1579" t="e">
        <f t="shared" si="14"/>
        <v>#N/A</v>
      </c>
      <c r="X33" s="1580"/>
      <c r="Y33" s="3423"/>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3"/>
      <c r="Q34" s="1573" t="str">
        <f t="shared" si="11"/>
        <v>建筑结构</v>
      </c>
      <c r="R34" s="1574" t="s">
        <v>8</v>
      </c>
      <c r="S34" s="1575">
        <f t="shared" si="12"/>
        <v>100</v>
      </c>
      <c r="T34" s="1574" t="s">
        <v>8</v>
      </c>
      <c r="U34" s="1575">
        <f t="shared" si="13"/>
        <v>100</v>
      </c>
      <c r="V34" s="1574" t="s">
        <v>8</v>
      </c>
      <c r="W34" s="1575">
        <f t="shared" si="14"/>
        <v>100</v>
      </c>
      <c r="X34" s="1568"/>
      <c r="Y34" s="3423"/>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3"/>
      <c r="Q35" s="1573" t="str">
        <f t="shared" si="11"/>
        <v>公共部分装修</v>
      </c>
      <c r="R35" s="1574" t="s">
        <v>8</v>
      </c>
      <c r="S35" s="1575">
        <f t="shared" si="12"/>
        <v>100</v>
      </c>
      <c r="T35" s="1574" t="s">
        <v>8</v>
      </c>
      <c r="U35" s="1575">
        <f t="shared" si="13"/>
        <v>100</v>
      </c>
      <c r="V35" s="1574" t="s">
        <v>8</v>
      </c>
      <c r="W35" s="1575">
        <f t="shared" si="14"/>
        <v>100</v>
      </c>
      <c r="X35" s="1568"/>
      <c r="Y35" s="3423"/>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3"/>
      <c r="Q36" s="1573" t="str">
        <f t="shared" si="11"/>
        <v>成新度</v>
      </c>
      <c r="R36" s="1574" t="s">
        <v>8</v>
      </c>
      <c r="S36" s="1575" t="e">
        <f t="shared" si="12"/>
        <v>#N/A</v>
      </c>
      <c r="T36" s="1574" t="s">
        <v>8</v>
      </c>
      <c r="U36" s="1575" t="e">
        <f t="shared" si="13"/>
        <v>#N/A</v>
      </c>
      <c r="V36" s="1574" t="s">
        <v>8</v>
      </c>
      <c r="W36" s="1575" t="e">
        <f t="shared" si="14"/>
        <v>#N/A</v>
      </c>
      <c r="X36" s="1568"/>
      <c r="Y36" s="3423"/>
      <c r="Z36" s="1576" t="str">
        <f t="shared" si="15"/>
        <v>成新度</v>
      </c>
      <c r="AA36" s="1577" t="e">
        <f t="shared" si="3"/>
        <v>#N/A</v>
      </c>
      <c r="AB36" s="1577" t="e">
        <f t="shared" si="4"/>
        <v>#N/A</v>
      </c>
      <c r="AC36" s="1577" t="e">
        <f t="shared" si="5"/>
        <v>#N/A</v>
      </c>
    </row>
    <row r="37" spans="1:29" s="1220" customFormat="1" ht="15">
      <c r="A37" s="600"/>
      <c r="B37" s="1897"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3"/>
      <c r="Q37" s="1151" t="str">
        <f t="shared" si="11"/>
        <v>市政基础设施</v>
      </c>
      <c r="R37" s="1569" t="s">
        <v>8</v>
      </c>
      <c r="S37" s="1570">
        <f t="shared" si="12"/>
        <v>100</v>
      </c>
      <c r="T37" s="1569" t="s">
        <v>8</v>
      </c>
      <c r="U37" s="1570">
        <f t="shared" si="13"/>
        <v>100</v>
      </c>
      <c r="V37" s="1569" t="s">
        <v>8</v>
      </c>
      <c r="W37" s="1570">
        <f t="shared" si="14"/>
        <v>100</v>
      </c>
      <c r="X37" s="1571"/>
      <c r="Y37" s="3423"/>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3" t="s">
        <v>765</v>
      </c>
      <c r="Q38" s="1573" t="str">
        <f t="shared" si="11"/>
        <v>业态</v>
      </c>
      <c r="R38" s="1574" t="s">
        <v>8</v>
      </c>
      <c r="S38" s="1575">
        <f t="shared" si="12"/>
        <v>100</v>
      </c>
      <c r="T38" s="1574" t="s">
        <v>8</v>
      </c>
      <c r="U38" s="1575">
        <f t="shared" si="13"/>
        <v>100</v>
      </c>
      <c r="V38" s="1574" t="s">
        <v>8</v>
      </c>
      <c r="W38" s="1575">
        <f t="shared" si="14"/>
        <v>100</v>
      </c>
      <c r="X38" s="1568"/>
      <c r="Y38" s="3423"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c r="Q39" s="1573" t="str">
        <f t="shared" si="11"/>
        <v>层高</v>
      </c>
      <c r="R39" s="1574" t="s">
        <v>8</v>
      </c>
      <c r="S39" s="1575">
        <f t="shared" si="12"/>
        <v>100</v>
      </c>
      <c r="T39" s="1574" t="s">
        <v>8</v>
      </c>
      <c r="U39" s="1575">
        <f t="shared" si="13"/>
        <v>100</v>
      </c>
      <c r="V39" s="1574" t="s">
        <v>8</v>
      </c>
      <c r="W39" s="1575">
        <f t="shared" si="14"/>
        <v>100</v>
      </c>
      <c r="X39" s="1568"/>
      <c r="Y39" s="3423"/>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3"/>
      <c r="Q40" s="1573" t="str">
        <f t="shared" si="11"/>
        <v>单套建筑面积</v>
      </c>
      <c r="R40" s="1574" t="s">
        <v>8</v>
      </c>
      <c r="S40" s="1575">
        <f t="shared" si="12"/>
        <v>100</v>
      </c>
      <c r="T40" s="1574" t="s">
        <v>8</v>
      </c>
      <c r="U40" s="1575">
        <f t="shared" si="13"/>
        <v>100</v>
      </c>
      <c r="V40" s="1574" t="s">
        <v>8</v>
      </c>
      <c r="W40" s="1575">
        <f t="shared" si="14"/>
        <v>100</v>
      </c>
      <c r="X40" s="1568"/>
      <c r="Y40" s="3423"/>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3"/>
      <c r="Q41" s="1606" t="str">
        <f t="shared" si="11"/>
        <v>进深比</v>
      </c>
      <c r="R41" s="1578" t="s">
        <v>8</v>
      </c>
      <c r="S41" s="1579">
        <f t="shared" si="12"/>
        <v>100</v>
      </c>
      <c r="T41" s="1578" t="s">
        <v>8</v>
      </c>
      <c r="U41" s="1579">
        <f t="shared" si="13"/>
        <v>100</v>
      </c>
      <c r="V41" s="1578" t="s">
        <v>8</v>
      </c>
      <c r="W41" s="1579">
        <f t="shared" si="14"/>
        <v>100</v>
      </c>
      <c r="X41" s="1580"/>
      <c r="Y41" s="3423"/>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3"/>
      <c r="Q42" s="1573" t="str">
        <f t="shared" si="11"/>
        <v>内部装修</v>
      </c>
      <c r="R42" s="1574" t="s">
        <v>8</v>
      </c>
      <c r="S42" s="1575">
        <f t="shared" si="12"/>
        <v>100</v>
      </c>
      <c r="T42" s="1574" t="s">
        <v>8</v>
      </c>
      <c r="U42" s="1575">
        <f t="shared" si="13"/>
        <v>100</v>
      </c>
      <c r="V42" s="1574" t="s">
        <v>8</v>
      </c>
      <c r="W42" s="1575">
        <f t="shared" si="14"/>
        <v>100</v>
      </c>
      <c r="X42" s="1568"/>
      <c r="Y42" s="3423"/>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3"/>
      <c r="Q43" s="1573" t="str">
        <f t="shared" si="11"/>
        <v>内部装修维护情况</v>
      </c>
      <c r="R43" s="1574" t="s">
        <v>8</v>
      </c>
      <c r="S43" s="1575">
        <f t="shared" si="12"/>
        <v>100</v>
      </c>
      <c r="T43" s="1574" t="s">
        <v>8</v>
      </c>
      <c r="U43" s="1575">
        <f t="shared" si="13"/>
        <v>100</v>
      </c>
      <c r="V43" s="1574" t="s">
        <v>8</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3"/>
      <c r="Q44" s="1151">
        <f t="shared" si="11"/>
        <v>111</v>
      </c>
      <c r="R44" s="1569" t="s">
        <v>8</v>
      </c>
      <c r="S44" s="1570">
        <f t="shared" si="12"/>
        <v>100</v>
      </c>
      <c r="T44" s="1569" t="s">
        <v>8</v>
      </c>
      <c r="U44" s="1570">
        <f t="shared" si="13"/>
        <v>100</v>
      </c>
      <c r="V44" s="1569" t="s">
        <v>8</v>
      </c>
      <c r="W44" s="1570">
        <f t="shared" si="14"/>
        <v>100</v>
      </c>
      <c r="X44" s="1571"/>
      <c r="Y44" s="342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3"/>
      <c r="Q45" s="1573">
        <f t="shared" si="11"/>
        <v>111</v>
      </c>
      <c r="R45" s="1574" t="s">
        <v>8</v>
      </c>
      <c r="S45" s="1575">
        <f t="shared" si="12"/>
        <v>100</v>
      </c>
      <c r="T45" s="1574" t="s">
        <v>8</v>
      </c>
      <c r="U45" s="1575">
        <f t="shared" si="13"/>
        <v>100</v>
      </c>
      <c r="V45" s="1574" t="s">
        <v>8</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86" t="str">
        <f>A47</f>
        <v>成交单价（元/平方米）</v>
      </c>
      <c r="Q47" s="3386"/>
      <c r="R47" s="3476">
        <f>E47</f>
        <v>0</v>
      </c>
      <c r="S47" s="3476"/>
      <c r="T47" s="3476">
        <f>G47</f>
        <v>0</v>
      </c>
      <c r="U47" s="3476"/>
      <c r="V47" s="3476">
        <f>I47</f>
        <v>0</v>
      </c>
      <c r="W47" s="3476"/>
      <c r="X47" s="1560"/>
      <c r="Y47" s="1582"/>
      <c r="Z47" s="1560"/>
      <c r="AA47" s="1560"/>
      <c r="AB47" s="1560"/>
      <c r="AC47" s="1560"/>
    </row>
    <row r="48" spans="1:29" ht="15.75" thickBot="1">
      <c r="A48" s="615" t="s">
        <v>2758</v>
      </c>
      <c r="B48" s="888"/>
      <c r="C48" s="2635" t="e">
        <f>R49</f>
        <v>#DIV/0!</v>
      </c>
      <c r="D48" s="2636"/>
      <c r="E48" s="2637" t="e">
        <f>R48</f>
        <v>#DIV/0!</v>
      </c>
      <c r="F48" s="2637"/>
      <c r="G48" s="2635" t="e">
        <f>T48</f>
        <v>#DIV/0!</v>
      </c>
      <c r="H48" s="2636"/>
      <c r="I48" s="2637" t="e">
        <f>V48</f>
        <v>#DIV/0!</v>
      </c>
      <c r="J48" s="2636"/>
      <c r="K48" s="1613"/>
      <c r="L48" s="2146"/>
      <c r="M48" s="2147"/>
      <c r="N48" s="2136"/>
      <c r="O48" s="2147"/>
      <c r="P48" s="3386" t="str">
        <f>A48</f>
        <v>比较价格（元/平方米）</v>
      </c>
      <c r="Q48" s="3386"/>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383" t="str">
        <f>A49</f>
        <v>估价对象XX用房的比较价格（楼面单价，元/平方米）</v>
      </c>
      <c r="Q49" s="3384"/>
      <c r="R49" s="3475" t="e">
        <f>IF(F1="售价",ROUND(AVERAGE(R48:V48),0),ROUND(AVERAGE(R48:V48),1))</f>
        <v>#DIV/0!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92" t="s">
        <v>521</v>
      </c>
      <c r="D4" s="3393"/>
      <c r="E4" s="3426" t="s">
        <v>522</v>
      </c>
      <c r="F4" s="3427"/>
      <c r="G4" s="3392" t="s">
        <v>523</v>
      </c>
      <c r="H4" s="3393"/>
      <c r="I4" s="3392" t="s">
        <v>524</v>
      </c>
      <c r="J4" s="3393"/>
      <c r="K4" s="514" t="s">
        <v>525</v>
      </c>
      <c r="L4" s="2135"/>
      <c r="M4" s="2136"/>
      <c r="N4" s="2136"/>
      <c r="O4" s="2136"/>
      <c r="P4" s="3504" t="s">
        <v>526</v>
      </c>
      <c r="Q4" s="3395"/>
      <c r="R4" s="3400" t="s">
        <v>522</v>
      </c>
      <c r="S4" s="3401"/>
      <c r="T4" s="3400" t="s">
        <v>523</v>
      </c>
      <c r="U4" s="3401"/>
      <c r="V4" s="3387" t="s">
        <v>524</v>
      </c>
      <c r="W4" s="3387"/>
      <c r="X4" s="1568"/>
      <c r="Y4" s="3400" t="s">
        <v>526</v>
      </c>
      <c r="Z4" s="3401"/>
      <c r="AA4" s="3389" t="s">
        <v>522</v>
      </c>
      <c r="AB4" s="3389" t="s">
        <v>523</v>
      </c>
      <c r="AC4" s="3389" t="s">
        <v>524</v>
      </c>
    </row>
    <row r="5" spans="1:29" ht="15">
      <c r="A5" s="515"/>
      <c r="B5" s="516"/>
      <c r="C5" s="3408" t="s">
        <v>2925</v>
      </c>
      <c r="D5" s="3409"/>
      <c r="E5" s="3428" t="s">
        <v>2926</v>
      </c>
      <c r="F5" s="3429"/>
      <c r="G5" s="3408" t="s">
        <v>2927</v>
      </c>
      <c r="H5" s="3409"/>
      <c r="I5" s="3408" t="s">
        <v>2928</v>
      </c>
      <c r="J5" s="3409"/>
      <c r="K5" s="514"/>
      <c r="L5" s="2135"/>
      <c r="M5" s="2136"/>
      <c r="N5" s="2136"/>
      <c r="O5" s="2136"/>
      <c r="P5" s="3505"/>
      <c r="Q5" s="3397"/>
      <c r="R5" s="3402"/>
      <c r="S5" s="3403"/>
      <c r="T5" s="3402"/>
      <c r="U5" s="3403"/>
      <c r="V5" s="3387"/>
      <c r="W5" s="3387"/>
      <c r="X5" s="1568"/>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506"/>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9"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9" t="s">
        <v>532</v>
      </c>
      <c r="Q8" s="3418"/>
      <c r="R8" s="1569" t="s">
        <v>8</v>
      </c>
      <c r="S8" s="1570">
        <f t="shared" si="0"/>
        <v>0</v>
      </c>
      <c r="T8" s="1569" t="s">
        <v>8</v>
      </c>
      <c r="U8" s="1570">
        <f t="shared" si="1"/>
        <v>0</v>
      </c>
      <c r="V8" s="1569" t="s">
        <v>8</v>
      </c>
      <c r="W8" s="1570">
        <f t="shared" si="2"/>
        <v>0</v>
      </c>
      <c r="X8" s="1571"/>
      <c r="Y8" s="3417" t="s">
        <v>532</v>
      </c>
      <c r="Z8" s="3418"/>
      <c r="AA8" s="1572" t="e">
        <f t="shared" ref="AA8:AA47" si="3">D8/F8</f>
        <v>#DIV/0!</v>
      </c>
      <c r="AB8" s="1572" t="e">
        <f t="shared" ref="AB8:AB47" si="4">D8/H8</f>
        <v>#DIV/0!</v>
      </c>
      <c r="AC8" s="1572" t="e">
        <f t="shared" ref="AC8:AC47" si="5">D8/J8</f>
        <v>#DIV/0!</v>
      </c>
    </row>
    <row r="9" spans="1:29" s="1220" customFormat="1" ht="15">
      <c r="A9" s="2916"/>
      <c r="B9" s="2923" t="s">
        <v>2754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2" t="s">
        <v>2752</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0" t="s">
        <v>539</v>
      </c>
      <c r="Q15" s="1573" t="str">
        <f t="shared" si="6"/>
        <v>办公集聚程度</v>
      </c>
      <c r="R15" s="1574" t="s">
        <v>8</v>
      </c>
      <c r="S15" s="1575">
        <f t="shared" si="0"/>
        <v>100</v>
      </c>
      <c r="T15" s="1574" t="s">
        <v>8</v>
      </c>
      <c r="U15" s="1575">
        <f t="shared" si="1"/>
        <v>100</v>
      </c>
      <c r="V15" s="1574" t="s">
        <v>8</v>
      </c>
      <c r="W15" s="1575">
        <f t="shared" si="2"/>
        <v>100</v>
      </c>
      <c r="X15" s="1568"/>
      <c r="Y15" s="3420"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1"/>
      <c r="Q16" s="1573"/>
      <c r="R16" s="1574"/>
      <c r="S16" s="1575"/>
      <c r="T16" s="1574"/>
      <c r="U16" s="1575"/>
      <c r="V16" s="1574"/>
      <c r="W16" s="1575"/>
      <c r="X16" s="1568"/>
      <c r="Y16" s="3421"/>
      <c r="Z16" s="1576"/>
      <c r="AA16" s="1577">
        <v>1</v>
      </c>
      <c r="AB16" s="1577">
        <v>1</v>
      </c>
      <c r="AC16" s="1577">
        <v>1</v>
      </c>
    </row>
    <row r="17" spans="1:29" ht="99.75">
      <c r="A17" s="532"/>
      <c r="B17" s="560" t="s">
        <v>295</v>
      </c>
      <c r="C17" s="573" t="str">
        <f>估价对象房地状况!C6</f>
        <v>估价对象周边道路通达状况较好、公共交通通达情况一般、停车较便捷，综合评价交通便捷度较好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1"/>
      <c r="Q18" s="1573"/>
      <c r="R18" s="1574"/>
      <c r="S18" s="1575"/>
      <c r="T18" s="1574"/>
      <c r="U18" s="1575"/>
      <c r="V18" s="1574"/>
      <c r="W18" s="1575"/>
      <c r="X18" s="1568"/>
      <c r="Y18" s="3421"/>
      <c r="Z18" s="1576"/>
      <c r="AA18" s="1577">
        <v>1</v>
      </c>
      <c r="AB18" s="1577">
        <v>1</v>
      </c>
      <c r="AC18" s="1577">
        <v>1</v>
      </c>
    </row>
    <row r="19" spans="1:29" ht="42.75">
      <c r="A19" s="532"/>
      <c r="B19" s="2605" t="s">
        <v>2544</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1"/>
      <c r="Q20" s="1573"/>
      <c r="R20" s="1574"/>
      <c r="S20" s="1575"/>
      <c r="T20" s="1574"/>
      <c r="U20" s="1575"/>
      <c r="V20" s="1574"/>
      <c r="W20" s="1575"/>
      <c r="X20" s="1568"/>
      <c r="Y20" s="3421"/>
      <c r="Z20" s="1576"/>
      <c r="AA20" s="1577">
        <v>1</v>
      </c>
      <c r="AB20" s="1577">
        <v>1</v>
      </c>
      <c r="AC20" s="1577">
        <v>1</v>
      </c>
    </row>
    <row r="21" spans="1:29" ht="42.75">
      <c r="A21" s="532"/>
      <c r="B21" s="2593"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21"/>
      <c r="Q22" s="2581"/>
      <c r="R22" s="1574"/>
      <c r="S22" s="1575"/>
      <c r="T22" s="1574"/>
      <c r="U22" s="1575"/>
      <c r="V22" s="1574"/>
      <c r="W22" s="1575"/>
      <c r="X22" s="2583"/>
      <c r="Y22" s="3421"/>
      <c r="Z22" s="2582"/>
      <c r="AA22" s="1577">
        <v>1</v>
      </c>
      <c r="AB22" s="1577">
        <v>1</v>
      </c>
      <c r="AC22" s="1577">
        <v>1</v>
      </c>
    </row>
    <row r="23" spans="1:29" ht="57">
      <c r="A23" s="532"/>
      <c r="B23" s="560" t="s">
        <v>777</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1"/>
      <c r="Q24" s="1573"/>
      <c r="R24" s="1574"/>
      <c r="S24" s="1575"/>
      <c r="T24" s="1574"/>
      <c r="U24" s="1575"/>
      <c r="V24" s="1574"/>
      <c r="W24" s="1575"/>
      <c r="X24" s="1568"/>
      <c r="Y24" s="3421"/>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1"/>
      <c r="Q25" s="1573" t="str">
        <f>B25</f>
        <v>毗邻道路的类型与等级</v>
      </c>
      <c r="R25" s="1574" t="s">
        <v>8</v>
      </c>
      <c r="S25" s="1575">
        <f>F25</f>
        <v>100</v>
      </c>
      <c r="T25" s="1574" t="s">
        <v>8</v>
      </c>
      <c r="U25" s="1575">
        <f>H25</f>
        <v>100</v>
      </c>
      <c r="V25" s="1574" t="s">
        <v>8</v>
      </c>
      <c r="W25" s="1575">
        <f>J25</f>
        <v>100</v>
      </c>
      <c r="X25" s="1568"/>
      <c r="Y25" s="342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1"/>
      <c r="Q26" s="1573"/>
      <c r="R26" s="1574"/>
      <c r="S26" s="1575"/>
      <c r="T26" s="1574"/>
      <c r="U26" s="1575"/>
      <c r="V26" s="1574"/>
      <c r="W26" s="1575"/>
      <c r="X26" s="1568"/>
      <c r="Y26" s="3421"/>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1"/>
      <c r="Q27" s="1573" t="str">
        <f t="shared" ref="Q27:Q47" si="11">B27</f>
        <v>楼层</v>
      </c>
      <c r="R27" s="1574" t="s">
        <v>8</v>
      </c>
      <c r="S27" s="1575">
        <f>F27</f>
        <v>100</v>
      </c>
      <c r="T27" s="1574" t="s">
        <v>8</v>
      </c>
      <c r="U27" s="1575">
        <f>H27</f>
        <v>100</v>
      </c>
      <c r="V27" s="1574" t="s">
        <v>8</v>
      </c>
      <c r="W27" s="1575">
        <f>J27</f>
        <v>100</v>
      </c>
      <c r="X27" s="1568"/>
      <c r="Y27" s="3421"/>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1"/>
      <c r="Q28" s="1151" t="str">
        <f t="shared" si="11"/>
        <v>朝向</v>
      </c>
      <c r="R28" s="1569" t="s">
        <v>8</v>
      </c>
      <c r="S28" s="1570">
        <f>F28</f>
        <v>100</v>
      </c>
      <c r="T28" s="1569" t="s">
        <v>8</v>
      </c>
      <c r="U28" s="1570">
        <f>H28</f>
        <v>100</v>
      </c>
      <c r="V28" s="1569" t="s">
        <v>8</v>
      </c>
      <c r="W28" s="1570">
        <f>J28</f>
        <v>100</v>
      </c>
      <c r="X28" s="1571"/>
      <c r="Y28" s="342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1"/>
      <c r="Q29" s="1573">
        <f t="shared" si="11"/>
        <v>111</v>
      </c>
      <c r="R29" s="1574" t="s">
        <v>8</v>
      </c>
      <c r="S29" s="1575">
        <f t="shared" ref="S29:S47" si="12">F29</f>
        <v>100</v>
      </c>
      <c r="T29" s="1574" t="s">
        <v>8</v>
      </c>
      <c r="U29" s="1575">
        <f t="shared" ref="U29:U47" si="13">H29</f>
        <v>100</v>
      </c>
      <c r="V29" s="1574" t="s">
        <v>8</v>
      </c>
      <c r="W29" s="1575">
        <f t="shared" ref="W29:W47" si="14">J29</f>
        <v>100</v>
      </c>
      <c r="X29" s="1568"/>
      <c r="Y29" s="342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1"/>
      <c r="Q32" s="1573">
        <f t="shared" si="11"/>
        <v>111</v>
      </c>
      <c r="R32" s="1574" t="s">
        <v>8</v>
      </c>
      <c r="S32" s="1575">
        <f t="shared" si="12"/>
        <v>100</v>
      </c>
      <c r="T32" s="1574" t="s">
        <v>8</v>
      </c>
      <c r="U32" s="1575">
        <f t="shared" si="13"/>
        <v>100</v>
      </c>
      <c r="V32" s="1574" t="s">
        <v>8</v>
      </c>
      <c r="W32" s="1575">
        <f t="shared" si="14"/>
        <v>100</v>
      </c>
      <c r="X32" s="1568"/>
      <c r="Y32" s="3421"/>
      <c r="Z32" s="1576">
        <f t="shared" si="15"/>
        <v>111</v>
      </c>
      <c r="AA32" s="1577">
        <f t="shared" si="3"/>
        <v>1</v>
      </c>
      <c r="AB32" s="1577">
        <f t="shared" si="4"/>
        <v>1</v>
      </c>
      <c r="AC32" s="1577">
        <f t="shared" si="5"/>
        <v>1</v>
      </c>
    </row>
    <row r="33" spans="1:29" ht="15">
      <c r="A33" s="2909"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2" t="s">
        <v>549</v>
      </c>
      <c r="Q33" s="1573" t="str">
        <f t="shared" si="11"/>
        <v>建筑类型</v>
      </c>
      <c r="R33" s="1574" t="s">
        <v>8</v>
      </c>
      <c r="S33" s="1575">
        <f t="shared" si="12"/>
        <v>100</v>
      </c>
      <c r="T33" s="1574" t="s">
        <v>8</v>
      </c>
      <c r="U33" s="1575">
        <f t="shared" si="13"/>
        <v>100</v>
      </c>
      <c r="V33" s="1574" t="s">
        <v>8</v>
      </c>
      <c r="W33" s="1575">
        <f t="shared" si="14"/>
        <v>100</v>
      </c>
      <c r="X33" s="1568"/>
      <c r="Y33" s="3423"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3"/>
      <c r="Q34" s="1606" t="str">
        <f t="shared" si="11"/>
        <v>项目建筑规模</v>
      </c>
      <c r="R34" s="1578" t="s">
        <v>8</v>
      </c>
      <c r="S34" s="1579" t="e">
        <f t="shared" si="12"/>
        <v>#N/A</v>
      </c>
      <c r="T34" s="1578" t="s">
        <v>8</v>
      </c>
      <c r="U34" s="1579" t="e">
        <f t="shared" si="13"/>
        <v>#N/A</v>
      </c>
      <c r="V34" s="1578" t="s">
        <v>8</v>
      </c>
      <c r="W34" s="1579" t="e">
        <f t="shared" si="14"/>
        <v>#N/A</v>
      </c>
      <c r="X34" s="1580"/>
      <c r="Y34" s="3423"/>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3"/>
      <c r="Q35" s="1573" t="str">
        <f t="shared" si="11"/>
        <v>建筑结构</v>
      </c>
      <c r="R35" s="1574" t="s">
        <v>8</v>
      </c>
      <c r="S35" s="1575">
        <f t="shared" si="12"/>
        <v>100</v>
      </c>
      <c r="T35" s="1574" t="s">
        <v>8</v>
      </c>
      <c r="U35" s="1575">
        <f t="shared" si="13"/>
        <v>100</v>
      </c>
      <c r="V35" s="1574" t="s">
        <v>8</v>
      </c>
      <c r="W35" s="1575">
        <f t="shared" si="14"/>
        <v>100</v>
      </c>
      <c r="X35" s="1568"/>
      <c r="Y35" s="3423"/>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3"/>
      <c r="Q36" s="1573" t="str">
        <f t="shared" si="11"/>
        <v>公共部分装修</v>
      </c>
      <c r="R36" s="1574" t="s">
        <v>8</v>
      </c>
      <c r="S36" s="1575">
        <f t="shared" si="12"/>
        <v>100</v>
      </c>
      <c r="T36" s="1574" t="s">
        <v>8</v>
      </c>
      <c r="U36" s="1575">
        <f t="shared" si="13"/>
        <v>100</v>
      </c>
      <c r="V36" s="1574" t="s">
        <v>8</v>
      </c>
      <c r="W36" s="1575">
        <f t="shared" si="14"/>
        <v>100</v>
      </c>
      <c r="X36" s="1568"/>
      <c r="Y36" s="3423"/>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3"/>
      <c r="Q37" s="1573" t="str">
        <f t="shared" si="11"/>
        <v>成新度</v>
      </c>
      <c r="R37" s="1574" t="s">
        <v>8</v>
      </c>
      <c r="S37" s="1575" t="e">
        <f t="shared" si="12"/>
        <v>#N/A</v>
      </c>
      <c r="T37" s="1574" t="s">
        <v>8</v>
      </c>
      <c r="U37" s="1575" t="e">
        <f t="shared" si="13"/>
        <v>#N/A</v>
      </c>
      <c r="V37" s="1574" t="s">
        <v>8</v>
      </c>
      <c r="W37" s="1575" t="e">
        <f t="shared" si="14"/>
        <v>#N/A</v>
      </c>
      <c r="X37" s="1568"/>
      <c r="Y37" s="3423"/>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3"/>
      <c r="Q38" s="1151" t="str">
        <f t="shared" si="11"/>
        <v>写字楼等级</v>
      </c>
      <c r="R38" s="1569" t="s">
        <v>8</v>
      </c>
      <c r="S38" s="1570">
        <f t="shared" si="12"/>
        <v>100</v>
      </c>
      <c r="T38" s="1569" t="s">
        <v>8</v>
      </c>
      <c r="U38" s="1570">
        <f t="shared" si="13"/>
        <v>100</v>
      </c>
      <c r="V38" s="1569" t="s">
        <v>8</v>
      </c>
      <c r="W38" s="1570">
        <f t="shared" si="14"/>
        <v>100</v>
      </c>
      <c r="X38" s="1571"/>
      <c r="Y38" s="3423"/>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3" t="s">
        <v>549</v>
      </c>
      <c r="Q39" s="1573" t="str">
        <f t="shared" si="11"/>
        <v>物业管理</v>
      </c>
      <c r="R39" s="1574" t="s">
        <v>8</v>
      </c>
      <c r="S39" s="1575">
        <f t="shared" si="12"/>
        <v>100</v>
      </c>
      <c r="T39" s="1574" t="s">
        <v>8</v>
      </c>
      <c r="U39" s="1575">
        <f t="shared" si="13"/>
        <v>100</v>
      </c>
      <c r="V39" s="1574" t="s">
        <v>8</v>
      </c>
      <c r="W39" s="1575">
        <f t="shared" si="14"/>
        <v>100</v>
      </c>
      <c r="X39" s="1568"/>
      <c r="Y39" s="3423" t="s">
        <v>549</v>
      </c>
      <c r="Z39" s="1576" t="str">
        <f t="shared" si="15"/>
        <v>物业管理</v>
      </c>
      <c r="AA39" s="1577">
        <f t="shared" si="3"/>
        <v>1</v>
      </c>
      <c r="AB39" s="1577">
        <f t="shared" si="4"/>
        <v>1</v>
      </c>
      <c r="AC39" s="1577">
        <f t="shared" si="5"/>
        <v>1</v>
      </c>
    </row>
    <row r="40" spans="1:29" ht="15">
      <c r="A40" s="594"/>
      <c r="B40" s="1897"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3"/>
      <c r="Q40" s="1573" t="str">
        <f t="shared" si="11"/>
        <v>市政基础设施</v>
      </c>
      <c r="R40" s="1574" t="s">
        <v>8</v>
      </c>
      <c r="S40" s="1575">
        <f t="shared" si="12"/>
        <v>100</v>
      </c>
      <c r="T40" s="1574" t="s">
        <v>8</v>
      </c>
      <c r="U40" s="1575">
        <f t="shared" si="13"/>
        <v>100</v>
      </c>
      <c r="V40" s="1574" t="s">
        <v>8</v>
      </c>
      <c r="W40" s="1575">
        <f t="shared" si="14"/>
        <v>100</v>
      </c>
      <c r="X40" s="1568"/>
      <c r="Y40" s="3423"/>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3"/>
      <c r="Q41" s="1573" t="str">
        <f t="shared" si="11"/>
        <v>层高</v>
      </c>
      <c r="R41" s="1574" t="s">
        <v>8</v>
      </c>
      <c r="S41" s="1575">
        <f t="shared" si="12"/>
        <v>100</v>
      </c>
      <c r="T41" s="1574" t="s">
        <v>8</v>
      </c>
      <c r="U41" s="1575">
        <f t="shared" si="13"/>
        <v>100</v>
      </c>
      <c r="V41" s="1574" t="s">
        <v>8</v>
      </c>
      <c r="W41" s="1575">
        <f t="shared" si="14"/>
        <v>100</v>
      </c>
      <c r="X41" s="1568"/>
      <c r="Y41" s="3423"/>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3"/>
      <c r="Q42" s="1606" t="str">
        <f t="shared" si="11"/>
        <v>单套建筑面积</v>
      </c>
      <c r="R42" s="1578" t="s">
        <v>8</v>
      </c>
      <c r="S42" s="1579">
        <f t="shared" si="12"/>
        <v>100</v>
      </c>
      <c r="T42" s="1578" t="s">
        <v>8</v>
      </c>
      <c r="U42" s="1579">
        <f t="shared" si="13"/>
        <v>100</v>
      </c>
      <c r="V42" s="1578" t="s">
        <v>8</v>
      </c>
      <c r="W42" s="1579">
        <f t="shared" si="14"/>
        <v>100</v>
      </c>
      <c r="X42" s="1580"/>
      <c r="Y42" s="3423"/>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3"/>
      <c r="Q43" s="1573" t="str">
        <f t="shared" si="11"/>
        <v>内部装修</v>
      </c>
      <c r="R43" s="1574" t="s">
        <v>8</v>
      </c>
      <c r="S43" s="1575">
        <f t="shared" si="12"/>
        <v>100</v>
      </c>
      <c r="T43" s="1574" t="s">
        <v>8</v>
      </c>
      <c r="U43" s="1575">
        <f t="shared" si="13"/>
        <v>100</v>
      </c>
      <c r="V43" s="1574" t="s">
        <v>8</v>
      </c>
      <c r="W43" s="1575">
        <f t="shared" si="14"/>
        <v>100</v>
      </c>
      <c r="X43" s="1568"/>
      <c r="Y43" s="3423"/>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3"/>
      <c r="Q44" s="1573" t="str">
        <f t="shared" si="11"/>
        <v>内部装修维护情况</v>
      </c>
      <c r="R44" s="1574" t="s">
        <v>8</v>
      </c>
      <c r="S44" s="1575">
        <f t="shared" si="12"/>
        <v>100</v>
      </c>
      <c r="T44" s="1574" t="s">
        <v>8</v>
      </c>
      <c r="U44" s="1575">
        <f t="shared" si="13"/>
        <v>100</v>
      </c>
      <c r="V44" s="1574" t="s">
        <v>8</v>
      </c>
      <c r="W44" s="1575">
        <f t="shared" si="14"/>
        <v>100</v>
      </c>
      <c r="X44" s="1568"/>
      <c r="Y44" s="342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3"/>
      <c r="Q45" s="1151">
        <f t="shared" si="11"/>
        <v>111</v>
      </c>
      <c r="R45" s="1569" t="s">
        <v>8</v>
      </c>
      <c r="S45" s="1570">
        <f t="shared" si="12"/>
        <v>100</v>
      </c>
      <c r="T45" s="1569" t="s">
        <v>8</v>
      </c>
      <c r="U45" s="1570">
        <f t="shared" si="13"/>
        <v>100</v>
      </c>
      <c r="V45" s="1569" t="s">
        <v>8</v>
      </c>
      <c r="W45" s="1570">
        <f t="shared" si="14"/>
        <v>100</v>
      </c>
      <c r="X45" s="1571"/>
      <c r="Y45" s="342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3"/>
      <c r="Q46" s="1573">
        <f t="shared" si="11"/>
        <v>111</v>
      </c>
      <c r="R46" s="1574" t="s">
        <v>8</v>
      </c>
      <c r="S46" s="1575">
        <f t="shared" si="12"/>
        <v>100</v>
      </c>
      <c r="T46" s="1574" t="s">
        <v>8</v>
      </c>
      <c r="U46" s="1575">
        <f t="shared" si="13"/>
        <v>100</v>
      </c>
      <c r="V46" s="1574" t="s">
        <v>8</v>
      </c>
      <c r="W46" s="1575">
        <f t="shared" si="14"/>
        <v>100</v>
      </c>
      <c r="X46" s="1568"/>
      <c r="Y46" s="342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384" t="str">
        <f>A48</f>
        <v>成交单价（元/平方米）</v>
      </c>
      <c r="Q48" s="3386"/>
      <c r="R48" s="3476">
        <f>E48</f>
        <v>0</v>
      </c>
      <c r="S48" s="3476"/>
      <c r="T48" s="3476">
        <f>G48</f>
        <v>0</v>
      </c>
      <c r="U48" s="3476"/>
      <c r="V48" s="3476">
        <f>I48</f>
        <v>0</v>
      </c>
      <c r="W48" s="3476"/>
      <c r="X48" s="1560"/>
      <c r="Y48" s="1582"/>
      <c r="Z48" s="1560"/>
      <c r="AA48" s="1560"/>
      <c r="AB48" s="1560"/>
      <c r="AC48" s="1560"/>
    </row>
    <row r="49" spans="1:29" ht="15.75" thickBot="1">
      <c r="A49" s="615" t="s">
        <v>2758</v>
      </c>
      <c r="B49" s="888"/>
      <c r="C49" s="2635" t="e">
        <f>R50</f>
        <v>#DIV/0!</v>
      </c>
      <c r="D49" s="2636"/>
      <c r="E49" s="2637" t="e">
        <f>R49</f>
        <v>#DIV/0!</v>
      </c>
      <c r="F49" s="2637"/>
      <c r="G49" s="2635" t="e">
        <f>T49</f>
        <v>#DIV/0!</v>
      </c>
      <c r="H49" s="2636"/>
      <c r="I49" s="2637" t="e">
        <f>V49</f>
        <v>#DIV/0!</v>
      </c>
      <c r="J49" s="2636"/>
      <c r="K49" s="1613"/>
      <c r="L49" s="2146"/>
      <c r="M49" s="2136"/>
      <c r="N49" s="2136"/>
      <c r="O49" s="2136"/>
      <c r="P49" s="3384" t="str">
        <f>A49</f>
        <v>比较价格（元/平方米）</v>
      </c>
      <c r="Q49" s="3386"/>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03" t="str">
        <f>A50</f>
        <v>估价对象XX用房的比较价格（楼面单价，元/平方米）</v>
      </c>
      <c r="Q50" s="3384"/>
      <c r="R50" s="3475" t="e">
        <f>IF(F1="售价",ROUND(AVERAGE(R49:V49),0),ROUND(AVERAGE(R49:V49),1))</f>
        <v>#DIV/0!</v>
      </c>
      <c r="S50" s="3475"/>
      <c r="T50" s="3475"/>
      <c r="U50" s="3475"/>
      <c r="V50" s="3475"/>
      <c r="W50" s="347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2555</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2556</v>
      </c>
      <c r="C83" s="2600" t="s">
        <v>2557</v>
      </c>
      <c r="D83" s="2600" t="s">
        <v>2558</v>
      </c>
      <c r="E83" s="2600" t="s">
        <v>2559</v>
      </c>
      <c r="F83" s="2600" t="s">
        <v>2560</v>
      </c>
      <c r="G83" s="2600" t="s">
        <v>2561</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92" t="s">
        <v>521</v>
      </c>
      <c r="D4" s="3393"/>
      <c r="E4" s="3426" t="s">
        <v>522</v>
      </c>
      <c r="F4" s="3427"/>
      <c r="G4" s="3392" t="s">
        <v>523</v>
      </c>
      <c r="H4" s="3393"/>
      <c r="I4" s="3392" t="s">
        <v>524</v>
      </c>
      <c r="J4" s="3393"/>
      <c r="K4" s="514"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90" t="s">
        <v>523</v>
      </c>
      <c r="AC4" s="3389" t="s">
        <v>524</v>
      </c>
    </row>
    <row r="5" spans="1:29" ht="15">
      <c r="A5" s="515"/>
      <c r="B5" s="516"/>
      <c r="C5" s="3408" t="s">
        <v>2925</v>
      </c>
      <c r="D5" s="3409"/>
      <c r="E5" s="3428" t="s">
        <v>2926</v>
      </c>
      <c r="F5" s="342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7"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40" si="3">D8/F8</f>
        <v>#DIV/0!</v>
      </c>
      <c r="AB8" s="1572" t="e">
        <f t="shared" ref="AB8:AB40" si="4">D8/H8</f>
        <v>#DIV/0!</v>
      </c>
      <c r="AC8" s="1572" t="e">
        <f t="shared" ref="AC8:AC40" si="5">D8/J8</f>
        <v>#DIV/0!</v>
      </c>
    </row>
    <row r="9" spans="1:29" s="1220" customFormat="1" ht="15">
      <c r="A9" s="2916"/>
      <c r="B9" s="2923" t="s">
        <v>2754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12"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0" t="s">
        <v>539</v>
      </c>
      <c r="Q15" s="1573" t="str">
        <f t="shared" si="6"/>
        <v>产业集聚程度</v>
      </c>
      <c r="R15" s="1574" t="s">
        <v>8</v>
      </c>
      <c r="S15" s="1575">
        <f t="shared" si="0"/>
        <v>100</v>
      </c>
      <c r="T15" s="1574" t="s">
        <v>8</v>
      </c>
      <c r="U15" s="1575">
        <f t="shared" si="1"/>
        <v>100</v>
      </c>
      <c r="V15" s="1574" t="s">
        <v>8</v>
      </c>
      <c r="W15" s="1575">
        <f t="shared" si="2"/>
        <v>100</v>
      </c>
      <c r="X15" s="1568"/>
      <c r="Y15" s="3420"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8.5">
      <c r="A21" s="532"/>
      <c r="B21" s="259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21"/>
      <c r="Q22" s="2581"/>
      <c r="R22" s="1574"/>
      <c r="S22" s="1575"/>
      <c r="T22" s="1574"/>
      <c r="U22" s="1575"/>
      <c r="V22" s="1574"/>
      <c r="W22" s="1575"/>
      <c r="X22" s="2583"/>
      <c r="Y22" s="3421"/>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1"/>
      <c r="Q25" s="1573">
        <f>B25</f>
        <v>111</v>
      </c>
      <c r="R25" s="1574" t="s">
        <v>8</v>
      </c>
      <c r="S25" s="1575">
        <f>F25</f>
        <v>100</v>
      </c>
      <c r="T25" s="1574" t="s">
        <v>8</v>
      </c>
      <c r="U25" s="1575">
        <f>H25</f>
        <v>100</v>
      </c>
      <c r="V25" s="1574" t="s">
        <v>8</v>
      </c>
      <c r="W25" s="1575">
        <f>J25</f>
        <v>100</v>
      </c>
      <c r="X25" s="1568"/>
      <c r="Y25" s="342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1"/>
      <c r="Q26" s="1573">
        <f t="shared" ref="Q26:Q40" si="11">B26</f>
        <v>111</v>
      </c>
      <c r="R26" s="1574" t="s">
        <v>8</v>
      </c>
      <c r="S26" s="1575">
        <f>F26</f>
        <v>100</v>
      </c>
      <c r="T26" s="1574" t="s">
        <v>8</v>
      </c>
      <c r="U26" s="1575">
        <f>H26</f>
        <v>100</v>
      </c>
      <c r="V26" s="1574" t="s">
        <v>8</v>
      </c>
      <c r="W26" s="1575">
        <f>J26</f>
        <v>100</v>
      </c>
      <c r="X26" s="1568"/>
      <c r="Y26" s="342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1"/>
      <c r="Q27" s="1151">
        <f t="shared" si="11"/>
        <v>111</v>
      </c>
      <c r="R27" s="1569" t="s">
        <v>8</v>
      </c>
      <c r="S27" s="1570">
        <f>F27</f>
        <v>100</v>
      </c>
      <c r="T27" s="1569" t="s">
        <v>8</v>
      </c>
      <c r="U27" s="1570">
        <f>H27</f>
        <v>100</v>
      </c>
      <c r="V27" s="1569" t="s">
        <v>8</v>
      </c>
      <c r="W27" s="1570">
        <f>J27</f>
        <v>100</v>
      </c>
      <c r="X27" s="1571"/>
      <c r="Y27" s="342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1"/>
      <c r="Q28" s="1573">
        <f t="shared" si="11"/>
        <v>111</v>
      </c>
      <c r="R28" s="1574" t="s">
        <v>8</v>
      </c>
      <c r="S28" s="1575">
        <f t="shared" ref="S28:S40" si="12">F28</f>
        <v>100</v>
      </c>
      <c r="T28" s="1574" t="s">
        <v>8</v>
      </c>
      <c r="U28" s="1575">
        <f t="shared" ref="U28:U40" si="13">H28</f>
        <v>100</v>
      </c>
      <c r="V28" s="1574" t="s">
        <v>8</v>
      </c>
      <c r="W28" s="1575">
        <f t="shared" ref="W28:W40" si="14">J28</f>
        <v>100</v>
      </c>
      <c r="X28" s="1568"/>
      <c r="Y28" s="3421"/>
      <c r="Z28" s="1576">
        <f t="shared" ref="Z28:Z40" si="15">Q28</f>
        <v>111</v>
      </c>
      <c r="AA28" s="1577">
        <f t="shared" si="3"/>
        <v>1</v>
      </c>
      <c r="AB28" s="1577">
        <f t="shared" si="4"/>
        <v>1</v>
      </c>
      <c r="AC28" s="1577">
        <f t="shared" si="5"/>
        <v>1</v>
      </c>
    </row>
    <row r="29" spans="1:29" ht="15">
      <c r="A29" s="2909"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2" t="s">
        <v>549</v>
      </c>
      <c r="Q29" s="1573" t="str">
        <f t="shared" si="11"/>
        <v>建筑类型</v>
      </c>
      <c r="R29" s="1574" t="s">
        <v>8</v>
      </c>
      <c r="S29" s="1575">
        <f t="shared" si="12"/>
        <v>100</v>
      </c>
      <c r="T29" s="1574" t="s">
        <v>8</v>
      </c>
      <c r="U29" s="1575">
        <f t="shared" si="13"/>
        <v>100</v>
      </c>
      <c r="V29" s="1574" t="s">
        <v>8</v>
      </c>
      <c r="W29" s="1575">
        <f t="shared" si="14"/>
        <v>100</v>
      </c>
      <c r="X29" s="1568"/>
      <c r="Y29" s="3423"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3"/>
      <c r="Q30" s="1606" t="str">
        <f t="shared" si="11"/>
        <v>项目建筑规模</v>
      </c>
      <c r="R30" s="1578" t="s">
        <v>8</v>
      </c>
      <c r="S30" s="1579" t="e">
        <f t="shared" si="12"/>
        <v>#N/A</v>
      </c>
      <c r="T30" s="1578" t="s">
        <v>8</v>
      </c>
      <c r="U30" s="1579" t="e">
        <f t="shared" si="13"/>
        <v>#N/A</v>
      </c>
      <c r="V30" s="1578" t="s">
        <v>8</v>
      </c>
      <c r="W30" s="1579" t="e">
        <f t="shared" si="14"/>
        <v>#N/A</v>
      </c>
      <c r="X30" s="1580"/>
      <c r="Y30" s="3423"/>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3"/>
      <c r="Q31" s="1573" t="str">
        <f t="shared" si="11"/>
        <v>建筑结构</v>
      </c>
      <c r="R31" s="1574" t="s">
        <v>8</v>
      </c>
      <c r="S31" s="1575">
        <f t="shared" si="12"/>
        <v>100</v>
      </c>
      <c r="T31" s="1574" t="s">
        <v>8</v>
      </c>
      <c r="U31" s="1575">
        <f t="shared" si="13"/>
        <v>100</v>
      </c>
      <c r="V31" s="1574" t="s">
        <v>8</v>
      </c>
      <c r="W31" s="1575">
        <f t="shared" si="14"/>
        <v>100</v>
      </c>
      <c r="X31" s="1568"/>
      <c r="Y31" s="3423"/>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3"/>
      <c r="Q32" s="1573" t="str">
        <f t="shared" si="11"/>
        <v>公共部分装修</v>
      </c>
      <c r="R32" s="1574" t="s">
        <v>8</v>
      </c>
      <c r="S32" s="1575">
        <f t="shared" si="12"/>
        <v>100</v>
      </c>
      <c r="T32" s="1574" t="s">
        <v>8</v>
      </c>
      <c r="U32" s="1575">
        <f t="shared" si="13"/>
        <v>100</v>
      </c>
      <c r="V32" s="1574" t="s">
        <v>8</v>
      </c>
      <c r="W32" s="1575">
        <f t="shared" si="14"/>
        <v>100</v>
      </c>
      <c r="X32" s="1568"/>
      <c r="Y32" s="3423"/>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3"/>
      <c r="Q33" s="1573" t="str">
        <f t="shared" si="11"/>
        <v>成新度</v>
      </c>
      <c r="R33" s="1574" t="s">
        <v>8</v>
      </c>
      <c r="S33" s="1575" t="e">
        <f t="shared" si="12"/>
        <v>#N/A</v>
      </c>
      <c r="T33" s="1574" t="s">
        <v>8</v>
      </c>
      <c r="U33" s="1575" t="e">
        <f t="shared" si="13"/>
        <v>#N/A</v>
      </c>
      <c r="V33" s="1574" t="s">
        <v>8</v>
      </c>
      <c r="W33" s="1575" t="e">
        <f t="shared" si="14"/>
        <v>#N/A</v>
      </c>
      <c r="X33" s="1568"/>
      <c r="Y33" s="3423"/>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3"/>
      <c r="Q34" s="1151" t="str">
        <f t="shared" si="11"/>
        <v>物业管理</v>
      </c>
      <c r="R34" s="1569" t="s">
        <v>8</v>
      </c>
      <c r="S34" s="1570">
        <f t="shared" si="12"/>
        <v>100</v>
      </c>
      <c r="T34" s="1569" t="s">
        <v>8</v>
      </c>
      <c r="U34" s="1570">
        <f t="shared" si="13"/>
        <v>100</v>
      </c>
      <c r="V34" s="1569" t="s">
        <v>8</v>
      </c>
      <c r="W34" s="1570">
        <f t="shared" si="14"/>
        <v>100</v>
      </c>
      <c r="X34" s="1571"/>
      <c r="Y34" s="3423"/>
      <c r="Z34" s="1150" t="str">
        <f t="shared" si="15"/>
        <v>物业管理</v>
      </c>
      <c r="AA34" s="1572">
        <f t="shared" si="3"/>
        <v>1</v>
      </c>
      <c r="AB34" s="1572">
        <f t="shared" si="4"/>
        <v>1</v>
      </c>
      <c r="AC34" s="1572">
        <f t="shared" si="5"/>
        <v>1</v>
      </c>
    </row>
    <row r="35" spans="1:29" ht="15">
      <c r="A35" s="594"/>
      <c r="B35" s="1897"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3" t="s">
        <v>549</v>
      </c>
      <c r="Q35" s="1573" t="str">
        <f t="shared" si="11"/>
        <v>市政基础设施</v>
      </c>
      <c r="R35" s="1574" t="s">
        <v>8</v>
      </c>
      <c r="S35" s="1575">
        <f t="shared" si="12"/>
        <v>100</v>
      </c>
      <c r="T35" s="1574" t="s">
        <v>8</v>
      </c>
      <c r="U35" s="1575">
        <f t="shared" si="13"/>
        <v>100</v>
      </c>
      <c r="V35" s="1574" t="s">
        <v>8</v>
      </c>
      <c r="W35" s="1575">
        <f t="shared" si="14"/>
        <v>100</v>
      </c>
      <c r="X35" s="1568"/>
      <c r="Y35" s="3423"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3"/>
      <c r="Q36" s="1573" t="str">
        <f t="shared" si="11"/>
        <v>内部装修</v>
      </c>
      <c r="R36" s="1574" t="s">
        <v>8</v>
      </c>
      <c r="S36" s="1575">
        <f t="shared" si="12"/>
        <v>100</v>
      </c>
      <c r="T36" s="1574" t="s">
        <v>8</v>
      </c>
      <c r="U36" s="1575">
        <f t="shared" si="13"/>
        <v>100</v>
      </c>
      <c r="V36" s="1574" t="s">
        <v>8</v>
      </c>
      <c r="W36" s="1575">
        <f t="shared" si="14"/>
        <v>100</v>
      </c>
      <c r="X36" s="1568"/>
      <c r="Y36" s="3423"/>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3"/>
      <c r="Q37" s="1573" t="str">
        <f t="shared" si="11"/>
        <v>内部装修状况</v>
      </c>
      <c r="R37" s="1574" t="s">
        <v>8</v>
      </c>
      <c r="S37" s="1575">
        <f t="shared" si="12"/>
        <v>100</v>
      </c>
      <c r="T37" s="1574" t="s">
        <v>8</v>
      </c>
      <c r="U37" s="1575">
        <f t="shared" si="13"/>
        <v>100</v>
      </c>
      <c r="V37" s="1574" t="s">
        <v>8</v>
      </c>
      <c r="W37" s="1575">
        <f t="shared" si="14"/>
        <v>100</v>
      </c>
      <c r="X37" s="1568"/>
      <c r="Y37" s="342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3"/>
      <c r="Q38" s="1606">
        <f t="shared" si="11"/>
        <v>111</v>
      </c>
      <c r="R38" s="1578" t="s">
        <v>8</v>
      </c>
      <c r="S38" s="1579">
        <f t="shared" si="12"/>
        <v>100</v>
      </c>
      <c r="T38" s="1578" t="s">
        <v>8</v>
      </c>
      <c r="U38" s="1579">
        <f t="shared" si="13"/>
        <v>100</v>
      </c>
      <c r="V38" s="1578" t="s">
        <v>8</v>
      </c>
      <c r="W38" s="1579">
        <f t="shared" si="14"/>
        <v>100</v>
      </c>
      <c r="X38" s="1580"/>
      <c r="Y38" s="342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3"/>
      <c r="Q39" s="1573">
        <f t="shared" si="11"/>
        <v>111</v>
      </c>
      <c r="R39" s="1574" t="s">
        <v>8</v>
      </c>
      <c r="S39" s="1575">
        <f t="shared" si="12"/>
        <v>100</v>
      </c>
      <c r="T39" s="1574" t="s">
        <v>8</v>
      </c>
      <c r="U39" s="1575">
        <f t="shared" si="13"/>
        <v>100</v>
      </c>
      <c r="V39" s="1574" t="s">
        <v>8</v>
      </c>
      <c r="W39" s="1575">
        <f t="shared" si="14"/>
        <v>100</v>
      </c>
      <c r="X39" s="1568"/>
      <c r="Y39" s="342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86" t="str">
        <f>A41</f>
        <v>成交单价（元/平方米）</v>
      </c>
      <c r="Q41" s="3386"/>
      <c r="R41" s="3476">
        <f>E41</f>
        <v>0</v>
      </c>
      <c r="S41" s="3476"/>
      <c r="T41" s="3476">
        <f>G41</f>
        <v>0</v>
      </c>
      <c r="U41" s="3476"/>
      <c r="V41" s="3476">
        <f>I41</f>
        <v>0</v>
      </c>
      <c r="W41" s="3476"/>
      <c r="X41" s="1560"/>
      <c r="Y41" s="1582"/>
      <c r="Z41" s="1560"/>
      <c r="AA41" s="1560"/>
      <c r="AB41" s="1560"/>
      <c r="AC41" s="1560"/>
    </row>
    <row r="42" spans="1:29" ht="15.75" thickBot="1">
      <c r="A42" s="615" t="s">
        <v>2758</v>
      </c>
      <c r="B42" s="888"/>
      <c r="C42" s="2635" t="e">
        <f>R43</f>
        <v>#DIV/0!</v>
      </c>
      <c r="D42" s="2636"/>
      <c r="E42" s="2637" t="e">
        <f>R42</f>
        <v>#DIV/0!</v>
      </c>
      <c r="F42" s="2637"/>
      <c r="G42" s="2635" t="e">
        <f>T42</f>
        <v>#DIV/0!</v>
      </c>
      <c r="H42" s="2636"/>
      <c r="I42" s="2637" t="e">
        <f>V42</f>
        <v>#DIV/0!</v>
      </c>
      <c r="J42" s="2636"/>
      <c r="K42" s="1613"/>
      <c r="L42" s="2146"/>
      <c r="M42" s="2147"/>
      <c r="N42" s="2136"/>
      <c r="O42" s="2147"/>
      <c r="P42" s="3386" t="str">
        <f>A42</f>
        <v>比较价格（元/平方米）</v>
      </c>
      <c r="Q42" s="3386"/>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383" t="str">
        <f>A43</f>
        <v>估价对象XX用房的比较价格（楼面单价，元/平方米）</v>
      </c>
      <c r="Q43" s="3384"/>
      <c r="R43" s="3475" t="e">
        <f>IF(F1="售价",ROUND(AVERAGE(R42:V42),0),ROUND(AVERAGE(R42:V42),1))</f>
        <v>#DIV/0!</v>
      </c>
      <c r="S43" s="3475"/>
      <c r="T43" s="3475"/>
      <c r="U43" s="3475"/>
      <c r="V43" s="3475"/>
      <c r="W43" s="347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2555</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2556</v>
      </c>
      <c r="C76" s="2600" t="s">
        <v>2557</v>
      </c>
      <c r="D76" s="2600" t="s">
        <v>2558</v>
      </c>
      <c r="E76" s="2600" t="s">
        <v>2559</v>
      </c>
      <c r="F76" s="2600" t="s">
        <v>2560</v>
      </c>
      <c r="G76" s="2600" t="s">
        <v>2561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14000.08平方米。根据《建设工程规划许可证》[]、《出让合同》[]，估价对象规划建筑面积为155944.13平方米。</v>
      </c>
    </row>
    <row r="7" spans="1:4" ht="93.75">
      <c r="A7" s="2875" t="s">
        <v>2746</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2018年10月17日（评估专业人员勘察现场之日）</v>
      </c>
    </row>
    <row r="12" spans="1:4" ht="18.75">
      <c r="A12" s="1799" t="s">
        <v>2026</v>
      </c>
    </row>
    <row r="13" spans="1:4" ht="18.75">
      <c r="A13" s="1793" t="s">
        <v>2072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根据《国有土地使用证》[]，估价对象（分摊）出让国有建设用地使用权面积为14000.08平方米。根据《建设工程规划许可证》[]、《出让合同》[]，估价对象规划建筑面积为155944.13平方米。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877" t="s">
        <v>2747</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2077</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2" t="s">
        <v>797</v>
      </c>
      <c r="D4" s="3393"/>
      <c r="E4" s="3392" t="s">
        <v>798</v>
      </c>
      <c r="F4" s="3393"/>
      <c r="G4" s="3392" t="s">
        <v>799</v>
      </c>
      <c r="H4" s="3393"/>
      <c r="I4" s="3392" t="s">
        <v>800</v>
      </c>
      <c r="J4" s="3393"/>
      <c r="K4" s="514" t="s">
        <v>801</v>
      </c>
      <c r="L4" s="2135"/>
      <c r="M4" s="2136"/>
      <c r="N4" s="2136"/>
      <c r="O4" s="2136"/>
      <c r="P4" s="3394" t="s">
        <v>802</v>
      </c>
      <c r="Q4" s="3395"/>
      <c r="R4" s="3400" t="s">
        <v>798</v>
      </c>
      <c r="S4" s="3401"/>
      <c r="T4" s="3400" t="s">
        <v>799</v>
      </c>
      <c r="U4" s="3401"/>
      <c r="V4" s="3387" t="s">
        <v>800</v>
      </c>
      <c r="W4" s="3387"/>
      <c r="X4" s="1568"/>
      <c r="Y4" s="3400" t="s">
        <v>802</v>
      </c>
      <c r="Z4" s="3401"/>
      <c r="AA4" s="3389" t="s">
        <v>798</v>
      </c>
      <c r="AB4" s="3390" t="s">
        <v>799</v>
      </c>
      <c r="AC4" s="3389" t="s">
        <v>800</v>
      </c>
    </row>
    <row r="5" spans="1:29" ht="15">
      <c r="A5" s="515"/>
      <c r="B5" s="516"/>
      <c r="C5" s="3408" t="s">
        <v>2925</v>
      </c>
      <c r="D5" s="3409"/>
      <c r="E5" s="3408" t="s">
        <v>2926</v>
      </c>
      <c r="F5" s="340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10" t="s">
        <v>2929</v>
      </c>
      <c r="F6" s="3411"/>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7" t="s">
        <v>529</v>
      </c>
      <c r="Q7" s="3419"/>
      <c r="R7" s="1569" t="s">
        <v>8</v>
      </c>
      <c r="S7" s="1570">
        <f t="shared" ref="S7:S14" si="0">F7</f>
        <v>0</v>
      </c>
      <c r="T7" s="1569" t="s">
        <v>8</v>
      </c>
      <c r="U7" s="1570">
        <f t="shared" ref="U7:U14" si="1">H7</f>
        <v>0</v>
      </c>
      <c r="V7" s="1569" t="s">
        <v>8</v>
      </c>
      <c r="W7" s="1570">
        <f t="shared" ref="W7:W14"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36" si="3">D8/F8</f>
        <v>#DIV/0!</v>
      </c>
      <c r="AB8" s="1572" t="e">
        <f t="shared" ref="AB8:AB36" si="4">D8/H8</f>
        <v>#DIV/0!</v>
      </c>
      <c r="AC8" s="1572" t="e">
        <f t="shared" ref="AC8:AC36" si="5">D8/J8</f>
        <v>#DIV/0!</v>
      </c>
    </row>
    <row r="9" spans="1:29" s="1220" customFormat="1" ht="15">
      <c r="A9" s="2916"/>
      <c r="B9" s="2923" t="s">
        <v>2754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6" t="s">
        <v>534</v>
      </c>
      <c r="Q9" s="1151" t="str">
        <f t="shared" ref="Q9:Q14" si="6">B9</f>
        <v>用途</v>
      </c>
      <c r="R9" s="1569" t="s">
        <v>8</v>
      </c>
      <c r="S9" s="1570">
        <f t="shared" si="0"/>
        <v>100</v>
      </c>
      <c r="T9" s="1569" t="s">
        <v>8</v>
      </c>
      <c r="U9" s="1570">
        <f t="shared" si="1"/>
        <v>100</v>
      </c>
      <c r="V9" s="1569" t="s">
        <v>8</v>
      </c>
      <c r="W9" s="1570">
        <f t="shared" si="2"/>
        <v>100</v>
      </c>
      <c r="X9" s="1571"/>
      <c r="Y9" s="3332"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99.75">
      <c r="A14" s="2912" t="s">
        <v>2752</v>
      </c>
      <c r="B14" s="547" t="s">
        <v>542</v>
      </c>
      <c r="C14" s="921" t="str">
        <f>IF(B1="工业",估价对象房地状况!G4,估价对象房地状况!C6)</f>
        <v>估价对象周边道路通达状况较好、公共交通通达情况一般、停车较便捷，综合评价交通便捷度较好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0" t="s">
        <v>539</v>
      </c>
      <c r="Q14" s="1573" t="str">
        <f t="shared" si="6"/>
        <v>交通便捷度</v>
      </c>
      <c r="R14" s="1574" t="s">
        <v>8</v>
      </c>
      <c r="S14" s="1575">
        <f t="shared" si="0"/>
        <v>100</v>
      </c>
      <c r="T14" s="1574" t="s">
        <v>8</v>
      </c>
      <c r="U14" s="1575">
        <f t="shared" si="1"/>
        <v>100</v>
      </c>
      <c r="V14" s="1574" t="s">
        <v>8</v>
      </c>
      <c r="W14" s="1575">
        <f t="shared" si="2"/>
        <v>100</v>
      </c>
      <c r="X14" s="1568"/>
      <c r="Y14" s="3420"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15"/>
      <c r="B16" s="2605" t="s">
        <v>2544</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42.75">
      <c r="A18" s="515"/>
      <c r="B18" s="2593"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1"/>
      <c r="Q18" s="2581" t="str">
        <f>B18</f>
        <v>基础设施水平</v>
      </c>
      <c r="R18" s="1574" t="s">
        <v>8</v>
      </c>
      <c r="S18" s="1575">
        <f>F18</f>
        <v>100</v>
      </c>
      <c r="T18" s="1574" t="s">
        <v>8</v>
      </c>
      <c r="U18" s="1575">
        <f>H18</f>
        <v>100</v>
      </c>
      <c r="V18" s="1574" t="s">
        <v>8</v>
      </c>
      <c r="W18" s="1575">
        <f>J18</f>
        <v>100</v>
      </c>
      <c r="X18" s="2583"/>
      <c r="Y18" s="342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21"/>
      <c r="Q19" s="2581"/>
      <c r="R19" s="1574"/>
      <c r="S19" s="1575"/>
      <c r="T19" s="1574"/>
      <c r="U19" s="1575"/>
      <c r="V19" s="1574"/>
      <c r="W19" s="1575"/>
      <c r="X19" s="2583"/>
      <c r="Y19" s="3421"/>
      <c r="Z19" s="2582"/>
      <c r="AA19" s="1577">
        <v>1</v>
      </c>
      <c r="AB19" s="1577">
        <v>1</v>
      </c>
      <c r="AC19" s="1577">
        <v>1</v>
      </c>
    </row>
    <row r="20" spans="1:29" ht="57">
      <c r="A20" s="515"/>
      <c r="B20" s="560" t="s">
        <v>803</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1"/>
      <c r="Q24" s="1573">
        <f t="shared" ref="Q24:Q36"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09"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2"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3"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3"/>
      <c r="Q27" s="1606" t="str">
        <f t="shared" si="11"/>
        <v>项目停车位配比</v>
      </c>
      <c r="R27" s="1578" t="s">
        <v>8</v>
      </c>
      <c r="S27" s="1579">
        <f t="shared" si="12"/>
        <v>100</v>
      </c>
      <c r="T27" s="1578" t="s">
        <v>8</v>
      </c>
      <c r="U27" s="1579">
        <f t="shared" si="13"/>
        <v>100</v>
      </c>
      <c r="V27" s="1578" t="s">
        <v>8</v>
      </c>
      <c r="W27" s="1579">
        <f t="shared" si="14"/>
        <v>100</v>
      </c>
      <c r="X27" s="1580"/>
      <c r="Y27" s="3423"/>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3"/>
      <c r="Q28" s="1573" t="str">
        <f t="shared" si="11"/>
        <v>公共部分装修</v>
      </c>
      <c r="R28" s="1574" t="s">
        <v>8</v>
      </c>
      <c r="S28" s="1575">
        <f t="shared" si="12"/>
        <v>100</v>
      </c>
      <c r="T28" s="1574" t="s">
        <v>8</v>
      </c>
      <c r="U28" s="1575">
        <f t="shared" si="13"/>
        <v>100</v>
      </c>
      <c r="V28" s="1574" t="s">
        <v>8</v>
      </c>
      <c r="W28" s="1575">
        <f t="shared" si="14"/>
        <v>100</v>
      </c>
      <c r="X28" s="1568"/>
      <c r="Y28" s="3423"/>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3"/>
      <c r="Q29" s="1573" t="str">
        <f t="shared" si="11"/>
        <v>成新率</v>
      </c>
      <c r="R29" s="1574" t="s">
        <v>8</v>
      </c>
      <c r="S29" s="1575" t="e">
        <f t="shared" si="12"/>
        <v>#N/A</v>
      </c>
      <c r="T29" s="1574" t="s">
        <v>8</v>
      </c>
      <c r="U29" s="1575" t="e">
        <f t="shared" si="13"/>
        <v>#N/A</v>
      </c>
      <c r="V29" s="1574" t="s">
        <v>8</v>
      </c>
      <c r="W29" s="1575" t="e">
        <f t="shared" si="14"/>
        <v>#N/A</v>
      </c>
      <c r="X29" s="1568"/>
      <c r="Y29" s="3423"/>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3"/>
      <c r="Q30" s="1573" t="str">
        <f t="shared" si="11"/>
        <v>物业等级</v>
      </c>
      <c r="R30" s="1574" t="s">
        <v>8</v>
      </c>
      <c r="S30" s="1575">
        <f t="shared" si="12"/>
        <v>100</v>
      </c>
      <c r="T30" s="1574" t="s">
        <v>8</v>
      </c>
      <c r="U30" s="1575">
        <f t="shared" si="13"/>
        <v>100</v>
      </c>
      <c r="V30" s="1574" t="s">
        <v>8</v>
      </c>
      <c r="W30" s="1575">
        <f t="shared" si="14"/>
        <v>100</v>
      </c>
      <c r="X30" s="1568"/>
      <c r="Y30" s="3423"/>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3"/>
      <c r="Q31" s="1151" t="str">
        <f t="shared" si="11"/>
        <v>停车位面积</v>
      </c>
      <c r="R31" s="1569" t="s">
        <v>8</v>
      </c>
      <c r="S31" s="1570" t="e">
        <f t="shared" si="12"/>
        <v>#N/A</v>
      </c>
      <c r="T31" s="1569" t="s">
        <v>8</v>
      </c>
      <c r="U31" s="1570" t="e">
        <f t="shared" si="13"/>
        <v>#N/A</v>
      </c>
      <c r="V31" s="1569" t="s">
        <v>8</v>
      </c>
      <c r="W31" s="1570" t="e">
        <f t="shared" si="14"/>
        <v>#N/A</v>
      </c>
      <c r="X31" s="1571"/>
      <c r="Y31" s="3423"/>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3" t="s">
        <v>549</v>
      </c>
      <c r="Q32" s="1573" t="str">
        <f t="shared" si="11"/>
        <v>车位类型</v>
      </c>
      <c r="R32" s="1574" t="s">
        <v>8</v>
      </c>
      <c r="S32" s="1575">
        <f t="shared" si="12"/>
        <v>100</v>
      </c>
      <c r="T32" s="1574" t="s">
        <v>8</v>
      </c>
      <c r="U32" s="1575">
        <f t="shared" si="13"/>
        <v>100</v>
      </c>
      <c r="V32" s="1574" t="s">
        <v>8</v>
      </c>
      <c r="W32" s="1575">
        <f t="shared" si="14"/>
        <v>100</v>
      </c>
      <c r="X32" s="1568"/>
      <c r="Y32" s="3423"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3"/>
      <c r="Q33" s="1573" t="str">
        <f t="shared" si="11"/>
        <v>是否直接入户</v>
      </c>
      <c r="R33" s="1574" t="s">
        <v>8</v>
      </c>
      <c r="S33" s="1575">
        <f t="shared" si="12"/>
        <v>100</v>
      </c>
      <c r="T33" s="1574" t="s">
        <v>8</v>
      </c>
      <c r="U33" s="1575">
        <f t="shared" si="13"/>
        <v>100</v>
      </c>
      <c r="V33" s="1574" t="s">
        <v>8</v>
      </c>
      <c r="W33" s="1575">
        <f t="shared" si="14"/>
        <v>100</v>
      </c>
      <c r="X33" s="1568"/>
      <c r="Y33" s="342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3"/>
      <c r="Q35" s="1606">
        <f t="shared" si="11"/>
        <v>111</v>
      </c>
      <c r="R35" s="1578" t="s">
        <v>8</v>
      </c>
      <c r="S35" s="1579">
        <f t="shared" si="12"/>
        <v>100</v>
      </c>
      <c r="T35" s="1578" t="s">
        <v>8</v>
      </c>
      <c r="U35" s="1579">
        <f t="shared" si="13"/>
        <v>100</v>
      </c>
      <c r="V35" s="1578" t="s">
        <v>8</v>
      </c>
      <c r="W35" s="1579">
        <f t="shared" si="14"/>
        <v>100</v>
      </c>
      <c r="X35" s="1580"/>
      <c r="Y35" s="342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3"/>
      <c r="Q36" s="1573">
        <f t="shared" si="11"/>
        <v>111</v>
      </c>
      <c r="R36" s="1574" t="s">
        <v>8</v>
      </c>
      <c r="S36" s="1575">
        <f t="shared" si="12"/>
        <v>100</v>
      </c>
      <c r="T36" s="1574" t="s">
        <v>8</v>
      </c>
      <c r="U36" s="1575">
        <f t="shared" si="13"/>
        <v>100</v>
      </c>
      <c r="V36" s="1574" t="s">
        <v>8</v>
      </c>
      <c r="W36" s="1575">
        <f t="shared" si="14"/>
        <v>100</v>
      </c>
      <c r="X36" s="1568"/>
      <c r="Y36" s="3423"/>
      <c r="Z36" s="1576">
        <f t="shared" si="15"/>
        <v>111</v>
      </c>
      <c r="AA36" s="1577">
        <f t="shared" si="3"/>
        <v>1</v>
      </c>
      <c r="AB36" s="1577">
        <f t="shared" si="4"/>
        <v>1</v>
      </c>
      <c r="AC36" s="1577">
        <f t="shared" si="5"/>
        <v>1</v>
      </c>
    </row>
    <row r="37" spans="1:29" ht="15">
      <c r="A37" s="1848" t="s">
        <v>2078</v>
      </c>
      <c r="B37" s="1849" t="s">
        <v>2079</v>
      </c>
      <c r="C37" s="2629" t="s">
        <v>1</v>
      </c>
      <c r="D37" s="2630"/>
      <c r="E37" s="2631"/>
      <c r="F37" s="2632"/>
      <c r="G37" s="2633"/>
      <c r="H37" s="2634"/>
      <c r="I37" s="2631"/>
      <c r="J37" s="2634"/>
      <c r="K37" s="1612"/>
      <c r="L37" s="2146"/>
      <c r="M37" s="2147"/>
      <c r="N37" s="2136"/>
      <c r="O37" s="2147"/>
      <c r="P37" s="3386" t="str">
        <f>A37</f>
        <v>成交单价</v>
      </c>
      <c r="Q37" s="3386"/>
      <c r="R37" s="3476">
        <f>E37</f>
        <v>0</v>
      </c>
      <c r="S37" s="3476"/>
      <c r="T37" s="3476">
        <f>G37</f>
        <v>0</v>
      </c>
      <c r="U37" s="3476"/>
      <c r="V37" s="3476">
        <f>I37</f>
        <v>0</v>
      </c>
      <c r="W37" s="3476"/>
      <c r="X37" s="1560"/>
      <c r="Y37" s="1582"/>
      <c r="Z37" s="1560"/>
      <c r="AA37" s="1560"/>
      <c r="AB37" s="1560"/>
      <c r="AC37" s="1560"/>
    </row>
    <row r="38" spans="1:29" ht="15.75" thickBot="1">
      <c r="A38" s="615" t="s">
        <v>2758</v>
      </c>
      <c r="B38" s="888"/>
      <c r="C38" s="2635" t="e">
        <f>R39</f>
        <v>#DIV/0!</v>
      </c>
      <c r="D38" s="2636"/>
      <c r="E38" s="2637" t="e">
        <f>R38</f>
        <v>#DIV/0!</v>
      </c>
      <c r="F38" s="2637"/>
      <c r="G38" s="2635" t="e">
        <f>T38</f>
        <v>#DIV/0!</v>
      </c>
      <c r="H38" s="2636"/>
      <c r="I38" s="2637" t="e">
        <f>V38</f>
        <v>#DIV/0!</v>
      </c>
      <c r="J38" s="2636"/>
      <c r="K38" s="1613"/>
      <c r="L38" s="2146"/>
      <c r="M38" s="2147"/>
      <c r="N38" s="2147"/>
      <c r="O38" s="2147"/>
      <c r="P38" s="3386" t="str">
        <f>A38</f>
        <v>比较价格（元/平方米）</v>
      </c>
      <c r="Q38" s="3386"/>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383" t="str">
        <f>A39</f>
        <v>估价对象XX用房的比较价格（楼面单价，元/平方米）</v>
      </c>
      <c r="Q39" s="3384"/>
      <c r="R39" s="3475" t="e">
        <f>IF(F1="售价",ROUND(AVERAGE(R38:V38),0),ROUND(AVERAGE(R38:V38),1))</f>
        <v>#DIV/0!</v>
      </c>
      <c r="S39" s="3475"/>
      <c r="T39" s="3475"/>
      <c r="U39" s="3475"/>
      <c r="V39" s="3475"/>
      <c r="W39" s="347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2555</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2556</v>
      </c>
      <c r="C67" s="2600" t="s">
        <v>2557</v>
      </c>
      <c r="D67" s="2600" t="s">
        <v>2558</v>
      </c>
      <c r="E67" s="2600" t="s">
        <v>2559</v>
      </c>
      <c r="F67" s="2600" t="s">
        <v>2560</v>
      </c>
      <c r="G67" s="2600" t="s">
        <v>2561</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2" t="s">
        <v>797</v>
      </c>
      <c r="D4" s="3393"/>
      <c r="E4" s="3426" t="s">
        <v>798</v>
      </c>
      <c r="F4" s="3427"/>
      <c r="G4" s="3392" t="s">
        <v>799</v>
      </c>
      <c r="H4" s="3393"/>
      <c r="I4" s="3392" t="s">
        <v>800</v>
      </c>
      <c r="J4" s="3393"/>
      <c r="K4" s="514" t="s">
        <v>801</v>
      </c>
      <c r="L4" s="2135"/>
      <c r="M4" s="2136"/>
      <c r="N4" s="2136"/>
      <c r="O4" s="2136"/>
      <c r="P4" s="3394" t="s">
        <v>802</v>
      </c>
      <c r="Q4" s="3395"/>
      <c r="R4" s="3400" t="s">
        <v>798</v>
      </c>
      <c r="S4" s="3401"/>
      <c r="T4" s="3400" t="s">
        <v>799</v>
      </c>
      <c r="U4" s="3401"/>
      <c r="V4" s="3387" t="s">
        <v>800</v>
      </c>
      <c r="W4" s="3387"/>
      <c r="X4" s="1568"/>
      <c r="Y4" s="3400" t="s">
        <v>802</v>
      </c>
      <c r="Z4" s="3401"/>
      <c r="AA4" s="3389" t="s">
        <v>798</v>
      </c>
      <c r="AB4" s="3390" t="s">
        <v>799</v>
      </c>
      <c r="AC4" s="3389" t="s">
        <v>800</v>
      </c>
    </row>
    <row r="5" spans="1:29" ht="15">
      <c r="A5" s="515"/>
      <c r="B5" s="516"/>
      <c r="C5" s="3408" t="s">
        <v>2925</v>
      </c>
      <c r="D5" s="3409"/>
      <c r="E5" s="3428" t="s">
        <v>2926</v>
      </c>
      <c r="F5" s="342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7" t="s">
        <v>529</v>
      </c>
      <c r="Q7" s="3419"/>
      <c r="R7" s="1569" t="s">
        <v>8</v>
      </c>
      <c r="S7" s="1570">
        <f t="shared" ref="S7:S14" si="0">F7</f>
        <v>0</v>
      </c>
      <c r="T7" s="1569" t="s">
        <v>8</v>
      </c>
      <c r="U7" s="1570">
        <f t="shared" ref="U7:U14" si="1">H7</f>
        <v>0</v>
      </c>
      <c r="V7" s="1569" t="s">
        <v>8</v>
      </c>
      <c r="W7" s="1570">
        <f t="shared" ref="W7:W14"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34" si="3">D8/F8</f>
        <v>#DIV/0!</v>
      </c>
      <c r="AB8" s="1572" t="e">
        <f t="shared" ref="AB8:AB34" si="4">D8/H8</f>
        <v>#DIV/0!</v>
      </c>
      <c r="AC8" s="1572" t="e">
        <f t="shared" ref="AC8:AC34" si="5">D8/J8</f>
        <v>#DIV/0!</v>
      </c>
    </row>
    <row r="9" spans="1:29" s="1220" customFormat="1" ht="15">
      <c r="A9" s="2916"/>
      <c r="B9" s="2923" t="s">
        <v>2754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6" t="s">
        <v>534</v>
      </c>
      <c r="Q9" s="1151" t="str">
        <f t="shared" ref="Q9:Q14" si="6">B9</f>
        <v>用途</v>
      </c>
      <c r="R9" s="1569" t="s">
        <v>8</v>
      </c>
      <c r="S9" s="1570">
        <f t="shared" si="0"/>
        <v>100</v>
      </c>
      <c r="T9" s="1569" t="s">
        <v>8</v>
      </c>
      <c r="U9" s="1570">
        <f t="shared" si="1"/>
        <v>100</v>
      </c>
      <c r="V9" s="1569" t="s">
        <v>8</v>
      </c>
      <c r="W9" s="1570">
        <f t="shared" si="2"/>
        <v>100</v>
      </c>
      <c r="X9" s="1571"/>
      <c r="Y9" s="3332"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99.75">
      <c r="A14" s="2912" t="s">
        <v>2752</v>
      </c>
      <c r="B14" s="166" t="s">
        <v>542</v>
      </c>
      <c r="C14" s="921" t="str">
        <f>IF(B1="工业",估价对象房地状况!G4,估价对象房地状况!C6)</f>
        <v>估价对象周边道路通达状况较好、公共交通通达情况一般、停车较便捷，综合评价交通便捷度较好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0" t="s">
        <v>539</v>
      </c>
      <c r="Q14" s="1573" t="str">
        <f t="shared" si="6"/>
        <v>交通便捷度</v>
      </c>
      <c r="R14" s="1574" t="s">
        <v>8</v>
      </c>
      <c r="S14" s="1575">
        <f t="shared" si="0"/>
        <v>100</v>
      </c>
      <c r="T14" s="1574" t="s">
        <v>8</v>
      </c>
      <c r="U14" s="1575">
        <f t="shared" si="1"/>
        <v>100</v>
      </c>
      <c r="V14" s="1574" t="s">
        <v>8</v>
      </c>
      <c r="W14" s="1575">
        <f t="shared" si="2"/>
        <v>100</v>
      </c>
      <c r="X14" s="1568"/>
      <c r="Y14" s="3420"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32"/>
      <c r="B16" s="2605" t="s">
        <v>2544</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42.75">
      <c r="A18" s="532"/>
      <c r="B18" s="2593"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1"/>
      <c r="Q18" s="2581" t="str">
        <f>B18</f>
        <v>基础设施水平</v>
      </c>
      <c r="R18" s="1574" t="s">
        <v>8</v>
      </c>
      <c r="S18" s="1575">
        <f>F18</f>
        <v>100</v>
      </c>
      <c r="T18" s="1574" t="s">
        <v>8</v>
      </c>
      <c r="U18" s="1575">
        <f>H18</f>
        <v>100</v>
      </c>
      <c r="V18" s="1574" t="s">
        <v>8</v>
      </c>
      <c r="W18" s="1575">
        <f>J18</f>
        <v>100</v>
      </c>
      <c r="X18" s="2583"/>
      <c r="Y18" s="342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21"/>
      <c r="Q19" s="2581"/>
      <c r="R19" s="1574"/>
      <c r="S19" s="1575"/>
      <c r="T19" s="1574"/>
      <c r="U19" s="1575"/>
      <c r="V19" s="1574"/>
      <c r="W19" s="1575"/>
      <c r="X19" s="2583"/>
      <c r="Y19" s="3421"/>
      <c r="Z19" s="2582"/>
      <c r="AA19" s="1577">
        <v>1</v>
      </c>
      <c r="AB19" s="1577">
        <v>1</v>
      </c>
      <c r="AC19" s="1577">
        <v>1</v>
      </c>
    </row>
    <row r="20" spans="1:29" ht="57">
      <c r="A20" s="532"/>
      <c r="B20" s="871" t="s">
        <v>803</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1"/>
      <c r="Q24" s="1573">
        <f t="shared" ref="Q24:Q34"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09"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2"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3"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3"/>
      <c r="Q27" s="1606" t="str">
        <f t="shared" si="11"/>
        <v>成新率</v>
      </c>
      <c r="R27" s="1578" t="s">
        <v>8</v>
      </c>
      <c r="S27" s="1579" t="e">
        <f t="shared" si="12"/>
        <v>#N/A</v>
      </c>
      <c r="T27" s="1578" t="s">
        <v>8</v>
      </c>
      <c r="U27" s="1579" t="e">
        <f t="shared" si="13"/>
        <v>#N/A</v>
      </c>
      <c r="V27" s="1578" t="s">
        <v>8</v>
      </c>
      <c r="W27" s="1579" t="e">
        <f t="shared" si="14"/>
        <v>#N/A</v>
      </c>
      <c r="X27" s="1580"/>
      <c r="Y27" s="3423"/>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3"/>
      <c r="Q28" s="1573" t="str">
        <f t="shared" si="11"/>
        <v>物业等级</v>
      </c>
      <c r="R28" s="1574" t="s">
        <v>8</v>
      </c>
      <c r="S28" s="1575">
        <f t="shared" si="12"/>
        <v>100</v>
      </c>
      <c r="T28" s="1574" t="s">
        <v>8</v>
      </c>
      <c r="U28" s="1575">
        <f t="shared" si="13"/>
        <v>100</v>
      </c>
      <c r="V28" s="1574" t="s">
        <v>8</v>
      </c>
      <c r="W28" s="1575">
        <f t="shared" si="14"/>
        <v>100</v>
      </c>
      <c r="X28" s="1568"/>
      <c r="Y28" s="3423"/>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3"/>
      <c r="Q29" s="1573" t="str">
        <f t="shared" si="11"/>
        <v>有无电梯</v>
      </c>
      <c r="R29" s="1574" t="s">
        <v>8</v>
      </c>
      <c r="S29" s="1575">
        <f t="shared" si="12"/>
        <v>100</v>
      </c>
      <c r="T29" s="1574" t="s">
        <v>8</v>
      </c>
      <c r="U29" s="1575">
        <f t="shared" si="13"/>
        <v>100</v>
      </c>
      <c r="V29" s="1574" t="s">
        <v>8</v>
      </c>
      <c r="W29" s="1575">
        <f t="shared" si="14"/>
        <v>100</v>
      </c>
      <c r="X29" s="1568"/>
      <c r="Y29" s="3423"/>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3"/>
      <c r="Q30" s="1573" t="str">
        <f t="shared" si="11"/>
        <v>建筑面积</v>
      </c>
      <c r="R30" s="1574" t="s">
        <v>8</v>
      </c>
      <c r="S30" s="1575" t="e">
        <f t="shared" si="12"/>
        <v>#N/A</v>
      </c>
      <c r="T30" s="1574" t="s">
        <v>8</v>
      </c>
      <c r="U30" s="1575" t="e">
        <f t="shared" si="13"/>
        <v>#N/A</v>
      </c>
      <c r="V30" s="1574" t="s">
        <v>8</v>
      </c>
      <c r="W30" s="1575" t="e">
        <f t="shared" si="14"/>
        <v>#N/A</v>
      </c>
      <c r="X30" s="1568"/>
      <c r="Y30" s="3423"/>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3"/>
      <c r="Q31" s="1151" t="str">
        <f t="shared" si="11"/>
        <v>是否封闭</v>
      </c>
      <c r="R31" s="1569" t="s">
        <v>8</v>
      </c>
      <c r="S31" s="1570">
        <f t="shared" si="12"/>
        <v>100</v>
      </c>
      <c r="T31" s="1569" t="s">
        <v>8</v>
      </c>
      <c r="U31" s="1570">
        <f t="shared" si="13"/>
        <v>100</v>
      </c>
      <c r="V31" s="1569" t="s">
        <v>8</v>
      </c>
      <c r="W31" s="1570">
        <f t="shared" si="14"/>
        <v>100</v>
      </c>
      <c r="X31" s="1571"/>
      <c r="Y31" s="342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3" t="s">
        <v>549</v>
      </c>
      <c r="Q32" s="1573">
        <f t="shared" si="11"/>
        <v>111</v>
      </c>
      <c r="R32" s="1574" t="s">
        <v>8</v>
      </c>
      <c r="S32" s="1575">
        <f t="shared" si="12"/>
        <v>100</v>
      </c>
      <c r="T32" s="1574" t="s">
        <v>8</v>
      </c>
      <c r="U32" s="1575">
        <f t="shared" si="13"/>
        <v>100</v>
      </c>
      <c r="V32" s="1574" t="s">
        <v>8</v>
      </c>
      <c r="W32" s="1575">
        <f t="shared" si="14"/>
        <v>100</v>
      </c>
      <c r="X32" s="1568"/>
      <c r="Y32" s="3423"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3"/>
      <c r="Q33" s="1573">
        <f t="shared" si="11"/>
        <v>111</v>
      </c>
      <c r="R33" s="1574" t="s">
        <v>8</v>
      </c>
      <c r="S33" s="1575">
        <f t="shared" si="12"/>
        <v>100</v>
      </c>
      <c r="T33" s="1574" t="s">
        <v>8</v>
      </c>
      <c r="U33" s="1575">
        <f t="shared" si="13"/>
        <v>100</v>
      </c>
      <c r="V33" s="1574" t="s">
        <v>8</v>
      </c>
      <c r="W33" s="1575">
        <f t="shared" si="14"/>
        <v>100</v>
      </c>
      <c r="X33" s="1568"/>
      <c r="Y33" s="342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86" t="str">
        <f>A35</f>
        <v>成交单价（元/平方米）</v>
      </c>
      <c r="Q35" s="3386"/>
      <c r="R35" s="3476">
        <f>E35</f>
        <v>0</v>
      </c>
      <c r="S35" s="3476"/>
      <c r="T35" s="3476">
        <f>G35</f>
        <v>0</v>
      </c>
      <c r="U35" s="3476"/>
      <c r="V35" s="3476">
        <f>I35</f>
        <v>0</v>
      </c>
      <c r="W35" s="3476"/>
      <c r="X35" s="1560"/>
      <c r="Y35" s="1582"/>
      <c r="Z35" s="1560"/>
      <c r="AA35" s="1560"/>
      <c r="AB35" s="1560"/>
      <c r="AC35" s="1560"/>
    </row>
    <row r="36" spans="1:29" ht="15.75" thickBot="1">
      <c r="A36" s="615" t="s">
        <v>2758</v>
      </c>
      <c r="B36" s="888"/>
      <c r="C36" s="2635" t="e">
        <f>R37</f>
        <v>#DIV/0!</v>
      </c>
      <c r="D36" s="2636"/>
      <c r="E36" s="2637" t="e">
        <f>R36</f>
        <v>#DIV/0!</v>
      </c>
      <c r="F36" s="2637"/>
      <c r="G36" s="2635" t="e">
        <f>T36</f>
        <v>#DIV/0!</v>
      </c>
      <c r="H36" s="2636"/>
      <c r="I36" s="2637" t="e">
        <f>V36</f>
        <v>#DIV/0!</v>
      </c>
      <c r="J36" s="2636"/>
      <c r="K36" s="1613"/>
      <c r="L36" s="2146"/>
      <c r="M36" s="2147"/>
      <c r="N36" s="2136"/>
      <c r="O36" s="2147"/>
      <c r="P36" s="3386" t="str">
        <f>A36</f>
        <v>比较价格（元/平方米）</v>
      </c>
      <c r="Q36" s="3386"/>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383" t="str">
        <f>A37</f>
        <v>估价对象XX用房的比较价格（楼面单价，元/平方米）</v>
      </c>
      <c r="Q37" s="3384"/>
      <c r="R37" s="3475" t="e">
        <f>IF(F1="售价",ROUND(AVERAGE(R36:V36),0),ROUND(AVERAGE(R36:V36),1))</f>
        <v>#DIV/0!</v>
      </c>
      <c r="S37" s="3475"/>
      <c r="T37" s="3475"/>
      <c r="U37" s="3475"/>
      <c r="V37" s="3475"/>
      <c r="W37" s="347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2555</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2556</v>
      </c>
      <c r="C65" s="2600" t="s">
        <v>2557</v>
      </c>
      <c r="D65" s="2600" t="s">
        <v>2558</v>
      </c>
      <c r="E65" s="2600" t="s">
        <v>2559</v>
      </c>
      <c r="F65" s="2600" t="s">
        <v>2560</v>
      </c>
      <c r="G65" s="2600" t="s">
        <v>2561</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10" t="s">
        <v>2304</v>
      </c>
      <c r="D1" s="3511"/>
      <c r="E1" s="3511"/>
      <c r="F1" s="3511"/>
      <c r="G1" s="3511"/>
      <c r="H1" s="3511"/>
      <c r="I1" s="3511"/>
      <c r="J1" s="3511"/>
      <c r="K1" s="3511"/>
      <c r="L1" s="3511"/>
      <c r="M1" s="3511"/>
      <c r="N1" s="3511"/>
      <c r="O1" s="3511"/>
      <c r="P1" s="3511"/>
      <c r="Q1" s="3511"/>
      <c r="R1" s="3511"/>
      <c r="S1" s="3512"/>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2786</v>
      </c>
      <c r="C1" s="3006">
        <f>项目基本情况!D3</f>
        <v>43390</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2817</v>
      </c>
      <c r="C2" s="3007">
        <f>'数据-取费表'!B22</f>
        <v>3</v>
      </c>
      <c r="D2" s="3002" t="s">
        <v>2787</v>
      </c>
      <c r="E2" s="3005">
        <f ca="1">INDIRECT("I"&amp;$I$1)/100</f>
        <v>4.7500000000000001E-2</v>
      </c>
      <c r="G2" s="2942"/>
      <c r="H2" s="2942"/>
      <c r="I2" s="2942" t="s">
        <v>2788</v>
      </c>
      <c r="K2" s="2942"/>
      <c r="L2" s="2942"/>
      <c r="M2" s="2942"/>
      <c r="N2" s="2942" t="s">
        <v>2789</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2819</v>
      </c>
      <c r="C3" s="3004">
        <f>'数据-取费表'!B19</f>
        <v>0</v>
      </c>
      <c r="D3" s="3002" t="s">
        <v>2787</v>
      </c>
      <c r="E3" s="3005">
        <f ca="1">INDIRECT("J"&amp;$J$1)/100</f>
        <v>0</v>
      </c>
      <c r="G3" s="2944" t="s">
        <v>2790</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2818</v>
      </c>
      <c r="C4" s="3005">
        <f ca="1">N4/100</f>
        <v>1.4999999999999999E-2</v>
      </c>
      <c r="G4" s="2950" t="s">
        <v>2791</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2792</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2793</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2794</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2795</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2796</v>
      </c>
      <c r="C10" s="2969"/>
      <c r="D10" s="2969"/>
      <c r="E10" s="2969"/>
      <c r="F10" s="2969"/>
      <c r="G10" s="2969"/>
      <c r="H10" s="2969"/>
      <c r="I10" s="2943"/>
      <c r="J10" s="2943"/>
      <c r="K10" s="2969"/>
      <c r="L10" s="2970" t="s">
        <v>2797</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2798</v>
      </c>
      <c r="C11" s="2974" t="s">
        <v>2799</v>
      </c>
      <c r="D11" s="2975" t="s">
        <v>2800</v>
      </c>
      <c r="E11" s="2976"/>
      <c r="F11" s="2975" t="s">
        <v>2801</v>
      </c>
      <c r="G11" s="2977"/>
      <c r="H11" s="2976"/>
      <c r="I11" s="2975" t="s">
        <v>2802</v>
      </c>
      <c r="J11" s="2976"/>
      <c r="K11" s="2972"/>
      <c r="L11" s="2973" t="s">
        <v>2798</v>
      </c>
      <c r="M11" s="2974" t="s">
        <v>2799</v>
      </c>
      <c r="N11" s="2973" t="s">
        <v>2803</v>
      </c>
      <c r="O11" s="2975" t="s">
        <v>2804</v>
      </c>
      <c r="P11" s="2977"/>
      <c r="Q11" s="2977"/>
      <c r="R11" s="2977"/>
      <c r="S11" s="2977"/>
      <c r="T11" s="2976"/>
      <c r="U11" s="2975" t="s">
        <v>2805</v>
      </c>
      <c r="V11" s="2977"/>
      <c r="W11" s="2976"/>
      <c r="X11" s="2973" t="s">
        <v>2806</v>
      </c>
      <c r="Y11" s="2973" t="s">
        <v>2807</v>
      </c>
      <c r="Z11" s="2973" t="s">
        <v>2808</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2809</v>
      </c>
      <c r="E12" s="2982" t="s">
        <v>2810</v>
      </c>
      <c r="F12" s="2982" t="s">
        <v>2811</v>
      </c>
      <c r="G12" s="2982" t="s">
        <v>2812</v>
      </c>
      <c r="H12" s="2982" t="s">
        <v>2794</v>
      </c>
      <c r="I12" s="2983" t="s">
        <v>2813</v>
      </c>
      <c r="J12" s="2983" t="s">
        <v>2813</v>
      </c>
      <c r="K12" s="2979"/>
      <c r="L12" s="2980"/>
      <c r="M12" s="2981"/>
      <c r="N12" s="2980"/>
      <c r="O12" s="2983" t="s">
        <v>2814</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2815</v>
      </c>
      <c r="C13" s="2987">
        <v>42301</v>
      </c>
      <c r="D13" s="2988">
        <v>4.3499999999999996</v>
      </c>
      <c r="E13" s="2988">
        <v>4.3499999999999996</v>
      </c>
      <c r="F13" s="2988">
        <v>4.75</v>
      </c>
      <c r="G13" s="2988">
        <v>4.75</v>
      </c>
      <c r="H13" s="2988">
        <v>4.9000000000000004</v>
      </c>
      <c r="I13" s="2988">
        <v>2.75</v>
      </c>
      <c r="J13" s="2988">
        <v>3.25</v>
      </c>
      <c r="K13" s="2985"/>
      <c r="L13" s="2986" t="s">
        <v>2815</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2816</v>
      </c>
      <c r="Y42" s="2992" t="s">
        <v>2816</v>
      </c>
      <c r="Z42" s="2992" t="s">
        <v>2816</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2816</v>
      </c>
      <c r="Y43" s="2992" t="s">
        <v>2816</v>
      </c>
      <c r="Z43" s="2992" t="s">
        <v>2816</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2816</v>
      </c>
      <c r="Y44" s="2992" t="s">
        <v>2816</v>
      </c>
      <c r="Z44" s="2992" t="s">
        <v>2816</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2816</v>
      </c>
      <c r="Y45" s="2992" t="s">
        <v>2816</v>
      </c>
      <c r="Z45" s="2992" t="s">
        <v>2816</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2816</v>
      </c>
      <c r="Y46" s="2992" t="s">
        <v>2816</v>
      </c>
      <c r="Z46" s="2992" t="s">
        <v>2816</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2816</v>
      </c>
      <c r="Y47" s="2992" t="s">
        <v>2816</v>
      </c>
      <c r="Z47" s="2992" t="s">
        <v>2816</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2816</v>
      </c>
      <c r="Y48" s="2992" t="s">
        <v>2816</v>
      </c>
      <c r="Z48" s="2992" t="s">
        <v>2816</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2816</v>
      </c>
      <c r="Y49" s="2992" t="s">
        <v>2816</v>
      </c>
      <c r="Z49" s="2992" t="s">
        <v>2816</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2816</v>
      </c>
      <c r="Y50" s="2992" t="s">
        <v>2816</v>
      </c>
      <c r="Z50" s="2992" t="s">
        <v>2816</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2816</v>
      </c>
      <c r="V51" s="2992" t="s">
        <v>2816</v>
      </c>
      <c r="W51" s="2992" t="s">
        <v>2816</v>
      </c>
      <c r="X51" s="2992" t="s">
        <v>2816</v>
      </c>
      <c r="Y51" s="2992" t="s">
        <v>2816</v>
      </c>
      <c r="Z51" s="2992" t="s">
        <v>2816</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2816</v>
      </c>
      <c r="J55" s="2992" t="s">
        <v>2816</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809" t="s">
        <v>2041</v>
      </c>
      <c r="B2" s="1809"/>
      <c r="C2" s="1809"/>
      <c r="D2" s="1809"/>
      <c r="E2" s="1809"/>
      <c r="F2" s="1809"/>
      <c r="G2" s="1809"/>
      <c r="H2" s="1809"/>
      <c r="I2" s="1810"/>
      <c r="J2" s="1810"/>
      <c r="K2" s="1811" t="str">
        <f>"估价期日："&amp;TEXT(项目基本情况!D3,"yyyy年m月d日;;")</f>
        <v>估价期日：2018年10月17日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5" t="s">
        <v>2030</v>
      </c>
      <c r="B3" s="3215" t="s">
        <v>2729</v>
      </c>
      <c r="C3" s="3216" t="s">
        <v>2031</v>
      </c>
      <c r="D3" s="3215" t="s">
        <v>2733</v>
      </c>
      <c r="E3" s="3218" t="s">
        <v>2032</v>
      </c>
      <c r="F3" s="3218"/>
      <c r="G3" s="3218"/>
      <c r="H3" s="3218" t="s">
        <v>2033</v>
      </c>
      <c r="I3" s="3218"/>
      <c r="J3" s="3218"/>
      <c r="K3" s="3216" t="s">
        <v>2034</v>
      </c>
      <c r="L3" s="3216" t="s">
        <v>2035</v>
      </c>
      <c r="M3" s="3215" t="s">
        <v>2730</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51" t="s">
        <v>2043</v>
      </c>
      <c r="F4" s="2651" t="s">
        <v>2742</v>
      </c>
      <c r="G4" s="2651" t="s">
        <v>2037</v>
      </c>
      <c r="H4" s="2651" t="s">
        <v>2038</v>
      </c>
      <c r="I4" s="2651" t="s">
        <v>2743</v>
      </c>
      <c r="J4" s="2651" t="s">
        <v>2037</v>
      </c>
      <c r="K4" s="3216"/>
      <c r="L4" s="3216"/>
      <c r="M4" s="3215"/>
      <c r="N4" s="3217"/>
      <c r="O4" s="3215"/>
      <c r="P4" s="3216"/>
      <c r="Q4" s="3216"/>
      <c r="R4" s="3216"/>
    </row>
    <row r="5" spans="1:18" ht="135" customHeight="1">
      <c r="A5" s="1945" t="s">
        <v>2653</v>
      </c>
      <c r="B5" s="2869" t="s">
        <v>2651</v>
      </c>
      <c r="C5" s="2650">
        <v>22</v>
      </c>
      <c r="D5" s="2649" t="s">
        <v>2652</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14000.08</v>
      </c>
      <c r="O5" s="1812">
        <f>项目基本情况!C21</f>
        <v>155944.13</v>
      </c>
      <c r="P5" s="1812">
        <f ca="1">结果表!E42</f>
        <v>275095</v>
      </c>
      <c r="Q5" s="1812">
        <f ca="1">结果表!D42</f>
        <v>24697</v>
      </c>
      <c r="R5" s="1813">
        <f ca="1">结果表!C42</f>
        <v>385135</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4">
        <f ca="1">结果表!O39</f>
        <v>385135</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4"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0" t="s">
        <v>2066</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2067</v>
      </c>
      <c r="B5" s="3219"/>
      <c r="C5" s="3219"/>
      <c r="D5" s="3219"/>
    </row>
    <row r="6" spans="1:4">
      <c r="A6" s="3220" t="s">
        <v>2045</v>
      </c>
      <c r="B6" s="3220"/>
      <c r="C6" s="3220"/>
      <c r="D6" s="3220"/>
    </row>
    <row r="7" spans="1:4" ht="33" customHeight="1">
      <c r="A7" s="3220" t="s">
        <v>2573</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2069</v>
      </c>
      <c r="B12" s="3219"/>
      <c r="C12" s="3219"/>
      <c r="D12" s="3219"/>
    </row>
    <row r="13" spans="1:4">
      <c r="A13" s="3223" t="s">
        <v>2744</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2700</v>
      </c>
      <c r="B17" s="3220"/>
      <c r="C17" s="3220"/>
      <c r="D17" s="3220"/>
    </row>
    <row r="18" spans="1:4">
      <c r="A18" s="3220" t="s">
        <v>2692</v>
      </c>
      <c r="B18" s="3220"/>
      <c r="C18" s="3220"/>
      <c r="D18" s="3220"/>
    </row>
    <row r="19" spans="1:4">
      <c r="A19" s="2870" t="s">
        <v>2693</v>
      </c>
      <c r="B19" s="2870" t="s">
        <v>2694</v>
      </c>
      <c r="C19" s="2870" t="s">
        <v>2695</v>
      </c>
      <c r="D19" s="2870" t="s">
        <v>2696</v>
      </c>
    </row>
    <row r="20" spans="1:4">
      <c r="A20" s="2870" t="str">
        <f>项目基本情况!B4</f>
        <v>土地估价师</v>
      </c>
      <c r="B20" s="2870">
        <f>项目基本情况!C4</f>
        <v>0</v>
      </c>
      <c r="C20" s="2872"/>
      <c r="D20" s="1802" t="s">
        <v>2701</v>
      </c>
    </row>
    <row r="21" spans="1:4">
      <c r="A21" s="2870" t="str">
        <f>项目基本情况!D4</f>
        <v>土地估价师</v>
      </c>
      <c r="B21" s="2870">
        <f>项目基本情况!E4</f>
        <v>0</v>
      </c>
      <c r="C21" s="2872"/>
      <c r="D21" s="1802" t="s">
        <v>2702</v>
      </c>
    </row>
    <row r="23" spans="1:4">
      <c r="A23" s="3220" t="s">
        <v>2697</v>
      </c>
      <c r="B23" s="3220"/>
      <c r="C23" s="3220"/>
      <c r="D23" s="3220"/>
    </row>
    <row r="24" spans="1:4">
      <c r="A24" s="2870" t="s">
        <v>2693</v>
      </c>
      <c r="B24" s="2870" t="s">
        <v>2698</v>
      </c>
      <c r="C24" s="2870" t="s">
        <v>2695</v>
      </c>
      <c r="D24" s="2870" t="s">
        <v>2696</v>
      </c>
    </row>
    <row r="25" spans="1:4">
      <c r="A25" s="2873" t="s">
        <v>2699</v>
      </c>
      <c r="B25" s="2870" t="s">
        <v>951</v>
      </c>
      <c r="C25" s="2872"/>
      <c r="D25" s="1802" t="s">
        <v>2702</v>
      </c>
    </row>
    <row r="29" spans="1:4">
      <c r="D29" s="2871" t="s">
        <v>2040</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1" t="s">
        <v>53</v>
      </c>
      <c r="B15" s="3232" t="s">
        <v>845</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836</v>
      </c>
    </row>
    <row r="25" spans="1:3" ht="14.25">
      <c r="A25" s="3230"/>
      <c r="B25" s="3234"/>
      <c r="C25" s="1176" t="s">
        <v>837</v>
      </c>
    </row>
    <row r="26" spans="1:3" ht="14.25">
      <c r="A26" s="3230"/>
      <c r="B26" s="3234"/>
      <c r="C26" s="1176" t="s">
        <v>838</v>
      </c>
    </row>
    <row r="27" spans="1:3" ht="14.25">
      <c r="A27" s="3230"/>
      <c r="B27" s="3234"/>
      <c r="C27" s="1176" t="s">
        <v>839</v>
      </c>
    </row>
    <row r="28" spans="1:3" ht="14.25">
      <c r="A28" s="3230"/>
      <c r="B28" s="3234"/>
      <c r="C28" s="1176" t="s">
        <v>840</v>
      </c>
    </row>
    <row r="29" spans="1:3" ht="14.25">
      <c r="A29" s="3230"/>
      <c r="B29" s="3234"/>
      <c r="C29" s="1176" t="s">
        <v>841</v>
      </c>
    </row>
    <row r="30" spans="1:3" ht="14.25">
      <c r="A30" s="3230"/>
      <c r="B30" s="3234"/>
      <c r="C30" s="1176" t="s">
        <v>842</v>
      </c>
    </row>
    <row r="31" spans="1:3" ht="14.25">
      <c r="A31" s="3230"/>
      <c r="B31" s="3234"/>
      <c r="C31" s="1176" t="s">
        <v>843</v>
      </c>
    </row>
    <row r="32" spans="1:3" ht="14.25">
      <c r="A32" s="3230"/>
      <c r="B32" s="3234"/>
      <c r="C32" s="1176" t="s">
        <v>1646</v>
      </c>
    </row>
    <row r="33" spans="1:3" ht="14.25">
      <c r="A33" s="3230"/>
      <c r="B33" s="3224" t="s">
        <v>1652</v>
      </c>
      <c r="C33" s="1176" t="s">
        <v>1647</v>
      </c>
    </row>
    <row r="34" spans="1:3" ht="14.25">
      <c r="A34" s="3230"/>
      <c r="B34" s="3225"/>
      <c r="C34" s="1181" t="s">
        <v>1648</v>
      </c>
    </row>
    <row r="35" spans="1:3" ht="14.25">
      <c r="A35" s="3230"/>
      <c r="B35" s="3225"/>
      <c r="C35" s="1182" t="s">
        <v>1649</v>
      </c>
    </row>
    <row r="36" spans="1:3" ht="14.25">
      <c r="A36" s="3230"/>
      <c r="B36" s="3225"/>
      <c r="C36" s="1182" t="s">
        <v>1650</v>
      </c>
    </row>
    <row r="37" spans="1:3" ht="14.25">
      <c r="A37" s="3230"/>
      <c r="B37" s="322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43396</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08">
        <v>43849</v>
      </c>
      <c r="D4" s="2345" t="s">
        <v>1913</v>
      </c>
      <c r="E4" s="2345">
        <f ca="1">IF(F4&lt;B2,"已过期",96010014)</f>
        <v>96010014</v>
      </c>
      <c r="F4" s="3009">
        <v>47118</v>
      </c>
    </row>
    <row r="5" spans="1:6" ht="20.25" customHeight="1">
      <c r="A5" s="2345" t="s">
        <v>1914</v>
      </c>
      <c r="B5" s="2345">
        <f ca="1">IF(C5&lt;B2,"已过期",1119970074)</f>
        <v>1119970074</v>
      </c>
      <c r="C5" s="3008">
        <v>43849</v>
      </c>
      <c r="D5" s="2345" t="s">
        <v>1914</v>
      </c>
      <c r="E5" s="2345">
        <f ca="1">IF(F5&lt;B2,"已过期",2002110027)</f>
        <v>2002110027</v>
      </c>
      <c r="F5" s="3009">
        <v>46752</v>
      </c>
    </row>
    <row r="6" spans="1:6" ht="20.25" customHeight="1">
      <c r="A6" s="2345" t="s">
        <v>1915</v>
      </c>
      <c r="B6" s="2345">
        <f ca="1">IF(C6&lt;B2,"已过期",1119970111)</f>
        <v>1119970111</v>
      </c>
      <c r="C6" s="3008">
        <v>43849</v>
      </c>
      <c r="D6" s="2345" t="s">
        <v>1915</v>
      </c>
      <c r="E6" s="2345">
        <f ca="1">IF(F6&lt;B2,"已过期",94010078)</f>
        <v>94010078</v>
      </c>
      <c r="F6" s="3009">
        <v>46387</v>
      </c>
    </row>
    <row r="7" spans="1:6" ht="20.25" customHeight="1">
      <c r="A7" s="2345" t="s">
        <v>1916</v>
      </c>
      <c r="B7" s="2345">
        <f ca="1">IF(C7&lt;B2,"已过期",1120050019)</f>
        <v>1120050019</v>
      </c>
      <c r="C7" s="3008">
        <v>44395</v>
      </c>
      <c r="D7" s="2345" t="s">
        <v>1916</v>
      </c>
      <c r="E7" s="2345">
        <f ca="1">IF(F7&lt;B2,"已过期",2002110030)</f>
        <v>2002110030</v>
      </c>
      <c r="F7" s="3009">
        <v>46387</v>
      </c>
    </row>
    <row r="8" spans="1:6" ht="20.25" customHeight="1">
      <c r="A8" s="2345" t="s">
        <v>1917</v>
      </c>
      <c r="B8" s="2345">
        <f ca="1">IF(C8&lt;B2,"已过期",1120000080)</f>
        <v>1120000080</v>
      </c>
      <c r="C8" s="3008">
        <v>43849</v>
      </c>
      <c r="D8" s="2345" t="s">
        <v>1917</v>
      </c>
      <c r="E8" s="2345">
        <f ca="1">IF(F8&lt;B2,"已过期",2000110082)</f>
        <v>2000110082</v>
      </c>
      <c r="F8" s="3009">
        <v>46387</v>
      </c>
    </row>
    <row r="9" spans="1:6" ht="20.25" customHeight="1">
      <c r="A9" s="2345" t="s">
        <v>1918</v>
      </c>
      <c r="B9" s="2345">
        <f ca="1">IF(C9&lt;B2,"已过期",1419970001)</f>
        <v>1419970001</v>
      </c>
      <c r="C9" s="3008">
        <v>43867</v>
      </c>
      <c r="D9" s="2345" t="s">
        <v>1918</v>
      </c>
      <c r="E9" s="2345">
        <f ca="1">IF(F9&lt;B2,"已过期",2002110125)</f>
        <v>2002110125</v>
      </c>
      <c r="F9" s="3009">
        <v>47118</v>
      </c>
    </row>
    <row r="10" spans="1:6" ht="20.25" customHeight="1">
      <c r="A10" s="2345" t="s">
        <v>1919</v>
      </c>
      <c r="B10" s="2345">
        <f ca="1">IF(C10&lt;B2,"已过期",1120060040)</f>
        <v>1120060040</v>
      </c>
      <c r="C10" s="3008">
        <v>43483</v>
      </c>
      <c r="D10" s="2345" t="s">
        <v>1919</v>
      </c>
      <c r="E10" s="2345">
        <f ca="1">IF(F10&lt;B2,"已过期",2004110096)</f>
        <v>2004110096</v>
      </c>
      <c r="F10" s="3009">
        <v>47118</v>
      </c>
    </row>
    <row r="11" spans="1:6" ht="20.25" customHeight="1">
      <c r="A11" s="2345" t="s">
        <v>1920</v>
      </c>
      <c r="B11" s="2345">
        <f ca="1">IF(C11&lt;B2,"已过期",1120100036)</f>
        <v>1120100036</v>
      </c>
      <c r="C11" s="3008">
        <v>43622</v>
      </c>
      <c r="D11" s="2345" t="s">
        <v>1920</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1921</v>
      </c>
      <c r="B13" s="2345">
        <f ca="1">IF(C13&lt;B2,"已过期",1120070131)</f>
        <v>1120070131</v>
      </c>
      <c r="C13" s="3008">
        <v>43814</v>
      </c>
      <c r="D13" s="2345" t="s">
        <v>1921</v>
      </c>
      <c r="E13" s="2345">
        <v>2014110011</v>
      </c>
      <c r="F13" s="3009">
        <v>49302</v>
      </c>
    </row>
    <row r="14" spans="1:6" ht="20.25" customHeight="1">
      <c r="A14" s="2345" t="s">
        <v>1922</v>
      </c>
      <c r="B14" s="2345">
        <f ca="1">IF(C14&lt;B2,"已过期",1120130020)</f>
        <v>1120130020</v>
      </c>
      <c r="C14" s="3008">
        <v>43622</v>
      </c>
      <c r="D14" s="2345"/>
      <c r="E14" s="2345"/>
      <c r="F14" s="2345"/>
    </row>
    <row r="15" spans="1:6" ht="20.25" customHeight="1">
      <c r="A15" s="2345" t="s">
        <v>2572</v>
      </c>
      <c r="B15" s="2345">
        <v>1120070085</v>
      </c>
      <c r="C15" s="3008">
        <v>43814</v>
      </c>
      <c r="D15" s="2345" t="s">
        <v>2572</v>
      </c>
      <c r="E15" s="2345">
        <v>2004110128</v>
      </c>
      <c r="F15" s="3009">
        <v>47118</v>
      </c>
    </row>
    <row r="16" spans="1:6" ht="20.25" customHeight="1">
      <c r="A16" s="2345" t="s">
        <v>1923</v>
      </c>
      <c r="B16" s="2345">
        <f ca="1">IF(C16&lt;B2,"已过期",1120140022)</f>
        <v>1120140022</v>
      </c>
      <c r="C16" s="3008">
        <v>44029</v>
      </c>
      <c r="D16" s="2345" t="s">
        <v>1923</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1924</v>
      </c>
      <c r="E21" s="2345">
        <f ca="1">IF(F21&lt;B2,"已过期",2011110090)</f>
        <v>2011110090</v>
      </c>
      <c r="F21" s="3009">
        <v>48302</v>
      </c>
    </row>
    <row r="22" spans="1:7" ht="20.25" customHeight="1">
      <c r="A22" s="2345" t="s">
        <v>1925</v>
      </c>
      <c r="B22" s="2345">
        <f ca="1">IF(C22&lt;B2,"已过期",1120020033)</f>
        <v>1120020033</v>
      </c>
      <c r="C22" s="3008">
        <v>44339</v>
      </c>
      <c r="D22" s="2345" t="s">
        <v>1925</v>
      </c>
      <c r="E22" s="2345">
        <f ca="1">IF(F22&lt;B2,"已过期",2000110137)</f>
        <v>2000110137</v>
      </c>
      <c r="F22" s="3009">
        <v>46387</v>
      </c>
    </row>
    <row r="23" spans="1:7" ht="20.25" customHeight="1">
      <c r="A23" s="2345" t="s">
        <v>1926</v>
      </c>
      <c r="B23" s="2345">
        <f ca="1">IF(C23&lt;B2,"已过期",1120130048)</f>
        <v>1120130048</v>
      </c>
      <c r="C23" s="3008">
        <v>43686</v>
      </c>
      <c r="D23" s="2345"/>
      <c r="E23" s="2345"/>
      <c r="F23" s="2345"/>
    </row>
    <row r="24" spans="1:7" s="2349" customFormat="1" ht="20.25" customHeight="1">
      <c r="A24" s="2347" t="s">
        <v>2054</v>
      </c>
      <c r="B24" s="2347" t="s">
        <v>2054</v>
      </c>
      <c r="C24" s="3008"/>
      <c r="D24" s="3010" t="s">
        <v>2054</v>
      </c>
      <c r="E24" s="2347" t="s">
        <v>2054</v>
      </c>
      <c r="F24" s="2348"/>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9" sqref="Z2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2543</v>
      </c>
      <c r="R1" s="2584" t="s">
        <v>2537</v>
      </c>
      <c r="S1" s="6" t="s">
        <v>145</v>
      </c>
      <c r="T1" s="7" t="s">
        <v>146</v>
      </c>
      <c r="U1" s="6" t="s">
        <v>147</v>
      </c>
      <c r="V1" s="6" t="s">
        <v>148</v>
      </c>
      <c r="W1" s="1004" t="s">
        <v>873</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2"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2"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4"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2" t="s">
        <v>1713</v>
      </c>
      <c r="F7" s="9" t="s">
        <v>153</v>
      </c>
      <c r="H7" s="9" t="s">
        <v>104</v>
      </c>
      <c r="I7" s="9" t="s">
        <v>105</v>
      </c>
    </row>
    <row r="8" spans="1:23">
      <c r="A8" s="8" t="s">
        <v>106</v>
      </c>
      <c r="B8" s="1149" t="s">
        <v>3240</v>
      </c>
      <c r="C8" s="1552" t="s">
        <v>1714</v>
      </c>
      <c r="F8" s="9" t="s">
        <v>154</v>
      </c>
      <c r="H8" s="9"/>
      <c r="I8" s="9" t="s">
        <v>107</v>
      </c>
    </row>
    <row r="9" spans="1:23">
      <c r="A9" s="8" t="s">
        <v>108</v>
      </c>
      <c r="B9" s="8" t="s">
        <v>155</v>
      </c>
      <c r="C9" s="1552" t="s">
        <v>1715</v>
      </c>
      <c r="F9" s="9" t="s">
        <v>109</v>
      </c>
      <c r="H9" s="9"/>
    </row>
    <row r="10" spans="1:23">
      <c r="A10" s="8" t="s">
        <v>110</v>
      </c>
      <c r="B10" s="8" t="s">
        <v>156</v>
      </c>
      <c r="C10" s="1552" t="s">
        <v>1716</v>
      </c>
      <c r="F10" s="9" t="s">
        <v>6</v>
      </c>
    </row>
    <row r="11" spans="1:23">
      <c r="A11" s="8" t="s">
        <v>111</v>
      </c>
      <c r="B11" s="8" t="s">
        <v>157</v>
      </c>
      <c r="C11" s="1552" t="s">
        <v>1717</v>
      </c>
    </row>
    <row r="12" spans="1:23">
      <c r="A12" s="8" t="s">
        <v>112</v>
      </c>
      <c r="B12" s="8" t="s">
        <v>158</v>
      </c>
      <c r="C12" s="1552" t="s">
        <v>1718</v>
      </c>
    </row>
    <row r="13" spans="1:23">
      <c r="A13" s="8" t="s">
        <v>113</v>
      </c>
      <c r="B13" s="8" t="s">
        <v>159</v>
      </c>
      <c r="C13" s="1552" t="s">
        <v>1719</v>
      </c>
    </row>
    <row r="14" spans="1:23">
      <c r="A14" s="8" t="s">
        <v>114</v>
      </c>
      <c r="B14" s="8" t="s">
        <v>160</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13" t="s">
        <v>2953</v>
      </c>
      <c r="C18" s="1555"/>
    </row>
    <row r="19" spans="1:3">
      <c r="A19" s="8" t="s">
        <v>119</v>
      </c>
      <c r="B19" s="3113" t="s">
        <v>3238</v>
      </c>
      <c r="C19" s="1555"/>
    </row>
    <row r="20" spans="1:3">
      <c r="A20" s="8" t="s">
        <v>120</v>
      </c>
      <c r="B20" s="3113" t="s">
        <v>3242</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37"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c r="D53" s="1769"/>
      <c r="E53" s="1769"/>
    </row>
    <row r="54" spans="1:5">
      <c r="A54" s="3237"/>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7"/>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7"/>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7"/>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不动产收益法会所</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2018-10-23T08:26:16Z</dcterms:modified>
</cp:coreProperties>
</file>