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询价-顺义-研发-吴薇-兴业\"/>
    </mc:Choice>
  </mc:AlternateContent>
  <bookViews>
    <workbookView xWindow="14025" yWindow="150" windowWidth="14580" windowHeight="1230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 sheetId="15" r:id="rId23"/>
    <sheet name="案例"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E38" i="6" l="1"/>
  <c r="G38" i="6"/>
  <c r="F38" i="6"/>
  <c r="B14" i="74" l="1"/>
  <c r="E18" i="43"/>
  <c r="E19" i="43"/>
  <c r="G19" i="43"/>
  <c r="U21" i="1"/>
  <c r="W21" i="1"/>
  <c r="W20" i="1"/>
  <c r="W19" i="1"/>
  <c r="V20" i="1"/>
  <c r="V19" i="1"/>
  <c r="G44" i="43"/>
  <c r="D42" i="43"/>
  <c r="D33" i="43"/>
  <c r="B59" i="1"/>
  <c r="B35" i="1"/>
  <c r="B21" i="1"/>
  <c r="G19" i="6"/>
  <c r="F19" i="6"/>
  <c r="K14" i="3"/>
  <c r="I14" i="3"/>
  <c r="K13" i="3"/>
  <c r="F13" i="4"/>
  <c r="I13" i="3"/>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D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41" i="79" l="1"/>
  <c r="AD32" i="79"/>
  <c r="AA28" i="79"/>
  <c r="AD28" i="79" s="1"/>
  <c r="S42" i="79"/>
  <c r="U44"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F93" i="43" l="1"/>
  <c r="H99" i="43" s="1"/>
  <c r="C18" i="78"/>
  <c r="C15" i="78"/>
  <c r="G23" i="78"/>
  <c r="G24" i="78"/>
  <c r="G25" i="78"/>
  <c r="B15" i="78"/>
  <c r="B18" i="78"/>
  <c r="G19" i="73"/>
  <c r="F19" i="73"/>
  <c r="E19" i="73"/>
  <c r="H97" i="43" l="1"/>
  <c r="H101" i="43"/>
  <c r="H93" i="43"/>
  <c r="H98" i="43"/>
  <c r="H94" i="43"/>
  <c r="H95" i="43"/>
  <c r="H96" i="43"/>
  <c r="H100"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AA3" i="71" s="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F67" i="71" s="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s="1"/>
  <c r="B60" i="71" s="1"/>
  <c r="S60" i="71" s="1"/>
  <c r="D57" i="71"/>
  <c r="Q56" i="71"/>
  <c r="P56" i="71"/>
  <c r="O56" i="71"/>
  <c r="N56" i="71"/>
  <c r="Q55" i="71"/>
  <c r="P55" i="71"/>
  <c r="O55" i="71"/>
  <c r="N55" i="71"/>
  <c r="B56" i="71" s="1"/>
  <c r="S56" i="71" s="1"/>
  <c r="Q54" i="71"/>
  <c r="P54" i="71"/>
  <c r="O54" i="71"/>
  <c r="N54" i="71"/>
  <c r="Q53" i="71"/>
  <c r="F54" i="71" s="1"/>
  <c r="P53" i="71"/>
  <c r="E54" i="71"/>
  <c r="O53" i="71"/>
  <c r="C54" i="71" s="1"/>
  <c r="N53" i="71"/>
  <c r="B54" i="71" s="1"/>
  <c r="B55"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B47"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c r="D41" i="71"/>
  <c r="Q40" i="71"/>
  <c r="P40" i="71"/>
  <c r="O40" i="71"/>
  <c r="N40" i="71"/>
  <c r="Q39" i="71"/>
  <c r="AB39" i="71" s="1"/>
  <c r="P39" i="71"/>
  <c r="AA38" i="71" s="1"/>
  <c r="O39" i="71"/>
  <c r="N39" i="71"/>
  <c r="X39" i="71" s="1"/>
  <c r="Q38" i="71"/>
  <c r="AB38" i="71" s="1"/>
  <c r="P38" i="71"/>
  <c r="O38" i="71"/>
  <c r="Y38" i="71" s="1"/>
  <c r="Z38" i="71" s="1"/>
  <c r="N38" i="71"/>
  <c r="X38" i="71" s="1"/>
  <c r="Q37" i="71"/>
  <c r="P37" i="71"/>
  <c r="O37" i="71"/>
  <c r="Y35" i="71" s="1"/>
  <c r="Z35" i="71" s="1"/>
  <c r="N37" i="71"/>
  <c r="B38" i="71" s="1"/>
  <c r="B39" i="71" s="1"/>
  <c r="B40" i="71" s="1"/>
  <c r="S40" i="71" s="1"/>
  <c r="D37" i="71"/>
  <c r="Q36" i="71"/>
  <c r="P36" i="71"/>
  <c r="O36" i="71"/>
  <c r="N36" i="71"/>
  <c r="Q35" i="71"/>
  <c r="AB35" i="71" s="1"/>
  <c r="P35" i="71"/>
  <c r="AA35" i="71" s="1"/>
  <c r="O35" i="71"/>
  <c r="N35" i="71"/>
  <c r="Q34" i="71"/>
  <c r="P34" i="71"/>
  <c r="O34" i="71"/>
  <c r="N34" i="71"/>
  <c r="Q33" i="71"/>
  <c r="F34" i="71" s="1"/>
  <c r="F35" i="71" s="1"/>
  <c r="F36" i="71" s="1"/>
  <c r="V36" i="71" s="1"/>
  <c r="P33" i="71"/>
  <c r="O33" i="71"/>
  <c r="N33" i="71"/>
  <c r="B34" i="71" s="1"/>
  <c r="B35" i="71" s="1"/>
  <c r="B36" i="71" s="1"/>
  <c r="S36" i="71" s="1"/>
  <c r="D33" i="71"/>
  <c r="Q32" i="71"/>
  <c r="AB28" i="71" s="1"/>
  <c r="P32" i="71"/>
  <c r="O32" i="71"/>
  <c r="N32" i="71"/>
  <c r="Q31" i="71"/>
  <c r="P31" i="71"/>
  <c r="O31" i="71"/>
  <c r="N31" i="71"/>
  <c r="X28" i="71" s="1"/>
  <c r="Q30" i="71"/>
  <c r="P30" i="71"/>
  <c r="O30" i="71"/>
  <c r="Y30" i="71" s="1"/>
  <c r="Z30" i="71" s="1"/>
  <c r="N30" i="71"/>
  <c r="Q29" i="71"/>
  <c r="F30" i="71" s="1"/>
  <c r="F31" i="71" s="1"/>
  <c r="F32" i="71" s="1"/>
  <c r="V32" i="71" s="1"/>
  <c r="P29" i="71"/>
  <c r="O29" i="71"/>
  <c r="C30" i="71" s="1"/>
  <c r="N29" i="71"/>
  <c r="B30" i="71" s="1"/>
  <c r="B31" i="71" s="1"/>
  <c r="B32" i="71" s="1"/>
  <c r="S32" i="71" s="1"/>
  <c r="D29" i="71"/>
  <c r="O28" i="71"/>
  <c r="C28" i="71" s="1"/>
  <c r="N28" i="71"/>
  <c r="E30" i="71"/>
  <c r="E31" i="71"/>
  <c r="E32" i="71" s="1"/>
  <c r="U32" i="71" s="1"/>
  <c r="AA37" i="71"/>
  <c r="N68" i="71"/>
  <c r="E34" i="71"/>
  <c r="C34" i="71"/>
  <c r="D34" i="71" s="1"/>
  <c r="C38" i="71"/>
  <c r="D38" i="71" s="1"/>
  <c r="Y37" i="71"/>
  <c r="Z37" i="71" s="1"/>
  <c r="F51" i="71"/>
  <c r="F52" i="71" s="1"/>
  <c r="V52" i="71" s="1"/>
  <c r="Y28" i="71"/>
  <c r="Z28" i="71" s="1"/>
  <c r="B28" i="71"/>
  <c r="B27" i="71" s="1"/>
  <c r="B26" i="71"/>
  <c r="C39" i="71"/>
  <c r="C40" i="71" s="1"/>
  <c r="D50" i="71"/>
  <c r="P28" i="71"/>
  <c r="E28" i="71" s="1"/>
  <c r="E55" i="71"/>
  <c r="E56" i="71" s="1"/>
  <c r="U56" i="71" s="1"/>
  <c r="E67" i="71"/>
  <c r="E66" i="71" s="1"/>
  <c r="Q28" i="71"/>
  <c r="D58" i="71"/>
  <c r="T68" i="71"/>
  <c r="O68" i="71"/>
  <c r="D68" i="71"/>
  <c r="C67" i="71"/>
  <c r="D67" i="71" s="1"/>
  <c r="Q68" i="71"/>
  <c r="C71" i="71"/>
  <c r="C70" i="71" s="1"/>
  <c r="D70" i="71" s="1"/>
  <c r="E71" i="71"/>
  <c r="E70" i="71"/>
  <c r="D72" i="71"/>
  <c r="C75" i="71"/>
  <c r="D76" i="71"/>
  <c r="C79" i="71"/>
  <c r="D79" i="71" s="1"/>
  <c r="D80" i="71"/>
  <c r="C87" i="71"/>
  <c r="C86" i="71" s="1"/>
  <c r="D86" i="71" s="1"/>
  <c r="S28" i="71"/>
  <c r="F28" i="71"/>
  <c r="AA27" i="71"/>
  <c r="D75" i="71"/>
  <c r="C74" i="71"/>
  <c r="D74" i="71" s="1"/>
  <c r="D87" i="71"/>
  <c r="C78" i="71"/>
  <c r="D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S21" i="33" s="1"/>
  <c r="H1" i="69"/>
  <c r="AC25" i="40"/>
  <c r="W25" i="40"/>
  <c r="W18" i="36"/>
  <c r="U21" i="37"/>
  <c r="U21" i="34"/>
  <c r="AB21" i="33"/>
  <c r="AA21" i="33"/>
  <c r="J21" i="37"/>
  <c r="W21" i="37" s="1"/>
  <c r="J21" i="34"/>
  <c r="W21" i="34" s="1"/>
  <c r="J21" i="33"/>
  <c r="W21" i="33" s="1"/>
  <c r="H21" i="21"/>
  <c r="U21" i="21" s="1"/>
  <c r="F38" i="69"/>
  <c r="E37" i="69"/>
  <c r="F36" i="69"/>
  <c r="F35" i="69"/>
  <c r="F21" i="69"/>
  <c r="F40" i="69" s="1"/>
  <c r="F20" i="69"/>
  <c r="F39" i="69" s="1"/>
  <c r="E10" i="69"/>
  <c r="E9" i="69"/>
  <c r="J21" i="21"/>
  <c r="W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A55" i="3" s="1"/>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A207" i="3" s="1"/>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A189" i="3" s="1"/>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A188" i="3" s="1"/>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L122" i="3" s="1"/>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A225" i="3" s="1"/>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A220" i="3" s="1"/>
  <c r="BF220" i="3"/>
  <c r="BE220" i="3"/>
  <c r="BD220" i="3"/>
  <c r="BC220" i="3"/>
  <c r="BB220" i="3"/>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L216" i="3" s="1"/>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A385" i="3" s="1"/>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L443" i="3" s="1"/>
  <c r="BP443" i="3"/>
  <c r="BO443" i="3"/>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A406" i="3" s="1"/>
  <c r="AZ406" i="3" s="1"/>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A402" i="3" s="1"/>
  <c r="AZ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L14" i="3" s="1"/>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A552" i="3" s="1"/>
  <c r="BJ552" i="3"/>
  <c r="BK552" i="3"/>
  <c r="BM552" i="3"/>
  <c r="BN552" i="3"/>
  <c r="BO552" i="3"/>
  <c r="BP552" i="3"/>
  <c r="BQ552" i="3"/>
  <c r="BR552" i="3"/>
  <c r="BL552"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A555" i="3" s="1"/>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K5" i="3" s="1"/>
  <c r="BM566" i="3"/>
  <c r="BN566" i="3"/>
  <c r="BO566" i="3"/>
  <c r="BP566" i="3"/>
  <c r="BQ566" i="3"/>
  <c r="BR566" i="3"/>
  <c r="BS566" i="3"/>
  <c r="BT566" i="3"/>
  <c r="H567" i="3"/>
  <c r="AC567" i="3"/>
  <c r="BB567" i="3"/>
  <c r="BC567" i="3"/>
  <c r="BD567" i="3"/>
  <c r="BE567" i="3"/>
  <c r="BF567" i="3"/>
  <c r="BG567" i="3"/>
  <c r="BG5" i="3" s="1"/>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H5" i="3" s="1"/>
  <c r="BI569" i="3"/>
  <c r="BJ569" i="3"/>
  <c r="BK569" i="3"/>
  <c r="BM569" i="3"/>
  <c r="BN569" i="3"/>
  <c r="BO569" i="3"/>
  <c r="BP569" i="3"/>
  <c r="BR569" i="3"/>
  <c r="BR5" i="3" s="1"/>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P37" i="36"/>
  <c r="P36" i="36"/>
  <c r="V35" i="36"/>
  <c r="T35" i="36"/>
  <c r="R35" i="36"/>
  <c r="P35" i="36"/>
  <c r="Q34" i="36"/>
  <c r="Z34" i="36" s="1"/>
  <c r="Q33" i="36"/>
  <c r="Z33" i="36"/>
  <c r="Q32" i="36"/>
  <c r="Z32" i="36"/>
  <c r="Q31" i="36"/>
  <c r="Z31" i="36" s="1"/>
  <c r="Q30" i="36"/>
  <c r="Z30" i="36" s="1"/>
  <c r="AC30" i="36"/>
  <c r="Q29" i="36"/>
  <c r="Z29" i="36" s="1"/>
  <c r="Q28" i="36"/>
  <c r="Z28" i="36"/>
  <c r="J28" i="36"/>
  <c r="AC28" i="36" s="1"/>
  <c r="Q27" i="36"/>
  <c r="Z27" i="36"/>
  <c r="Q26" i="36"/>
  <c r="Z26" i="36" s="1"/>
  <c r="H26" i="36"/>
  <c r="AB26" i="36"/>
  <c r="Q25" i="36"/>
  <c r="Z25" i="36" s="1"/>
  <c r="Q24" i="36"/>
  <c r="Z24" i="36"/>
  <c r="Q23" i="36"/>
  <c r="Z23" i="36" s="1"/>
  <c r="Q22" i="36"/>
  <c r="Z22" i="36" s="1"/>
  <c r="J22" i="36"/>
  <c r="AC22" i="36" s="1"/>
  <c r="Q20" i="36"/>
  <c r="Z20" i="36"/>
  <c r="Q16" i="36"/>
  <c r="Z16" i="36"/>
  <c r="Q14" i="36"/>
  <c r="Z14" i="36" s="1"/>
  <c r="Q13" i="36"/>
  <c r="Z13" i="36" s="1"/>
  <c r="Q12" i="36"/>
  <c r="Z12" i="36"/>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F35" i="35" s="1"/>
  <c r="B97" i="35"/>
  <c r="H34" i="35" s="1"/>
  <c r="U34" i="35" s="1"/>
  <c r="B77" i="35"/>
  <c r="B75" i="35"/>
  <c r="J24" i="35" s="1"/>
  <c r="AC24" i="35" s="1"/>
  <c r="B73" i="35"/>
  <c r="J23" i="35" s="1"/>
  <c r="AC23" i="35" s="1"/>
  <c r="H23" i="35"/>
  <c r="U23" i="35" s="1"/>
  <c r="B57" i="35"/>
  <c r="B61" i="35"/>
  <c r="B59" i="35"/>
  <c r="B131" i="34"/>
  <c r="B129" i="34"/>
  <c r="J46" i="34" s="1"/>
  <c r="B127" i="34"/>
  <c r="B99" i="34"/>
  <c r="B97" i="34"/>
  <c r="H31" i="34" s="1"/>
  <c r="B95" i="34"/>
  <c r="B93" i="34"/>
  <c r="B75" i="34"/>
  <c r="B73" i="34"/>
  <c r="B71" i="34"/>
  <c r="B130" i="33"/>
  <c r="B128" i="33"/>
  <c r="B126" i="33"/>
  <c r="F44" i="33" s="1"/>
  <c r="B98" i="33"/>
  <c r="B96" i="33"/>
  <c r="B94" i="33"/>
  <c r="J29" i="33" s="1"/>
  <c r="B74" i="33"/>
  <c r="B72" i="33"/>
  <c r="F13" i="33" s="1"/>
  <c r="AA13" i="33" s="1"/>
  <c r="B70" i="33"/>
  <c r="J12" i="33"/>
  <c r="D96" i="35"/>
  <c r="E96" i="35" s="1"/>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AB34" i="35"/>
  <c r="Q33" i="35"/>
  <c r="Z33" i="35" s="1"/>
  <c r="Q32" i="35"/>
  <c r="Z32" i="35" s="1"/>
  <c r="H32" i="35"/>
  <c r="AB32" i="35" s="1"/>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s="1"/>
  <c r="Q40" i="34"/>
  <c r="Z40" i="34"/>
  <c r="Q39" i="34"/>
  <c r="Z39" i="34"/>
  <c r="H39" i="34"/>
  <c r="AB39" i="34"/>
  <c r="Q38" i="34"/>
  <c r="Z38" i="34" s="1"/>
  <c r="Q37" i="34"/>
  <c r="Z37" i="34"/>
  <c r="Q36" i="34"/>
  <c r="Z36" i="34"/>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H8" i="34"/>
  <c r="U8" i="34" s="1"/>
  <c r="F8" i="34"/>
  <c r="S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c r="Q39" i="33"/>
  <c r="Z39" i="33" s="1"/>
  <c r="J39" i="33"/>
  <c r="AC39" i="33"/>
  <c r="Q38" i="33"/>
  <c r="Z38" i="33"/>
  <c r="J38" i="33"/>
  <c r="AC38" i="33" s="1"/>
  <c r="H38" i="33"/>
  <c r="AB38" i="33" s="1"/>
  <c r="F38" i="33"/>
  <c r="AA38" i="33"/>
  <c r="Q37" i="33"/>
  <c r="Z37" i="33"/>
  <c r="Q36" i="33"/>
  <c r="Z36" i="33" s="1"/>
  <c r="Q35" i="33"/>
  <c r="Z35" i="33" s="1"/>
  <c r="H35" i="33"/>
  <c r="AB35" i="33"/>
  <c r="Q34" i="33"/>
  <c r="Z34" i="33"/>
  <c r="Q33" i="33"/>
  <c r="Z33" i="33" s="1"/>
  <c r="J33" i="33"/>
  <c r="H33" i="33"/>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c r="D77" i="21"/>
  <c r="E77" i="21" s="1"/>
  <c r="B130" i="21"/>
  <c r="B128" i="21"/>
  <c r="J45" i="21" s="1"/>
  <c r="W45" i="21" s="1"/>
  <c r="B126" i="21"/>
  <c r="B98" i="21"/>
  <c r="H31" i="21"/>
  <c r="B96" i="21"/>
  <c r="F30" i="21" s="1"/>
  <c r="S30" i="21" s="1"/>
  <c r="B94" i="21"/>
  <c r="J29" i="21" s="1"/>
  <c r="AC29" i="21" s="1"/>
  <c r="B92" i="21"/>
  <c r="B90" i="21"/>
  <c r="B74" i="21"/>
  <c r="B72" i="21"/>
  <c r="H13" i="21"/>
  <c r="B70" i="21"/>
  <c r="F12" i="21" s="1"/>
  <c r="C19" i="21"/>
  <c r="C17" i="21"/>
  <c r="C23" i="21"/>
  <c r="Q9" i="21"/>
  <c r="Z9" i="21"/>
  <c r="Q10" i="21"/>
  <c r="Z10" i="21"/>
  <c r="Q11" i="21"/>
  <c r="Z11" i="21" s="1"/>
  <c r="Q12" i="21"/>
  <c r="Z12" i="21" s="1"/>
  <c r="Q13" i="21"/>
  <c r="Z13" i="21"/>
  <c r="Q14" i="21"/>
  <c r="Z14" i="2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c r="Q33" i="21"/>
  <c r="Z33" i="21" s="1"/>
  <c r="Q34" i="21"/>
  <c r="Z34" i="21" s="1"/>
  <c r="J35" i="21"/>
  <c r="W35" i="21"/>
  <c r="Q35" i="21"/>
  <c r="Z35" i="2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A586" i="3" s="1"/>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c r="F43" i="21"/>
  <c r="S43" i="21" s="1"/>
  <c r="H38" i="21"/>
  <c r="AB38" i="21" s="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W19" i="21" s="1"/>
  <c r="J26" i="21"/>
  <c r="W26" i="21"/>
  <c r="F26" i="21"/>
  <c r="S26" i="21"/>
  <c r="AB41" i="21"/>
  <c r="S41" i="21"/>
  <c r="AA41" i="21"/>
  <c r="J45" i="39"/>
  <c r="W45" i="39" s="1"/>
  <c r="J44" i="39"/>
  <c r="AC44" i="39"/>
  <c r="J35" i="39"/>
  <c r="AC35" i="39" s="1"/>
  <c r="F35" i="39"/>
  <c r="AA35" i="39"/>
  <c r="U9" i="39"/>
  <c r="W40" i="39"/>
  <c r="U30" i="37"/>
  <c r="W31" i="37"/>
  <c r="E103" i="37"/>
  <c r="F103" i="37"/>
  <c r="G103" i="37" s="1"/>
  <c r="H103" i="37" s="1"/>
  <c r="I103" i="37" s="1"/>
  <c r="J103" i="37" s="1"/>
  <c r="K103" i="37" s="1"/>
  <c r="L103" i="37" s="1"/>
  <c r="M103" i="37" s="1"/>
  <c r="F39" i="37"/>
  <c r="S39" i="37" s="1"/>
  <c r="F29" i="36"/>
  <c r="AA29" i="36" s="1"/>
  <c r="F16" i="36"/>
  <c r="AA16" i="36" s="1"/>
  <c r="W28" i="36"/>
  <c r="U31" i="36"/>
  <c r="H22" i="35"/>
  <c r="AB22" i="35"/>
  <c r="W28" i="35"/>
  <c r="U31" i="35"/>
  <c r="W22" i="35"/>
  <c r="S31" i="35"/>
  <c r="F36" i="34"/>
  <c r="J35" i="34"/>
  <c r="H39" i="33"/>
  <c r="AB39" i="33"/>
  <c r="F26" i="33"/>
  <c r="AA26" i="33"/>
  <c r="U35" i="33"/>
  <c r="W39" i="33"/>
  <c r="H39" i="37"/>
  <c r="S27" i="35"/>
  <c r="F11" i="40"/>
  <c r="AA11" i="40"/>
  <c r="H11" i="40"/>
  <c r="AB11" i="40"/>
  <c r="W8" i="40"/>
  <c r="AB39" i="40"/>
  <c r="AA9" i="40"/>
  <c r="U9" i="40"/>
  <c r="U38" i="40"/>
  <c r="S38"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s="1"/>
  <c r="H42" i="39"/>
  <c r="AB42" i="39" s="1"/>
  <c r="J34" i="39"/>
  <c r="AC34" i="39" s="1"/>
  <c r="J31" i="39"/>
  <c r="H27" i="39"/>
  <c r="U27" i="39" s="1"/>
  <c r="J19" i="39"/>
  <c r="AC19" i="39" s="1"/>
  <c r="J17" i="39"/>
  <c r="J27" i="39"/>
  <c r="AC27" i="39" s="1"/>
  <c r="F27" i="39"/>
  <c r="F11" i="21"/>
  <c r="S11" i="21" s="1"/>
  <c r="U34" i="21"/>
  <c r="C25" i="39"/>
  <c r="H11" i="39"/>
  <c r="S40" i="39"/>
  <c r="H32" i="33"/>
  <c r="AB32" i="33"/>
  <c r="H11" i="21"/>
  <c r="U11" i="21" s="1"/>
  <c r="J11" i="21"/>
  <c r="W11" i="21" s="1"/>
  <c r="H37" i="40"/>
  <c r="U37" i="40" s="1"/>
  <c r="H36" i="40"/>
  <c r="AB36" i="40" s="1"/>
  <c r="F35" i="40"/>
  <c r="AA35" i="40"/>
  <c r="H23" i="40"/>
  <c r="AB23" i="40" s="1"/>
  <c r="H17" i="40"/>
  <c r="U17" i="40"/>
  <c r="J15" i="40"/>
  <c r="W15" i="40" s="1"/>
  <c r="J11" i="40"/>
  <c r="W11" i="40"/>
  <c r="AB12" i="36"/>
  <c r="W32" i="40"/>
  <c r="S44" i="39"/>
  <c r="J34" i="36"/>
  <c r="W34" i="36" s="1"/>
  <c r="U30" i="36"/>
  <c r="J30" i="35"/>
  <c r="W30" i="35" s="1"/>
  <c r="H30" i="35"/>
  <c r="AB30" i="35" s="1"/>
  <c r="F22" i="35"/>
  <c r="AA22" i="35"/>
  <c r="H10" i="35"/>
  <c r="U10" i="35" s="1"/>
  <c r="W30"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c r="F16" i="35"/>
  <c r="S16" i="35" s="1"/>
  <c r="H14" i="35"/>
  <c r="AB14" i="35" s="1"/>
  <c r="J29" i="35"/>
  <c r="H33" i="35"/>
  <c r="J20" i="35"/>
  <c r="W20" i="35"/>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H23" i="34"/>
  <c r="U23" i="34" s="1"/>
  <c r="J23" i="34"/>
  <c r="F19" i="34"/>
  <c r="H17" i="34"/>
  <c r="U17" i="34"/>
  <c r="F15" i="34"/>
  <c r="AA15" i="34" s="1"/>
  <c r="J15" i="34"/>
  <c r="H15" i="34"/>
  <c r="J28" i="34"/>
  <c r="F41" i="33"/>
  <c r="AA41" i="33"/>
  <c r="S38" i="33"/>
  <c r="E113" i="33"/>
  <c r="F32" i="33"/>
  <c r="AA32" i="33" s="1"/>
  <c r="J19" i="33"/>
  <c r="AC19" i="33" s="1"/>
  <c r="J15" i="33"/>
  <c r="AC15" i="33" s="1"/>
  <c r="F11" i="33"/>
  <c r="AA11" i="33" s="1"/>
  <c r="S26" i="33"/>
  <c r="U40" i="33"/>
  <c r="W40" i="33"/>
  <c r="F37" i="40"/>
  <c r="AA37" i="40" s="1"/>
  <c r="F36" i="40"/>
  <c r="AA36" i="40"/>
  <c r="H28" i="40"/>
  <c r="U28" i="40"/>
  <c r="F23" i="40"/>
  <c r="AA23" i="40" s="1"/>
  <c r="F17" i="40"/>
  <c r="AA17" i="40" s="1"/>
  <c r="J17" i="40"/>
  <c r="W17" i="40"/>
  <c r="F15" i="40"/>
  <c r="S15" i="40" s="1"/>
  <c r="H15" i="40"/>
  <c r="AB15" i="40"/>
  <c r="AC11" i="40"/>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c r="F23" i="34"/>
  <c r="AA23" i="34" s="1"/>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J37" i="34"/>
  <c r="AC37" i="34" s="1"/>
  <c r="J11" i="33"/>
  <c r="W11" i="33" s="1"/>
  <c r="S28" i="34"/>
  <c r="I123" i="21"/>
  <c r="J123" i="21" s="1"/>
  <c r="K123" i="21" s="1"/>
  <c r="L123" i="21" s="1"/>
  <c r="M123" i="21" s="1"/>
  <c r="J42" i="21"/>
  <c r="AC42" i="21"/>
  <c r="H42" i="21"/>
  <c r="U42" i="21"/>
  <c r="J44" i="34"/>
  <c r="AC44" i="34" s="1"/>
  <c r="F44" i="34"/>
  <c r="AA44" i="34" s="1"/>
  <c r="J10" i="35"/>
  <c r="AC10" i="35" s="1"/>
  <c r="F14" i="21"/>
  <c r="S14" i="21" s="1"/>
  <c r="H28" i="21"/>
  <c r="AB28" i="21" s="1"/>
  <c r="F28" i="21"/>
  <c r="AA28" i="21" s="1"/>
  <c r="J28" i="21"/>
  <c r="W28" i="21" s="1"/>
  <c r="H30" i="21"/>
  <c r="U30" i="21"/>
  <c r="J30" i="21"/>
  <c r="AC30" i="21"/>
  <c r="J44" i="21"/>
  <c r="AC44" i="21" s="1"/>
  <c r="H44" i="21"/>
  <c r="U44" i="21" s="1"/>
  <c r="F44" i="21"/>
  <c r="AA44" i="21" s="1"/>
  <c r="E119" i="21"/>
  <c r="F119" i="21" s="1"/>
  <c r="G119" i="21" s="1"/>
  <c r="H119" i="21" s="1"/>
  <c r="I119" i="21" s="1"/>
  <c r="J119" i="21" s="1"/>
  <c r="K119" i="21" s="1"/>
  <c r="L119" i="21" s="1"/>
  <c r="M119" i="21" s="1"/>
  <c r="H26" i="33"/>
  <c r="U26" i="33"/>
  <c r="H28" i="33"/>
  <c r="U28" i="33" s="1"/>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s="1"/>
  <c r="F45" i="21"/>
  <c r="AA45" i="21" s="1"/>
  <c r="F27" i="33"/>
  <c r="AA27" i="33" s="1"/>
  <c r="J13" i="33"/>
  <c r="H13" i="33"/>
  <c r="U13" i="33" s="1"/>
  <c r="S13" i="33"/>
  <c r="J31" i="33"/>
  <c r="W31" i="33" s="1"/>
  <c r="H31" i="33"/>
  <c r="F31" i="33"/>
  <c r="H45" i="33"/>
  <c r="U45" i="33" s="1"/>
  <c r="J45" i="33"/>
  <c r="W45" i="33" s="1"/>
  <c r="F45" i="33"/>
  <c r="AA45" i="33"/>
  <c r="H30" i="34"/>
  <c r="F30" i="34"/>
  <c r="S30" i="34" s="1"/>
  <c r="J30" i="34"/>
  <c r="H32" i="34"/>
  <c r="F32" i="34"/>
  <c r="J32" i="34"/>
  <c r="W32" i="34" s="1"/>
  <c r="F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F29" i="37"/>
  <c r="S29" i="37"/>
  <c r="H36" i="37"/>
  <c r="AB36" i="37" s="1"/>
  <c r="F107" i="37"/>
  <c r="G107" i="37" s="1"/>
  <c r="H107" i="37" s="1"/>
  <c r="I107" i="37" s="1"/>
  <c r="J107" i="37" s="1"/>
  <c r="K107" i="37" s="1"/>
  <c r="L107" i="37" s="1"/>
  <c r="M107" i="37" s="1"/>
  <c r="J37" i="37"/>
  <c r="AC37" i="37" s="1"/>
  <c r="H37" i="37"/>
  <c r="U37" i="37" s="1"/>
  <c r="F40" i="37"/>
  <c r="AA40" i="37" s="1"/>
  <c r="AC12" i="40"/>
  <c r="W12" i="40"/>
  <c r="H14" i="33"/>
  <c r="U14" i="33" s="1"/>
  <c r="F14" i="33"/>
  <c r="S14" i="33"/>
  <c r="J14" i="33"/>
  <c r="H30" i="33"/>
  <c r="F30" i="33"/>
  <c r="J30" i="33"/>
  <c r="H44" i="33"/>
  <c r="J44" i="33"/>
  <c r="AC44" i="33"/>
  <c r="J46" i="33"/>
  <c r="AC46" i="33"/>
  <c r="F46" i="33"/>
  <c r="AA46" i="33" s="1"/>
  <c r="H46" i="33"/>
  <c r="AB46" i="33"/>
  <c r="H13" i="34"/>
  <c r="U13" i="34" s="1"/>
  <c r="J13" i="34"/>
  <c r="W13" i="34" s="1"/>
  <c r="F13" i="34"/>
  <c r="AA13" i="34" s="1"/>
  <c r="J29" i="34"/>
  <c r="F29" i="34"/>
  <c r="S29" i="34" s="1"/>
  <c r="H29" i="34"/>
  <c r="AB29" i="34" s="1"/>
  <c r="J31" i="34"/>
  <c r="W31" i="34" s="1"/>
  <c r="F31" i="34"/>
  <c r="S31" i="34"/>
  <c r="H45" i="34"/>
  <c r="U45" i="34" s="1"/>
  <c r="J45" i="34"/>
  <c r="W45" i="34" s="1"/>
  <c r="F45" i="34"/>
  <c r="S45" i="34" s="1"/>
  <c r="H47" i="34"/>
  <c r="U47" i="34" s="1"/>
  <c r="F47" i="34"/>
  <c r="S47" i="34" s="1"/>
  <c r="J47" i="34"/>
  <c r="AC47" i="34"/>
  <c r="F13" i="35"/>
  <c r="J13" i="35"/>
  <c r="H13" i="35"/>
  <c r="U13" i="35" s="1"/>
  <c r="J25" i="35"/>
  <c r="W25" i="35"/>
  <c r="F25" i="35"/>
  <c r="S25" i="35" s="1"/>
  <c r="H25" i="35"/>
  <c r="AB25" i="35" s="1"/>
  <c r="J25" i="36"/>
  <c r="W25" i="36"/>
  <c r="F25" i="36"/>
  <c r="S25" i="36" s="1"/>
  <c r="H25" i="36"/>
  <c r="AB25" i="36" s="1"/>
  <c r="H13" i="37"/>
  <c r="AB13" i="37" s="1"/>
  <c r="F13" i="37"/>
  <c r="S13" i="37" s="1"/>
  <c r="J13" i="37"/>
  <c r="W13" i="37" s="1"/>
  <c r="F28" i="37"/>
  <c r="AA28" i="37" s="1"/>
  <c r="J28" i="37"/>
  <c r="AC28" i="37"/>
  <c r="H28" i="37"/>
  <c r="F38" i="37"/>
  <c r="S38" i="37" s="1"/>
  <c r="F43" i="39"/>
  <c r="AA43" i="39" s="1"/>
  <c r="H43" i="39"/>
  <c r="J14" i="39"/>
  <c r="AC14" i="39" s="1"/>
  <c r="F14" i="39"/>
  <c r="F12" i="40"/>
  <c r="AA12" i="40" s="1"/>
  <c r="H12" i="40"/>
  <c r="AB12" i="40"/>
  <c r="H30" i="40"/>
  <c r="AB30" i="40" s="1"/>
  <c r="F33" i="40"/>
  <c r="AA33" i="40" s="1"/>
  <c r="H33" i="40"/>
  <c r="U33" i="40"/>
  <c r="J35" i="40"/>
  <c r="AC35" i="40" s="1"/>
  <c r="J37" i="40"/>
  <c r="AC37" i="40" s="1"/>
  <c r="H13" i="40"/>
  <c r="U13" i="40" s="1"/>
  <c r="J13" i="40"/>
  <c r="W13" i="40" s="1"/>
  <c r="F13" i="40"/>
  <c r="F14" i="37"/>
  <c r="S14" i="37"/>
  <c r="F27" i="37"/>
  <c r="AA27" i="37" s="1"/>
  <c r="F13" i="39"/>
  <c r="J13" i="39"/>
  <c r="W13" i="39" s="1"/>
  <c r="H13" i="39"/>
  <c r="H14" i="40"/>
  <c r="J14" i="40"/>
  <c r="W14" i="40" s="1"/>
  <c r="F14" i="40"/>
  <c r="AA14" i="40" s="1"/>
  <c r="J14" i="37"/>
  <c r="U46" i="33"/>
  <c r="AA14" i="33"/>
  <c r="J36" i="37"/>
  <c r="AC36" i="37" s="1"/>
  <c r="J10" i="36"/>
  <c r="AC10" i="36" s="1"/>
  <c r="AB26" i="33"/>
  <c r="AB30" i="21"/>
  <c r="AA14" i="37"/>
  <c r="S45" i="33"/>
  <c r="AC28" i="21"/>
  <c r="S44" i="34"/>
  <c r="F17" i="21"/>
  <c r="AA17" i="21" s="1"/>
  <c r="H17" i="21"/>
  <c r="AB17" i="21" s="1"/>
  <c r="F15" i="21"/>
  <c r="S15" i="21" s="1"/>
  <c r="J41" i="39"/>
  <c r="W41" i="39" s="1"/>
  <c r="W44" i="39"/>
  <c r="S35" i="39"/>
  <c r="G544" i="3"/>
  <c r="G540" i="3"/>
  <c r="G535" i="3"/>
  <c r="G532" i="3"/>
  <c r="G531" i="3"/>
  <c r="G528" i="3"/>
  <c r="G527" i="3"/>
  <c r="G523" i="3"/>
  <c r="G518" i="3"/>
  <c r="G514" i="3"/>
  <c r="G510" i="3"/>
  <c r="G508" i="3"/>
  <c r="G504" i="3"/>
  <c r="G500" i="3"/>
  <c r="G496" i="3"/>
  <c r="G584" i="3"/>
  <c r="G576" i="3"/>
  <c r="G572" i="3"/>
  <c r="G564" i="3"/>
  <c r="G560" i="3"/>
  <c r="G554" i="3"/>
  <c r="G550" i="3"/>
  <c r="BL576" i="3"/>
  <c r="BL572" i="3"/>
  <c r="BL564" i="3"/>
  <c r="BL560" i="3"/>
  <c r="BL554" i="3"/>
  <c r="BL546" i="3"/>
  <c r="BL538" i="3"/>
  <c r="BL534" i="3"/>
  <c r="AZ534" i="3" s="1"/>
  <c r="BL530" i="3"/>
  <c r="BL526" i="3"/>
  <c r="BL522" i="3"/>
  <c r="BL516" i="3"/>
  <c r="BL512" i="3"/>
  <c r="BL502" i="3"/>
  <c r="AZ502" i="3" s="1"/>
  <c r="BL498" i="3"/>
  <c r="BL494" i="3"/>
  <c r="BL582" i="3"/>
  <c r="BL574" i="3"/>
  <c r="BL570" i="3"/>
  <c r="BL562" i="3"/>
  <c r="BL556" i="3"/>
  <c r="BL544" i="3"/>
  <c r="AZ544" i="3" s="1"/>
  <c r="BL540" i="3"/>
  <c r="BL536" i="3"/>
  <c r="G533" i="3"/>
  <c r="G529" i="3"/>
  <c r="BL528" i="3"/>
  <c r="G525" i="3"/>
  <c r="BL524" i="3"/>
  <c r="BL518" i="3"/>
  <c r="BL514" i="3"/>
  <c r="BL510" i="3"/>
  <c r="BL500" i="3"/>
  <c r="BL496" i="3"/>
  <c r="G493" i="3"/>
  <c r="BA584" i="3"/>
  <c r="BA580" i="3"/>
  <c r="BA578" i="3"/>
  <c r="BA572" i="3"/>
  <c r="AZ572" i="3" s="1"/>
  <c r="BA570" i="3"/>
  <c r="AZ570" i="3" s="1"/>
  <c r="BA562" i="3"/>
  <c r="BA558" i="3"/>
  <c r="AZ558" i="3" s="1"/>
  <c r="BA556" i="3"/>
  <c r="AZ556" i="3" s="1"/>
  <c r="BA554" i="3"/>
  <c r="AZ554" i="3" s="1"/>
  <c r="BA548" i="3"/>
  <c r="BA546" i="3"/>
  <c r="AZ546" i="3" s="1"/>
  <c r="BA544" i="3"/>
  <c r="BA542" i="3"/>
  <c r="BA540" i="3"/>
  <c r="BA536" i="3"/>
  <c r="AZ536" i="3"/>
  <c r="BA534" i="3"/>
  <c r="BA532" i="3"/>
  <c r="BA528" i="3"/>
  <c r="AZ528" i="3" s="1"/>
  <c r="BA526" i="3"/>
  <c r="BA524" i="3"/>
  <c r="AZ524" i="3" s="1"/>
  <c r="BA522" i="3"/>
  <c r="BA520" i="3"/>
  <c r="BA518" i="3"/>
  <c r="BA516" i="3"/>
  <c r="AZ516" i="3" s="1"/>
  <c r="BA512" i="3"/>
  <c r="AZ512" i="3" s="1"/>
  <c r="BA510" i="3"/>
  <c r="AZ510" i="3"/>
  <c r="BA508" i="3"/>
  <c r="AZ508" i="3" s="1"/>
  <c r="BA506" i="3"/>
  <c r="BA504" i="3"/>
  <c r="BA502" i="3"/>
  <c r="BA500" i="3"/>
  <c r="BA498" i="3"/>
  <c r="AZ498" i="3" s="1"/>
  <c r="BA496" i="3"/>
  <c r="AZ496" i="3" s="1"/>
  <c r="BA494" i="3"/>
  <c r="BA583" i="3"/>
  <c r="BA581" i="3"/>
  <c r="BA579" i="3"/>
  <c r="AZ579" i="3" s="1"/>
  <c r="BA577" i="3"/>
  <c r="BA573" i="3"/>
  <c r="BA571" i="3"/>
  <c r="BA565" i="3"/>
  <c r="AZ565" i="3" s="1"/>
  <c r="BA563" i="3"/>
  <c r="BA561" i="3"/>
  <c r="BA559" i="3"/>
  <c r="BA553" i="3"/>
  <c r="BA547" i="3"/>
  <c r="BA545" i="3"/>
  <c r="BA543" i="3"/>
  <c r="BA541" i="3"/>
  <c r="BA539" i="3"/>
  <c r="BA537" i="3"/>
  <c r="BA535" i="3"/>
  <c r="BA531" i="3"/>
  <c r="BA529" i="3"/>
  <c r="BA527" i="3"/>
  <c r="BA525" i="3"/>
  <c r="BA523" i="3"/>
  <c r="BA519" i="3"/>
  <c r="BA517" i="3"/>
  <c r="BA513" i="3"/>
  <c r="BA511" i="3"/>
  <c r="BA507" i="3"/>
  <c r="BA505" i="3"/>
  <c r="BA503" i="3"/>
  <c r="BA501" i="3"/>
  <c r="AZ501" i="3" s="1"/>
  <c r="BA499" i="3"/>
  <c r="BA495" i="3"/>
  <c r="BA493" i="3"/>
  <c r="G583" i="3"/>
  <c r="G579" i="3"/>
  <c r="G577" i="3"/>
  <c r="G573" i="3"/>
  <c r="G571" i="3"/>
  <c r="G567" i="3"/>
  <c r="G565" i="3"/>
  <c r="G563" i="3"/>
  <c r="G561" i="3"/>
  <c r="BA557" i="3"/>
  <c r="AC557" i="3"/>
  <c r="G557" i="3" s="1"/>
  <c r="BQ557" i="3"/>
  <c r="BL557" i="3" s="1"/>
  <c r="BQ583" i="3"/>
  <c r="BQ581" i="3"/>
  <c r="BL581" i="3" s="1"/>
  <c r="BQ579" i="3"/>
  <c r="BQ577" i="3"/>
  <c r="BL577" i="3" s="1"/>
  <c r="AZ577" i="3" s="1"/>
  <c r="BQ575" i="3"/>
  <c r="BL575" i="3" s="1"/>
  <c r="BQ573" i="3"/>
  <c r="BL573" i="3" s="1"/>
  <c r="AZ573" i="3" s="1"/>
  <c r="BQ571" i="3"/>
  <c r="BL571" i="3"/>
  <c r="BQ569" i="3"/>
  <c r="BQ567" i="3"/>
  <c r="BQ565" i="3"/>
  <c r="BL565" i="3" s="1"/>
  <c r="BQ563" i="3"/>
  <c r="BL563" i="3" s="1"/>
  <c r="AZ563" i="3" s="1"/>
  <c r="BQ561" i="3"/>
  <c r="BL561" i="3"/>
  <c r="AZ561" i="3" s="1"/>
  <c r="BQ559" i="3"/>
  <c r="G559" i="3"/>
  <c r="G555" i="3"/>
  <c r="G553" i="3"/>
  <c r="G549" i="3"/>
  <c r="G547" i="3"/>
  <c r="G545" i="3"/>
  <c r="G541" i="3"/>
  <c r="G539" i="3"/>
  <c r="G537" i="3"/>
  <c r="BQ555" i="3"/>
  <c r="BL555" i="3" s="1"/>
  <c r="BQ553" i="3"/>
  <c r="BQ551" i="3"/>
  <c r="BL551" i="3"/>
  <c r="BQ549" i="3"/>
  <c r="BQ547" i="3"/>
  <c r="BL547" i="3" s="1"/>
  <c r="AZ547" i="3" s="1"/>
  <c r="BQ545" i="3"/>
  <c r="BL545" i="3" s="1"/>
  <c r="BQ543" i="3"/>
  <c r="BL543" i="3" s="1"/>
  <c r="AZ543" i="3"/>
  <c r="BQ541" i="3"/>
  <c r="BL541" i="3"/>
  <c r="BQ539" i="3"/>
  <c r="BL539" i="3" s="1"/>
  <c r="BQ537" i="3"/>
  <c r="BL537" i="3"/>
  <c r="BQ535" i="3"/>
  <c r="BL535" i="3" s="1"/>
  <c r="AZ535" i="3" s="1"/>
  <c r="BQ533" i="3"/>
  <c r="BL533" i="3"/>
  <c r="BQ531" i="3"/>
  <c r="BQ529" i="3"/>
  <c r="BL529" i="3"/>
  <c r="BQ527" i="3"/>
  <c r="BL527" i="3" s="1"/>
  <c r="AZ527" i="3"/>
  <c r="BQ525" i="3"/>
  <c r="BL525" i="3" s="1"/>
  <c r="AZ525" i="3" s="1"/>
  <c r="BQ523" i="3"/>
  <c r="BL523" i="3" s="1"/>
  <c r="AC521" i="3"/>
  <c r="G521" i="3" s="1"/>
  <c r="BQ521" i="3"/>
  <c r="BL521" i="3" s="1"/>
  <c r="BL520" i="3"/>
  <c r="AZ520" i="3" s="1"/>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AZ503" i="3"/>
  <c r="BQ501" i="3"/>
  <c r="BL501" i="3" s="1"/>
  <c r="BQ499" i="3"/>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U32" i="33"/>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c r="F36" i="37"/>
  <c r="AA36" i="37" s="1"/>
  <c r="F37" i="37"/>
  <c r="AA37" i="37" s="1"/>
  <c r="F31" i="40"/>
  <c r="AA31" i="40" s="1"/>
  <c r="H31" i="40"/>
  <c r="F32" i="40"/>
  <c r="S32" i="40"/>
  <c r="H32" i="40"/>
  <c r="AB32" i="40" s="1"/>
  <c r="J36" i="40"/>
  <c r="W36" i="40" s="1"/>
  <c r="H19" i="37"/>
  <c r="AB19" i="37" s="1"/>
  <c r="H42" i="33"/>
  <c r="AB42" i="33" s="1"/>
  <c r="J43" i="33"/>
  <c r="AC43" i="33"/>
  <c r="S28" i="31"/>
  <c r="S27" i="31"/>
  <c r="S26" i="31"/>
  <c r="W23" i="35"/>
  <c r="U26" i="37"/>
  <c r="W47" i="34"/>
  <c r="AC31" i="33"/>
  <c r="AC45" i="33"/>
  <c r="W44" i="33"/>
  <c r="U11" i="33"/>
  <c r="U19" i="21"/>
  <c r="W44" i="21"/>
  <c r="F43" i="33"/>
  <c r="W15" i="34"/>
  <c r="AC15" i="34"/>
  <c r="H37" i="21"/>
  <c r="U37" i="21" s="1"/>
  <c r="S42" i="21"/>
  <c r="H19" i="34"/>
  <c r="AB19" i="34" s="1"/>
  <c r="F36" i="35"/>
  <c r="J9" i="37"/>
  <c r="W9" i="37" s="1"/>
  <c r="H9" i="37"/>
  <c r="U9" i="37" s="1"/>
  <c r="F9" i="37"/>
  <c r="S9" i="37" s="1"/>
  <c r="E71" i="37"/>
  <c r="F71" i="37" s="1"/>
  <c r="G71" i="37" s="1"/>
  <c r="F15" i="37"/>
  <c r="AA15" i="37"/>
  <c r="E94" i="37"/>
  <c r="F94" i="37" s="1"/>
  <c r="G94" i="37" s="1"/>
  <c r="H94" i="37" s="1"/>
  <c r="I94" i="37" s="1"/>
  <c r="J94" i="37" s="1"/>
  <c r="K94" i="37" s="1"/>
  <c r="L94" i="37" s="1"/>
  <c r="M94" i="37" s="1"/>
  <c r="F31" i="37"/>
  <c r="S31" i="37" s="1"/>
  <c r="J42" i="39"/>
  <c r="AC42" i="39" s="1"/>
  <c r="H21" i="40"/>
  <c r="AB21" i="40" s="1"/>
  <c r="H31" i="37"/>
  <c r="U31" i="37" s="1"/>
  <c r="J15" i="37"/>
  <c r="W15" i="37"/>
  <c r="AT6" i="3"/>
  <c r="H19" i="40"/>
  <c r="U19" i="40" s="1"/>
  <c r="F88" i="40"/>
  <c r="G88" i="40" s="1"/>
  <c r="F19" i="40"/>
  <c r="S19" i="40" s="1"/>
  <c r="S14" i="40"/>
  <c r="AC13" i="40"/>
  <c r="AB33" i="40"/>
  <c r="W23" i="39"/>
  <c r="AC43" i="39"/>
  <c r="W43" i="39"/>
  <c r="AB44" i="39"/>
  <c r="U44" i="39"/>
  <c r="H37" i="39"/>
  <c r="AB37" i="39" s="1"/>
  <c r="H25" i="39"/>
  <c r="AB25" i="39" s="1"/>
  <c r="J25" i="39"/>
  <c r="W25" i="39" s="1"/>
  <c r="F25" i="39"/>
  <c r="AA25" i="39" s="1"/>
  <c r="F15" i="39"/>
  <c r="AA15" i="39" s="1"/>
  <c r="H15" i="39"/>
  <c r="U15" i="39" s="1"/>
  <c r="J15" i="39"/>
  <c r="W15" i="39" s="1"/>
  <c r="H41" i="39"/>
  <c r="AB41" i="39" s="1"/>
  <c r="W27" i="39"/>
  <c r="AB34" i="39"/>
  <c r="U40" i="39"/>
  <c r="AA41" i="39"/>
  <c r="W9" i="39"/>
  <c r="W8" i="39"/>
  <c r="J19" i="40"/>
  <c r="AC19" i="40" s="1"/>
  <c r="J50" i="40"/>
  <c r="H103" i="9"/>
  <c r="B16" i="53"/>
  <c r="B33" i="72" s="1"/>
  <c r="C7" i="37"/>
  <c r="C52" i="37" s="1"/>
  <c r="D52" i="37" s="1"/>
  <c r="C7" i="36"/>
  <c r="C46" i="36" s="1"/>
  <c r="D46" i="36" s="1"/>
  <c r="E46" i="36" s="1"/>
  <c r="F46" i="36" s="1"/>
  <c r="G46" i="36" s="1"/>
  <c r="H46" i="36" s="1"/>
  <c r="I46" i="36" s="1"/>
  <c r="W35" i="40"/>
  <c r="J11" i="39"/>
  <c r="W11" i="39" s="1"/>
  <c r="F11" i="39"/>
  <c r="S11" i="39" s="1"/>
  <c r="AA11" i="39"/>
  <c r="G4" i="4"/>
  <c r="I4" i="4"/>
  <c r="F61" i="43"/>
  <c r="H64" i="43" s="1"/>
  <c r="BL549" i="3"/>
  <c r="AZ494" i="3"/>
  <c r="AZ522"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G157" i="3"/>
  <c r="BA159" i="3"/>
  <c r="AZ159" i="3"/>
  <c r="BL160" i="3"/>
  <c r="G161" i="3"/>
  <c r="BA163" i="3"/>
  <c r="AZ163" i="3" s="1"/>
  <c r="BL164" i="3"/>
  <c r="G165" i="3"/>
  <c r="BA167" i="3"/>
  <c r="AZ167" i="3"/>
  <c r="BL168" i="3"/>
  <c r="AZ168" i="3" s="1"/>
  <c r="G169" i="3"/>
  <c r="BA171" i="3"/>
  <c r="BL172" i="3"/>
  <c r="G173" i="3"/>
  <c r="BA175" i="3"/>
  <c r="BL176" i="3"/>
  <c r="G177" i="3"/>
  <c r="BA179" i="3"/>
  <c r="BL180" i="3"/>
  <c r="AZ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BA356" i="3"/>
  <c r="BL356" i="3"/>
  <c r="G357" i="3"/>
  <c r="G360" i="3"/>
  <c r="BL361" i="3"/>
  <c r="AZ361" i="3" s="1"/>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94" i="3"/>
  <c r="AZ500" i="3"/>
  <c r="BA16" i="3"/>
  <c r="AZ16" i="3" s="1"/>
  <c r="BL303" i="3"/>
  <c r="G304" i="3"/>
  <c r="BA306" i="3"/>
  <c r="BL307" i="3"/>
  <c r="G308" i="3"/>
  <c r="BA310" i="3"/>
  <c r="AZ310" i="3" s="1"/>
  <c r="BL311" i="3"/>
  <c r="AZ311" i="3" s="1"/>
  <c r="G312" i="3"/>
  <c r="BA314" i="3"/>
  <c r="BL315" i="3"/>
  <c r="G316" i="3"/>
  <c r="BA318" i="3"/>
  <c r="AZ318" i="3" s="1"/>
  <c r="BL319" i="3"/>
  <c r="G320" i="3"/>
  <c r="BA322" i="3"/>
  <c r="AZ322" i="3" s="1"/>
  <c r="BL323" i="3"/>
  <c r="G324" i="3"/>
  <c r="BA326" i="3"/>
  <c r="AZ326" i="3"/>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c r="BL370" i="3"/>
  <c r="G371" i="3"/>
  <c r="BA373" i="3"/>
  <c r="AZ373" i="3"/>
  <c r="BL374" i="3"/>
  <c r="G375" i="3"/>
  <c r="BA377" i="3"/>
  <c r="AZ377" i="3"/>
  <c r="AZ237" i="3"/>
  <c r="AZ245" i="3"/>
  <c r="AZ257" i="3"/>
  <c r="AZ265" i="3"/>
  <c r="BA379" i="3"/>
  <c r="BL380" i="3"/>
  <c r="AZ380" i="3" s="1"/>
  <c r="G381" i="3"/>
  <c r="BA383" i="3"/>
  <c r="AZ383" i="3" s="1"/>
  <c r="BL384" i="3"/>
  <c r="G385" i="3"/>
  <c r="BA387" i="3"/>
  <c r="BL388" i="3"/>
  <c r="G389" i="3"/>
  <c r="BA391" i="3"/>
  <c r="AZ391" i="3" s="1"/>
  <c r="BL392" i="3"/>
  <c r="G393" i="3"/>
  <c r="AZ283" i="3"/>
  <c r="AZ291" i="3"/>
  <c r="BO5" i="3"/>
  <c r="BM5" i="3"/>
  <c r="AC5" i="3"/>
  <c r="G548" i="3"/>
  <c r="G538" i="3"/>
  <c r="G520" i="3"/>
  <c r="G502" i="3"/>
  <c r="BN5" i="3"/>
  <c r="BI5" i="3"/>
  <c r="BE5" i="3"/>
  <c r="G17" i="3"/>
  <c r="BA17" i="3"/>
  <c r="BT5" i="3"/>
  <c r="AZ356" i="3"/>
  <c r="BA15" i="3"/>
  <c r="AZ392" i="3"/>
  <c r="G509" i="3"/>
  <c r="BL493" i="3"/>
  <c r="AZ493" i="3" s="1"/>
  <c r="U36" i="40"/>
  <c r="F83" i="43"/>
  <c r="H85" i="43" s="1"/>
  <c r="F50" i="43"/>
  <c r="H54" i="43" s="1"/>
  <c r="F72" i="43"/>
  <c r="H75" i="43" s="1"/>
  <c r="U17" i="39"/>
  <c r="S14" i="35"/>
  <c r="U43" i="21"/>
  <c r="U35" i="21"/>
  <c r="AC35" i="21"/>
  <c r="G8" i="1"/>
  <c r="G10" i="1"/>
  <c r="AC11" i="39"/>
  <c r="W37" i="37"/>
  <c r="W44" i="34"/>
  <c r="S15" i="37"/>
  <c r="U13" i="37"/>
  <c r="U12" i="40"/>
  <c r="J37" i="33"/>
  <c r="AC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G96" i="37" s="1"/>
  <c r="H96" i="37" s="1"/>
  <c r="I96" i="37" s="1"/>
  <c r="J96" i="37" s="1"/>
  <c r="K96" i="37" s="1"/>
  <c r="L96" i="37" s="1"/>
  <c r="M96" i="37" s="1"/>
  <c r="H27" i="40"/>
  <c r="U27" i="40"/>
  <c r="J27" i="40"/>
  <c r="AC27" i="40"/>
  <c r="F27" i="40"/>
  <c r="AA27" i="40" s="1"/>
  <c r="J30" i="40"/>
  <c r="AC30" i="40"/>
  <c r="F30" i="40"/>
  <c r="AA30" i="40"/>
  <c r="AC21" i="40"/>
  <c r="S31" i="39"/>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AC38" i="39"/>
  <c r="F39" i="39"/>
  <c r="S39" i="39" s="1"/>
  <c r="J39" i="39"/>
  <c r="AC39" i="39" s="1"/>
  <c r="E96" i="39"/>
  <c r="F96" i="39" s="1"/>
  <c r="G96" i="39" s="1"/>
  <c r="C40" i="11"/>
  <c r="AZ240" i="3"/>
  <c r="AZ280" i="3"/>
  <c r="AZ133" i="3"/>
  <c r="F23" i="39"/>
  <c r="AA23" i="39" s="1"/>
  <c r="H27" i="36"/>
  <c r="U27" i="36" s="1"/>
  <c r="F27" i="36"/>
  <c r="AA27" i="36" s="1"/>
  <c r="H33" i="34"/>
  <c r="U33" i="34" s="1"/>
  <c r="F32" i="37"/>
  <c r="F20" i="36"/>
  <c r="J33" i="34"/>
  <c r="AC33" i="34" s="1"/>
  <c r="H23" i="39"/>
  <c r="U23" i="39" s="1"/>
  <c r="D48" i="9"/>
  <c r="M52" i="9" s="1"/>
  <c r="K9" i="1"/>
  <c r="M9" i="1" s="1"/>
  <c r="D93" i="9"/>
  <c r="AC26" i="33"/>
  <c r="W26" i="33"/>
  <c r="W27" i="34"/>
  <c r="AC27" i="34"/>
  <c r="AB34" i="36"/>
  <c r="U34" i="36"/>
  <c r="AC39" i="40"/>
  <c r="W39" i="40"/>
  <c r="W12" i="33"/>
  <c r="AC12" i="33"/>
  <c r="AA32" i="36"/>
  <c r="S32" i="36"/>
  <c r="AC13" i="34"/>
  <c r="AA47" i="34"/>
  <c r="W28" i="37"/>
  <c r="S19" i="39"/>
  <c r="F12" i="33"/>
  <c r="S12" i="33" s="1"/>
  <c r="H12" i="39"/>
  <c r="U12" i="39" s="1"/>
  <c r="F39" i="40"/>
  <c r="B12" i="1"/>
  <c r="E12" i="1" s="1"/>
  <c r="B10" i="1"/>
  <c r="E10" i="1" s="1"/>
  <c r="K12" i="1"/>
  <c r="M12" i="1" s="1"/>
  <c r="S13" i="1"/>
  <c r="AR13" i="1" s="1"/>
  <c r="R13" i="1"/>
  <c r="J51" i="67"/>
  <c r="C42" i="1"/>
  <c r="AC34" i="33"/>
  <c r="B41" i="1"/>
  <c r="F28" i="67" s="1"/>
  <c r="AB37" i="40"/>
  <c r="S35" i="40"/>
  <c r="U35" i="40"/>
  <c r="AC36" i="40"/>
  <c r="W38" i="40"/>
  <c r="AA32" i="40"/>
  <c r="S17" i="40"/>
  <c r="S23" i="40"/>
  <c r="AC17" i="40"/>
  <c r="AC15" i="40"/>
  <c r="AB27" i="40"/>
  <c r="S30" i="40"/>
  <c r="AA19" i="40"/>
  <c r="S28" i="40"/>
  <c r="U21" i="40"/>
  <c r="AB19" i="40"/>
  <c r="U37" i="39"/>
  <c r="F32" i="39"/>
  <c r="S32" i="39" s="1"/>
  <c r="F106" i="39"/>
  <c r="G106" i="39" s="1"/>
  <c r="H106" i="39" s="1"/>
  <c r="I106" i="39" s="1"/>
  <c r="J106" i="39" s="1"/>
  <c r="K106" i="39" s="1"/>
  <c r="L106" i="39" s="1"/>
  <c r="M106" i="39" s="1"/>
  <c r="U25" i="39"/>
  <c r="AB27" i="39"/>
  <c r="U31" i="39"/>
  <c r="J21" i="39"/>
  <c r="W21" i="39" s="1"/>
  <c r="F21" i="39"/>
  <c r="S21" i="39" s="1"/>
  <c r="G94" i="39"/>
  <c r="H21" i="39"/>
  <c r="W19" i="39"/>
  <c r="U19" i="39"/>
  <c r="S17" i="39"/>
  <c r="S15" i="39"/>
  <c r="S9" i="39"/>
  <c r="U14" i="39"/>
  <c r="AC13" i="39"/>
  <c r="U13" i="36"/>
  <c r="U26" i="36"/>
  <c r="AA26" i="36"/>
  <c r="AA34" i="36"/>
  <c r="AC26" i="36"/>
  <c r="AA22" i="36"/>
  <c r="W14" i="36"/>
  <c r="AB14" i="36"/>
  <c r="U22" i="36"/>
  <c r="S16" i="36"/>
  <c r="AA25" i="36"/>
  <c r="S24" i="36"/>
  <c r="AB20" i="36"/>
  <c r="U16" i="36"/>
  <c r="S14" i="36"/>
  <c r="AA25" i="35"/>
  <c r="S23" i="35"/>
  <c r="W24" i="35"/>
  <c r="AB13" i="35"/>
  <c r="U28" i="35"/>
  <c r="AB27" i="35"/>
  <c r="U36" i="35"/>
  <c r="U32" i="35"/>
  <c r="AA33" i="35"/>
  <c r="AC30" i="35"/>
  <c r="S32" i="35"/>
  <c r="S28" i="35"/>
  <c r="AB16" i="35"/>
  <c r="U22" i="35"/>
  <c r="AC20" i="35"/>
  <c r="S22" i="35"/>
  <c r="U14" i="35"/>
  <c r="AA11" i="35"/>
  <c r="AC9" i="35"/>
  <c r="W9" i="35"/>
  <c r="F9" i="35"/>
  <c r="S9" i="35" s="1"/>
  <c r="H9" i="35"/>
  <c r="U9" i="35" s="1"/>
  <c r="S25" i="37"/>
  <c r="U29" i="37"/>
  <c r="AB31" i="37"/>
  <c r="W30" i="37"/>
  <c r="S36" i="37"/>
  <c r="AA38" i="37"/>
  <c r="U32" i="37"/>
  <c r="AC35" i="37"/>
  <c r="W39" i="37"/>
  <c r="S30" i="37"/>
  <c r="S37" i="37"/>
  <c r="AC15" i="37"/>
  <c r="J17" i="37"/>
  <c r="W17" i="37"/>
  <c r="G73" i="37"/>
  <c r="F17" i="37"/>
  <c r="AA17" i="37" s="1"/>
  <c r="AB17" i="37"/>
  <c r="F75" i="37"/>
  <c r="G75" i="37" s="1"/>
  <c r="F19" i="37"/>
  <c r="S19" i="37" s="1"/>
  <c r="F79" i="37"/>
  <c r="G79" i="37" s="1"/>
  <c r="F23" i="37"/>
  <c r="S23" i="37" s="1"/>
  <c r="U15" i="37"/>
  <c r="AC13" i="37"/>
  <c r="H10" i="37"/>
  <c r="AB10" i="37" s="1"/>
  <c r="F63" i="37"/>
  <c r="F11" i="37"/>
  <c r="S11" i="37" s="1"/>
  <c r="W25" i="34"/>
  <c r="AB8" i="34"/>
  <c r="AA33" i="34"/>
  <c r="U43" i="34"/>
  <c r="W41" i="34"/>
  <c r="AC42" i="34"/>
  <c r="AB35" i="34"/>
  <c r="U39" i="34"/>
  <c r="S43" i="34"/>
  <c r="AB41" i="34"/>
  <c r="AA45" i="34"/>
  <c r="U28" i="34"/>
  <c r="S17" i="34"/>
  <c r="U27" i="34"/>
  <c r="S23" i="34"/>
  <c r="S13" i="34"/>
  <c r="H10" i="34"/>
  <c r="AB10" i="34" s="1"/>
  <c r="F11" i="34"/>
  <c r="S11" i="34" s="1"/>
  <c r="F70" i="34"/>
  <c r="W42" i="33"/>
  <c r="S27"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H27" i="33"/>
  <c r="F87" i="33"/>
  <c r="G87" i="33" s="1"/>
  <c r="H87" i="33" s="1"/>
  <c r="I87" i="33" s="1"/>
  <c r="J87" i="33" s="1"/>
  <c r="K87" i="33" s="1"/>
  <c r="L87" i="33" s="1"/>
  <c r="M87" i="33" s="1"/>
  <c r="H25" i="33"/>
  <c r="U25" i="33" s="1"/>
  <c r="F25" i="33"/>
  <c r="J23" i="33"/>
  <c r="AC23" i="33" s="1"/>
  <c r="F85" i="33"/>
  <c r="H23" i="33"/>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33" i="40"/>
  <c r="AA15" i="40"/>
  <c r="U11" i="40"/>
  <c r="S3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S23" i="39"/>
  <c r="AB39" i="39"/>
  <c r="W34" i="39"/>
  <c r="U38" i="39"/>
  <c r="S8" i="39"/>
  <c r="AC25" i="36"/>
  <c r="U32" i="36"/>
  <c r="W29" i="36"/>
  <c r="AC20" i="36"/>
  <c r="U25" i="36"/>
  <c r="AB28" i="36"/>
  <c r="AA13" i="36"/>
  <c r="W22" i="36"/>
  <c r="AB20" i="35"/>
  <c r="AC25" i="35"/>
  <c r="U25" i="35"/>
  <c r="S24" i="35"/>
  <c r="U24" i="35"/>
  <c r="AA16" i="35"/>
  <c r="AA35" i="37"/>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46" i="34"/>
  <c r="AA46" i="34"/>
  <c r="U32" i="34"/>
  <c r="AB32"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U40" i="21"/>
  <c r="AB31" i="21"/>
  <c r="U31" i="21"/>
  <c r="AC15" i="21"/>
  <c r="U13" i="21"/>
  <c r="AB13" i="21"/>
  <c r="S35" i="21"/>
  <c r="J37" i="21"/>
  <c r="W37" i="21" s="1"/>
  <c r="H15" i="21"/>
  <c r="U15" i="21" s="1"/>
  <c r="J17" i="21"/>
  <c r="AC17" i="21" s="1"/>
  <c r="AC19" i="21"/>
  <c r="W39" i="21"/>
  <c r="W30" i="21"/>
  <c r="H45" i="21"/>
  <c r="U45" i="21" s="1"/>
  <c r="F29" i="21"/>
  <c r="AA29" i="21" s="1"/>
  <c r="F13" i="21"/>
  <c r="AA13" i="21" s="1"/>
  <c r="AC38" i="21"/>
  <c r="H32" i="21"/>
  <c r="U32" i="21" s="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M18" i="67"/>
  <c r="M18" i="15"/>
  <c r="AA39" i="40"/>
  <c r="S39" i="40"/>
  <c r="AA12" i="33"/>
  <c r="J32" i="39"/>
  <c r="H32" i="39"/>
  <c r="AB32" i="39" s="1"/>
  <c r="AA32" i="39"/>
  <c r="AB21" i="39"/>
  <c r="U21" i="39"/>
  <c r="AC17" i="37"/>
  <c r="S17" i="37"/>
  <c r="J19" i="37"/>
  <c r="W19" i="37" s="1"/>
  <c r="AA19" i="37"/>
  <c r="AA23" i="37"/>
  <c r="J23" i="37"/>
  <c r="AC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J27" i="33"/>
  <c r="AC27" i="33" s="1"/>
  <c r="AB25" i="33"/>
  <c r="S25" i="33"/>
  <c r="AA25" i="33"/>
  <c r="J25" i="33"/>
  <c r="AC25" i="33" s="1"/>
  <c r="AB23" i="33"/>
  <c r="U23" i="33"/>
  <c r="F23" i="33"/>
  <c r="G85" i="33"/>
  <c r="AA19" i="33"/>
  <c r="H19" i="33"/>
  <c r="H17" i="33"/>
  <c r="U17" i="33" s="1"/>
  <c r="F17" i="33"/>
  <c r="S17" i="33" s="1"/>
  <c r="AC17" i="33"/>
  <c r="S37" i="21"/>
  <c r="AA23" i="21"/>
  <c r="J23" i="21"/>
  <c r="F85" i="21"/>
  <c r="G85" i="21" s="1"/>
  <c r="H23" i="21"/>
  <c r="S13" i="21"/>
  <c r="AP7" i="1"/>
  <c r="AB45" i="21"/>
  <c r="AB9" i="21"/>
  <c r="AA32" i="21"/>
  <c r="S32" i="21"/>
  <c r="W9" i="21"/>
  <c r="AC9" i="21"/>
  <c r="AC32" i="39"/>
  <c r="W32" i="39"/>
  <c r="J63" i="37"/>
  <c r="K63" i="37" s="1"/>
  <c r="L63" i="37" s="1"/>
  <c r="M63" i="37" s="1"/>
  <c r="J11" i="37"/>
  <c r="AC11" i="37" s="1"/>
  <c r="H70" i="34"/>
  <c r="I70" i="34" s="1"/>
  <c r="J70" i="34" s="1"/>
  <c r="K70" i="34" s="1"/>
  <c r="L70" i="34" s="1"/>
  <c r="M70" i="34" s="1"/>
  <c r="J11" i="34"/>
  <c r="W11" i="34" s="1"/>
  <c r="AB36" i="33"/>
  <c r="AB19" i="33"/>
  <c r="U19" i="33"/>
  <c r="AA17" i="33"/>
  <c r="U23" i="21"/>
  <c r="AB23" i="21"/>
  <c r="AC23" i="21"/>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0" i="76"/>
  <c r="M6" i="15"/>
  <c r="B8" i="76"/>
  <c r="F16" i="15"/>
  <c r="B7" i="76"/>
  <c r="J15" i="15"/>
  <c r="B11" i="76"/>
  <c r="B12" i="76"/>
  <c r="F3" i="73"/>
  <c r="F9" i="15"/>
  <c r="M24" i="15"/>
  <c r="M28" i="15"/>
  <c r="E13" i="76"/>
  <c r="L48" i="15"/>
  <c r="F40" i="15"/>
  <c r="F9" i="67"/>
  <c r="F7" i="73"/>
  <c r="B13" i="76"/>
  <c r="F36" i="15"/>
  <c r="L47" i="15"/>
  <c r="E10" i="76"/>
  <c r="C76" i="15"/>
  <c r="E11" i="76"/>
  <c r="E2" i="69"/>
  <c r="E12" i="76"/>
  <c r="F4" i="73"/>
  <c r="M29" i="15"/>
  <c r="F6" i="73"/>
  <c r="F20" i="31"/>
  <c r="F37" i="15"/>
  <c r="F42" i="15"/>
  <c r="D6" i="73"/>
  <c r="C76" i="67"/>
  <c r="M26" i="15"/>
  <c r="D34" i="9"/>
  <c r="E8" i="76"/>
  <c r="F26" i="15"/>
  <c r="E9" i="76"/>
  <c r="M23" i="15"/>
  <c r="F8" i="15"/>
  <c r="E7" i="76"/>
  <c r="D35" i="9"/>
  <c r="F13" i="15"/>
  <c r="E2" i="68"/>
  <c r="F8" i="67"/>
  <c r="AO13" i="1"/>
  <c r="F38" i="15"/>
  <c r="M8" i="15"/>
  <c r="F7" i="15"/>
  <c r="F5" i="73"/>
  <c r="M22" i="15"/>
  <c r="B9" i="76"/>
  <c r="A4" i="52" l="1"/>
  <c r="B41" i="72" s="1"/>
  <c r="A118" i="9"/>
  <c r="A2" i="9"/>
  <c r="C24" i="12"/>
  <c r="F30" i="11"/>
  <c r="C48" i="11" s="1"/>
  <c r="F28" i="15"/>
  <c r="C40" i="69"/>
  <c r="C40" i="68"/>
  <c r="BS5" i="3"/>
  <c r="BJ5" i="3"/>
  <c r="BB5" i="3"/>
  <c r="BA14" i="3"/>
  <c r="AZ14" i="3" s="1"/>
  <c r="BA13" i="3"/>
  <c r="F29" i="6"/>
  <c r="H69" i="43"/>
  <c r="AA35" i="35"/>
  <c r="S35" i="35"/>
  <c r="D8" i="53"/>
  <c r="D120" i="9"/>
  <c r="W27" i="33"/>
  <c r="W23" i="37"/>
  <c r="D68" i="9"/>
  <c r="F32" i="67"/>
  <c r="F60" i="67" s="1"/>
  <c r="AC25" i="39"/>
  <c r="AA20" i="36"/>
  <c r="S20" i="36"/>
  <c r="S36" i="35"/>
  <c r="AA36" i="35"/>
  <c r="AZ540" i="3"/>
  <c r="AB14" i="40"/>
  <c r="U14" i="40"/>
  <c r="AC16" i="35"/>
  <c r="W16" i="35"/>
  <c r="AA39" i="33"/>
  <c r="S39" i="33"/>
  <c r="AC13" i="35"/>
  <c r="W13" i="35"/>
  <c r="AA21" i="39"/>
  <c r="F31" i="12"/>
  <c r="W17" i="21"/>
  <c r="AA29" i="34"/>
  <c r="AZ523" i="3"/>
  <c r="AZ183" i="3"/>
  <c r="U32" i="39"/>
  <c r="AB15" i="21"/>
  <c r="U31" i="40"/>
  <c r="AB31" i="40"/>
  <c r="AA11" i="36"/>
  <c r="S11" i="36"/>
  <c r="W29" i="37"/>
  <c r="AC29" i="37"/>
  <c r="AB15" i="34"/>
  <c r="U15" i="34"/>
  <c r="S25" i="34"/>
  <c r="AA25" i="34"/>
  <c r="AA32" i="37"/>
  <c r="S32" i="37"/>
  <c r="AB32" i="21"/>
  <c r="U23" i="37"/>
  <c r="W39" i="34"/>
  <c r="AC39" i="34"/>
  <c r="AA20" i="35"/>
  <c r="S20" i="35"/>
  <c r="AB30" i="33"/>
  <c r="U30" i="33"/>
  <c r="S34" i="33"/>
  <c r="AA34" i="33"/>
  <c r="AC36" i="34"/>
  <c r="W36" i="34"/>
  <c r="J46" i="21"/>
  <c r="H46" i="21"/>
  <c r="F46" i="21"/>
  <c r="S40" i="21"/>
  <c r="AA40" i="21"/>
  <c r="F29" i="33"/>
  <c r="H29" i="33"/>
  <c r="J14" i="34"/>
  <c r="F14" i="34"/>
  <c r="H14" i="34"/>
  <c r="F12" i="35"/>
  <c r="H12" i="35"/>
  <c r="J12" i="35"/>
  <c r="H35" i="35"/>
  <c r="J35" i="35"/>
  <c r="J12" i="37"/>
  <c r="H12" i="37"/>
  <c r="AB12" i="37" s="1"/>
  <c r="F12" i="37"/>
  <c r="S12" i="37" s="1"/>
  <c r="AB35" i="39"/>
  <c r="U35" i="39"/>
  <c r="G569" i="3"/>
  <c r="H5" i="3"/>
  <c r="BA568" i="3"/>
  <c r="AZ568" i="3" s="1"/>
  <c r="BD5" i="3"/>
  <c r="BL567" i="3"/>
  <c r="BP5" i="3"/>
  <c r="G29" i="6" s="1"/>
  <c r="BA566" i="3"/>
  <c r="BC5" i="3"/>
  <c r="W25" i="33"/>
  <c r="F48" i="9"/>
  <c r="O52" i="9" s="1"/>
  <c r="F30" i="68"/>
  <c r="F48" i="68" s="1"/>
  <c r="F32" i="15"/>
  <c r="F60" i="15" s="1"/>
  <c r="F54" i="9"/>
  <c r="F52" i="9"/>
  <c r="AA43" i="33"/>
  <c r="S43" i="33"/>
  <c r="F30" i="69"/>
  <c r="F48" i="69" s="1"/>
  <c r="S35" i="33"/>
  <c r="AA35" i="33"/>
  <c r="S13" i="40"/>
  <c r="AA13" i="40"/>
  <c r="AZ557" i="3"/>
  <c r="AZ587" i="3"/>
  <c r="AC8" i="34"/>
  <c r="W8" i="34"/>
  <c r="U27" i="37"/>
  <c r="AB27" i="37"/>
  <c r="J40" i="37"/>
  <c r="H40" i="37"/>
  <c r="AA13" i="37"/>
  <c r="S43" i="39"/>
  <c r="AZ379" i="3"/>
  <c r="AZ390" i="3"/>
  <c r="AZ371" i="3"/>
  <c r="AZ313" i="3"/>
  <c r="AZ394" i="3"/>
  <c r="AZ529" i="3"/>
  <c r="J27" i="37"/>
  <c r="AB23" i="34"/>
  <c r="B72" i="43"/>
  <c r="C15" i="39"/>
  <c r="S44" i="33"/>
  <c r="AA44" i="33"/>
  <c r="AZ564" i="3"/>
  <c r="AZ552" i="3"/>
  <c r="AB12" i="39"/>
  <c r="S27" i="40"/>
  <c r="AZ324" i="3"/>
  <c r="AA25" i="21"/>
  <c r="AZ539" i="3"/>
  <c r="AZ518" i="3"/>
  <c r="AC31" i="34"/>
  <c r="G586" i="3"/>
  <c r="AB34" i="34"/>
  <c r="U34" i="34"/>
  <c r="BL578" i="3"/>
  <c r="BA574" i="3"/>
  <c r="AZ574" i="3" s="1"/>
  <c r="W37" i="33"/>
  <c r="AZ387" i="3"/>
  <c r="AZ362" i="3"/>
  <c r="AZ187" i="3"/>
  <c r="BL569" i="3"/>
  <c r="AZ569" i="3" s="1"/>
  <c r="S12" i="40"/>
  <c r="U39" i="37"/>
  <c r="AB39" i="37"/>
  <c r="H45" i="39"/>
  <c r="F45" i="39"/>
  <c r="BA567" i="3"/>
  <c r="AZ567" i="3" s="1"/>
  <c r="AZ537" i="3"/>
  <c r="AZ548" i="3"/>
  <c r="J14" i="21"/>
  <c r="H14" i="21"/>
  <c r="F9" i="34"/>
  <c r="AA9" i="34" s="1"/>
  <c r="J9" i="34"/>
  <c r="H9" i="34"/>
  <c r="BL584" i="3"/>
  <c r="AZ584" i="3" s="1"/>
  <c r="BA582" i="3"/>
  <c r="AZ582" i="3" s="1"/>
  <c r="U29" i="35"/>
  <c r="AZ355" i="3"/>
  <c r="AZ203" i="3"/>
  <c r="AZ160" i="3"/>
  <c r="AB45" i="33"/>
  <c r="W28" i="34"/>
  <c r="AC28" i="34"/>
  <c r="AC33" i="33"/>
  <c r="W33" i="33"/>
  <c r="J38" i="37"/>
  <c r="H38" i="37"/>
  <c r="AB34" i="40"/>
  <c r="U34" i="40"/>
  <c r="AA40" i="34"/>
  <c r="AZ337" i="3"/>
  <c r="AZ305" i="3"/>
  <c r="AZ571" i="3"/>
  <c r="AA42" i="39"/>
  <c r="S42" i="39"/>
  <c r="F33" i="36"/>
  <c r="H33" i="36"/>
  <c r="J36" i="39"/>
  <c r="AC36" i="39" s="1"/>
  <c r="H36" i="39"/>
  <c r="F36" i="39"/>
  <c r="BA575" i="3"/>
  <c r="AZ575" i="3" s="1"/>
  <c r="W25" i="37"/>
  <c r="BL585" i="3"/>
  <c r="AZ585" i="3" s="1"/>
  <c r="H23" i="36"/>
  <c r="J23" i="36"/>
  <c r="F23" i="36"/>
  <c r="BA550" i="3"/>
  <c r="J12" i="34"/>
  <c r="H12" i="34"/>
  <c r="W27" i="35"/>
  <c r="AC27" i="35"/>
  <c r="J12" i="39"/>
  <c r="F12" i="39"/>
  <c r="BA515" i="3"/>
  <c r="AZ515" i="3" s="1"/>
  <c r="BL587" i="3"/>
  <c r="BL586" i="3"/>
  <c r="AZ586" i="3" s="1"/>
  <c r="F12" i="34"/>
  <c r="S12" i="34" s="1"/>
  <c r="J36" i="35"/>
  <c r="AC36" i="35" s="1"/>
  <c r="H9" i="36"/>
  <c r="AB9" i="36" s="1"/>
  <c r="J9" i="36"/>
  <c r="AC31" i="40"/>
  <c r="W31" i="40"/>
  <c r="BA560" i="3"/>
  <c r="AZ560" i="3" s="1"/>
  <c r="BA549" i="3"/>
  <c r="AZ549" i="3" s="1"/>
  <c r="G543" i="3"/>
  <c r="BL542" i="3"/>
  <c r="AZ542" i="3" s="1"/>
  <c r="BA538" i="3"/>
  <c r="AZ538" i="3" s="1"/>
  <c r="BA533" i="3"/>
  <c r="AZ533" i="3" s="1"/>
  <c r="BL580" i="3"/>
  <c r="AZ580" i="3" s="1"/>
  <c r="BA576" i="3"/>
  <c r="AZ576" i="3" s="1"/>
  <c r="BA569" i="3"/>
  <c r="BL566" i="3"/>
  <c r="AZ511" i="3"/>
  <c r="AZ541" i="3"/>
  <c r="AA38" i="34"/>
  <c r="J27" i="21"/>
  <c r="F27" i="21"/>
  <c r="H24" i="36"/>
  <c r="J12" i="36"/>
  <c r="J37" i="39"/>
  <c r="F37" i="39"/>
  <c r="AZ407" i="3"/>
  <c r="AB33" i="33"/>
  <c r="U33" i="33"/>
  <c r="AA34" i="40"/>
  <c r="S34" i="40"/>
  <c r="BL532" i="3"/>
  <c r="AZ532" i="3" s="1"/>
  <c r="BA530" i="3"/>
  <c r="AZ530" i="3" s="1"/>
  <c r="BA521" i="3"/>
  <c r="AZ521" i="3" s="1"/>
  <c r="BA514" i="3"/>
  <c r="AZ514" i="3" s="1"/>
  <c r="BL506" i="3"/>
  <c r="AZ506" i="3" s="1"/>
  <c r="BL504" i="3"/>
  <c r="AZ504" i="3" s="1"/>
  <c r="BL499" i="3"/>
  <c r="AZ499" i="3" s="1"/>
  <c r="BA497" i="3"/>
  <c r="AZ497" i="3" s="1"/>
  <c r="AZ400" i="3"/>
  <c r="AZ307" i="3"/>
  <c r="AZ140" i="3"/>
  <c r="AZ360" i="3"/>
  <c r="BL553" i="3"/>
  <c r="AZ553" i="3" s="1"/>
  <c r="BL583" i="3"/>
  <c r="AZ583" i="3" s="1"/>
  <c r="AZ513" i="3"/>
  <c r="AZ526" i="3"/>
  <c r="H46" i="34"/>
  <c r="F12" i="36"/>
  <c r="AA40" i="33"/>
  <c r="U8" i="39"/>
  <c r="AB8" i="39"/>
  <c r="AZ422" i="3"/>
  <c r="AZ462" i="3"/>
  <c r="BL408" i="3"/>
  <c r="BL411" i="3"/>
  <c r="BL413" i="3"/>
  <c r="AZ413" i="3" s="1"/>
  <c r="G416" i="3"/>
  <c r="BL417" i="3"/>
  <c r="BL418" i="3"/>
  <c r="BL420" i="3"/>
  <c r="AZ420" i="3" s="1"/>
  <c r="G423" i="3"/>
  <c r="BL424" i="3"/>
  <c r="G427" i="3"/>
  <c r="BA439" i="3"/>
  <c r="BA440" i="3"/>
  <c r="AZ440" i="3" s="1"/>
  <c r="BA442" i="3"/>
  <c r="BA446" i="3"/>
  <c r="BL453" i="3"/>
  <c r="AZ453" i="3" s="1"/>
  <c r="BL454" i="3"/>
  <c r="BL466" i="3"/>
  <c r="G469" i="3"/>
  <c r="BL471" i="3"/>
  <c r="BL484" i="3"/>
  <c r="BL317" i="3"/>
  <c r="BA331" i="3"/>
  <c r="AZ331" i="3" s="1"/>
  <c r="AZ125" i="3"/>
  <c r="BL414" i="3"/>
  <c r="BL415" i="3"/>
  <c r="BL421" i="3"/>
  <c r="BL422" i="3"/>
  <c r="BL425" i="3"/>
  <c r="BL426" i="3"/>
  <c r="BA438" i="3"/>
  <c r="G443" i="3"/>
  <c r="BL463" i="3"/>
  <c r="AZ463" i="3" s="1"/>
  <c r="BL467" i="3"/>
  <c r="BL468" i="3"/>
  <c r="BA480" i="3"/>
  <c r="G585" i="3"/>
  <c r="G574" i="3"/>
  <c r="BL15" i="3"/>
  <c r="AZ15" i="3" s="1"/>
  <c r="BA398" i="3"/>
  <c r="AZ398" i="3" s="1"/>
  <c r="BA399" i="3"/>
  <c r="AZ399" i="3" s="1"/>
  <c r="BA434" i="3"/>
  <c r="BA436" i="3"/>
  <c r="G445" i="3"/>
  <c r="BL462" i="3"/>
  <c r="G463" i="3"/>
  <c r="BL464" i="3"/>
  <c r="BA476" i="3"/>
  <c r="BL531" i="3"/>
  <c r="AZ531" i="3" s="1"/>
  <c r="BL559" i="3"/>
  <c r="AZ559" i="3" s="1"/>
  <c r="S34" i="39"/>
  <c r="BA551" i="3"/>
  <c r="AZ551" i="3" s="1"/>
  <c r="BL548" i="3"/>
  <c r="BA401" i="3"/>
  <c r="BA403" i="3"/>
  <c r="AZ403" i="3" s="1"/>
  <c r="BA404" i="3"/>
  <c r="AZ404" i="3" s="1"/>
  <c r="BA405" i="3"/>
  <c r="AZ405" i="3" s="1"/>
  <c r="BA432" i="3"/>
  <c r="AZ432" i="3" s="1"/>
  <c r="G438" i="3"/>
  <c r="BL438" i="3"/>
  <c r="BL439" i="3"/>
  <c r="BL480" i="3"/>
  <c r="G482" i="3"/>
  <c r="BL483" i="3"/>
  <c r="AZ483" i="3" s="1"/>
  <c r="BA489" i="3"/>
  <c r="AZ270" i="3"/>
  <c r="G398" i="3"/>
  <c r="BL400" i="3"/>
  <c r="BA428" i="3"/>
  <c r="AZ428" i="3" s="1"/>
  <c r="BA429" i="3"/>
  <c r="AZ429" i="3" s="1"/>
  <c r="BA430" i="3"/>
  <c r="AZ430" i="3" s="1"/>
  <c r="BL433" i="3"/>
  <c r="BL434" i="3"/>
  <c r="G436" i="3"/>
  <c r="G460" i="3"/>
  <c r="BL460" i="3"/>
  <c r="BL461" i="3"/>
  <c r="BA469" i="3"/>
  <c r="AZ469" i="3" s="1"/>
  <c r="BA473" i="3"/>
  <c r="AZ473" i="3" s="1"/>
  <c r="BL476" i="3"/>
  <c r="BL477" i="3"/>
  <c r="BL478" i="3"/>
  <c r="G479" i="3"/>
  <c r="G480" i="3"/>
  <c r="BA319" i="3"/>
  <c r="AZ319" i="3" s="1"/>
  <c r="BA335" i="3"/>
  <c r="AZ335" i="3" s="1"/>
  <c r="G551" i="3"/>
  <c r="BL550" i="3"/>
  <c r="G542" i="3"/>
  <c r="BL398" i="3"/>
  <c r="BL403" i="3"/>
  <c r="BA408" i="3"/>
  <c r="BA409" i="3"/>
  <c r="AZ409" i="3" s="1"/>
  <c r="BA411" i="3"/>
  <c r="AZ411" i="3" s="1"/>
  <c r="BA417" i="3"/>
  <c r="AZ417" i="3" s="1"/>
  <c r="BL431" i="3"/>
  <c r="AZ431" i="3" s="1"/>
  <c r="BL435" i="3"/>
  <c r="BL436" i="3"/>
  <c r="BL458" i="3"/>
  <c r="AZ458" i="3" s="1"/>
  <c r="BA470" i="3"/>
  <c r="BA471" i="3"/>
  <c r="AZ471" i="3" s="1"/>
  <c r="BA485" i="3"/>
  <c r="BL488" i="3"/>
  <c r="BL489" i="3"/>
  <c r="BL491" i="3"/>
  <c r="BL492" i="3"/>
  <c r="BL328" i="3"/>
  <c r="AZ328" i="3" s="1"/>
  <c r="BL401" i="3"/>
  <c r="BL404" i="3"/>
  <c r="BL405" i="3"/>
  <c r="BL407" i="3"/>
  <c r="BA412" i="3"/>
  <c r="AZ412" i="3" s="1"/>
  <c r="BA414" i="3"/>
  <c r="BA415" i="3"/>
  <c r="BA416" i="3"/>
  <c r="AZ416" i="3" s="1"/>
  <c r="BA418" i="3"/>
  <c r="AZ418" i="3" s="1"/>
  <c r="BA421" i="3"/>
  <c r="AZ421" i="3" s="1"/>
  <c r="BA423" i="3"/>
  <c r="AZ423" i="3" s="1"/>
  <c r="BA425" i="3"/>
  <c r="AZ425" i="3" s="1"/>
  <c r="BL427" i="3"/>
  <c r="G429" i="3"/>
  <c r="BL432" i="3"/>
  <c r="BA449" i="3"/>
  <c r="G456" i="3"/>
  <c r="G457" i="3"/>
  <c r="BA466" i="3"/>
  <c r="AZ466" i="3" s="1"/>
  <c r="BL473" i="3"/>
  <c r="BL474" i="3"/>
  <c r="G475" i="3"/>
  <c r="BL487" i="3"/>
  <c r="AZ487" i="3" s="1"/>
  <c r="G488" i="3"/>
  <c r="G491" i="3"/>
  <c r="BA307" i="3"/>
  <c r="G311" i="3"/>
  <c r="BA353" i="3"/>
  <c r="BL365" i="3"/>
  <c r="AZ365" i="3" s="1"/>
  <c r="BL368" i="3"/>
  <c r="BA374" i="3"/>
  <c r="AZ374" i="3" s="1"/>
  <c r="BA388" i="3"/>
  <c r="AZ388" i="3" s="1"/>
  <c r="BL217" i="3"/>
  <c r="AZ217" i="3" s="1"/>
  <c r="BA219" i="3"/>
  <c r="AZ219" i="3" s="1"/>
  <c r="BA221" i="3"/>
  <c r="BA223" i="3"/>
  <c r="BL232" i="3"/>
  <c r="BL234" i="3"/>
  <c r="BL261" i="3"/>
  <c r="BL271" i="3"/>
  <c r="BL274" i="3"/>
  <c r="BA296" i="3"/>
  <c r="V24" i="71"/>
  <c r="E23" i="71"/>
  <c r="E22" i="71" s="1"/>
  <c r="E21" i="71" s="1"/>
  <c r="E20" i="71" s="1"/>
  <c r="BA426" i="3"/>
  <c r="BA427" i="3"/>
  <c r="AZ427" i="3" s="1"/>
  <c r="BA433" i="3"/>
  <c r="BA435" i="3"/>
  <c r="BL437" i="3"/>
  <c r="AZ437" i="3" s="1"/>
  <c r="G439" i="3"/>
  <c r="G440" i="3"/>
  <c r="BL441" i="3"/>
  <c r="AZ441" i="3" s="1"/>
  <c r="BL442" i="3"/>
  <c r="BL444" i="3"/>
  <c r="AZ444" i="3" s="1"/>
  <c r="G446" i="3"/>
  <c r="G447" i="3"/>
  <c r="BL448" i="3"/>
  <c r="AZ448" i="3" s="1"/>
  <c r="G450" i="3"/>
  <c r="G451" i="3"/>
  <c r="BA454" i="3"/>
  <c r="BA457" i="3"/>
  <c r="AZ457" i="3" s="1"/>
  <c r="BA459" i="3"/>
  <c r="AZ459" i="3" s="1"/>
  <c r="BA460" i="3"/>
  <c r="AZ460" i="3" s="1"/>
  <c r="BA461" i="3"/>
  <c r="AZ461" i="3" s="1"/>
  <c r="BA483" i="3"/>
  <c r="BA486" i="3"/>
  <c r="G307" i="3"/>
  <c r="BA315" i="3"/>
  <c r="AZ315" i="3" s="1"/>
  <c r="BA333" i="3"/>
  <c r="BL346" i="3"/>
  <c r="AZ346" i="3" s="1"/>
  <c r="G374" i="3"/>
  <c r="BA384" i="3"/>
  <c r="AZ384" i="3" s="1"/>
  <c r="BL213" i="3"/>
  <c r="BL215" i="3"/>
  <c r="BA222" i="3"/>
  <c r="AZ222" i="3" s="1"/>
  <c r="BA224" i="3"/>
  <c r="AZ224" i="3" s="1"/>
  <c r="BA226" i="3"/>
  <c r="BA294" i="3"/>
  <c r="AZ294" i="3" s="1"/>
  <c r="BA298" i="3"/>
  <c r="AZ298" i="3" s="1"/>
  <c r="BL301" i="3"/>
  <c r="AZ301" i="3" s="1"/>
  <c r="BL302" i="3"/>
  <c r="BA128" i="3"/>
  <c r="AZ128" i="3" s="1"/>
  <c r="BL134" i="3"/>
  <c r="BL137" i="3"/>
  <c r="BA144" i="3"/>
  <c r="AZ144" i="3" s="1"/>
  <c r="G152" i="3"/>
  <c r="BL155" i="3"/>
  <c r="AZ155" i="3" s="1"/>
  <c r="BA162" i="3"/>
  <c r="AZ162" i="3" s="1"/>
  <c r="BA169" i="3"/>
  <c r="AZ169" i="3" s="1"/>
  <c r="BA178" i="3"/>
  <c r="BL205" i="3"/>
  <c r="G206" i="3"/>
  <c r="BA39" i="3"/>
  <c r="BA50" i="3"/>
  <c r="AZ50" i="3" s="1"/>
  <c r="BL52" i="3"/>
  <c r="BA70" i="3"/>
  <c r="BL100" i="3"/>
  <c r="P65" i="71"/>
  <c r="P66" i="71"/>
  <c r="C52" i="71"/>
  <c r="D51" i="71"/>
  <c r="BL445" i="3"/>
  <c r="BL446" i="3"/>
  <c r="AZ446" i="3" s="1"/>
  <c r="BL449" i="3"/>
  <c r="BL450" i="3"/>
  <c r="BL452" i="3"/>
  <c r="G454" i="3"/>
  <c r="BL456" i="3"/>
  <c r="BA464" i="3"/>
  <c r="AZ464" i="3" s="1"/>
  <c r="BA482" i="3"/>
  <c r="BA484" i="3"/>
  <c r="AZ484" i="3" s="1"/>
  <c r="BA303" i="3"/>
  <c r="AZ303" i="3" s="1"/>
  <c r="BL314" i="3"/>
  <c r="AZ314" i="3" s="1"/>
  <c r="G315" i="3"/>
  <c r="BA332" i="3"/>
  <c r="AZ332" i="3" s="1"/>
  <c r="G364" i="3"/>
  <c r="BA370" i="3"/>
  <c r="AZ370" i="3" s="1"/>
  <c r="BA386" i="3"/>
  <c r="AZ386" i="3" s="1"/>
  <c r="BL218" i="3"/>
  <c r="BL220" i="3"/>
  <c r="BL221" i="3"/>
  <c r="G222" i="3"/>
  <c r="BL223" i="3"/>
  <c r="G224" i="3"/>
  <c r="BA227" i="3"/>
  <c r="AZ227" i="3" s="1"/>
  <c r="BA229" i="3"/>
  <c r="AZ229" i="3" s="1"/>
  <c r="BA247" i="3"/>
  <c r="AZ247" i="3" s="1"/>
  <c r="BA249" i="3"/>
  <c r="AZ249" i="3" s="1"/>
  <c r="BA251" i="3"/>
  <c r="BA253" i="3"/>
  <c r="BA290" i="3"/>
  <c r="BL299" i="3"/>
  <c r="BL113" i="3"/>
  <c r="BA118" i="3"/>
  <c r="AZ118" i="3" s="1"/>
  <c r="BA122" i="3"/>
  <c r="AZ122" i="3" s="1"/>
  <c r="BL125" i="3"/>
  <c r="BL126" i="3"/>
  <c r="AZ126" i="3" s="1"/>
  <c r="BL149" i="3"/>
  <c r="AZ149" i="3" s="1"/>
  <c r="BL150" i="3"/>
  <c r="AZ150" i="3" s="1"/>
  <c r="BA164" i="3"/>
  <c r="AZ164" i="3" s="1"/>
  <c r="BA166" i="3"/>
  <c r="AZ166" i="3" s="1"/>
  <c r="BL170" i="3"/>
  <c r="BA176" i="3"/>
  <c r="AZ176" i="3" s="1"/>
  <c r="BL179" i="3"/>
  <c r="AZ179" i="3" s="1"/>
  <c r="BA201" i="3"/>
  <c r="BL24" i="3"/>
  <c r="BA30" i="3"/>
  <c r="BL40" i="3"/>
  <c r="BL41" i="3"/>
  <c r="C64" i="71"/>
  <c r="D64" i="71" s="1"/>
  <c r="D63" i="71"/>
  <c r="BL459" i="3"/>
  <c r="G461" i="3"/>
  <c r="BA465" i="3"/>
  <c r="AZ465" i="3" s="1"/>
  <c r="BA467" i="3"/>
  <c r="BA468" i="3"/>
  <c r="BA477" i="3"/>
  <c r="BA478" i="3"/>
  <c r="AZ478" i="3" s="1"/>
  <c r="BA481" i="3"/>
  <c r="G484" i="3"/>
  <c r="BA488" i="3"/>
  <c r="BA491" i="3"/>
  <c r="BL324" i="3"/>
  <c r="BA339" i="3"/>
  <c r="AZ339" i="3" s="1"/>
  <c r="G343" i="3"/>
  <c r="BA348" i="3"/>
  <c r="BA350" i="3"/>
  <c r="AZ350" i="3" s="1"/>
  <c r="BL385" i="3"/>
  <c r="BA397" i="3"/>
  <c r="BA210" i="3"/>
  <c r="BL225" i="3"/>
  <c r="BL226" i="3"/>
  <c r="G227" i="3"/>
  <c r="BA239" i="3"/>
  <c r="AZ239" i="3" s="1"/>
  <c r="BA241" i="3"/>
  <c r="BA244" i="3"/>
  <c r="BA246" i="3"/>
  <c r="BA252" i="3"/>
  <c r="AZ252" i="3" s="1"/>
  <c r="BA254" i="3"/>
  <c r="AZ254" i="3" s="1"/>
  <c r="BA256" i="3"/>
  <c r="BA258" i="3"/>
  <c r="BA268" i="3"/>
  <c r="BA277" i="3"/>
  <c r="AZ277" i="3" s="1"/>
  <c r="BA282" i="3"/>
  <c r="BA284" i="3"/>
  <c r="AZ284" i="3" s="1"/>
  <c r="BL293" i="3"/>
  <c r="BL294" i="3"/>
  <c r="BL297" i="3"/>
  <c r="BL300" i="3"/>
  <c r="BA117" i="3"/>
  <c r="BL130" i="3"/>
  <c r="BL138" i="3"/>
  <c r="BA142" i="3"/>
  <c r="BA157" i="3"/>
  <c r="AZ157" i="3" s="1"/>
  <c r="BL162" i="3"/>
  <c r="BL165" i="3"/>
  <c r="BL23" i="3"/>
  <c r="BA47" i="3"/>
  <c r="AZ47" i="3" s="1"/>
  <c r="BA67" i="3"/>
  <c r="AZ67" i="3" s="1"/>
  <c r="BL70" i="3"/>
  <c r="BL71" i="3"/>
  <c r="BA77" i="3"/>
  <c r="BL79" i="3"/>
  <c r="D28" i="71"/>
  <c r="U28" i="71" s="1"/>
  <c r="T28" i="71"/>
  <c r="C27" i="71"/>
  <c r="N67" i="71"/>
  <c r="B66" i="71"/>
  <c r="BA349" i="3"/>
  <c r="AZ349" i="3" s="1"/>
  <c r="BL353" i="3"/>
  <c r="BA358" i="3"/>
  <c r="AZ358" i="3" s="1"/>
  <c r="G362" i="3"/>
  <c r="BA368" i="3"/>
  <c r="AZ368" i="3" s="1"/>
  <c r="BA396" i="3"/>
  <c r="BA209" i="3"/>
  <c r="BL228" i="3"/>
  <c r="AZ228" i="3" s="1"/>
  <c r="BA230" i="3"/>
  <c r="AZ230" i="3" s="1"/>
  <c r="BA236" i="3"/>
  <c r="BA238" i="3"/>
  <c r="BA243" i="3"/>
  <c r="AZ243" i="3" s="1"/>
  <c r="BL248" i="3"/>
  <c r="AZ248" i="3" s="1"/>
  <c r="G250" i="3"/>
  <c r="BL250" i="3"/>
  <c r="AZ250" i="3" s="1"/>
  <c r="G252" i="3"/>
  <c r="G254" i="3"/>
  <c r="BA259" i="3"/>
  <c r="AZ259" i="3" s="1"/>
  <c r="BA263" i="3"/>
  <c r="BA267" i="3"/>
  <c r="AZ267" i="3" s="1"/>
  <c r="BA269" i="3"/>
  <c r="AZ269" i="3" s="1"/>
  <c r="BA271" i="3"/>
  <c r="AZ271" i="3" s="1"/>
  <c r="BA274" i="3"/>
  <c r="BA276" i="3"/>
  <c r="BA279" i="3"/>
  <c r="BA281" i="3"/>
  <c r="BL286" i="3"/>
  <c r="AZ286" i="3" s="1"/>
  <c r="G291" i="3"/>
  <c r="BA116" i="3"/>
  <c r="AZ116" i="3" s="1"/>
  <c r="BL121" i="3"/>
  <c r="AZ121" i="3" s="1"/>
  <c r="G144" i="3"/>
  <c r="BA156" i="3"/>
  <c r="AZ156" i="3" s="1"/>
  <c r="BA160" i="3"/>
  <c r="G162" i="3"/>
  <c r="BA174" i="3"/>
  <c r="G190" i="3"/>
  <c r="BA198" i="3"/>
  <c r="AZ198" i="3" s="1"/>
  <c r="BL201" i="3"/>
  <c r="BL203" i="3"/>
  <c r="BA19" i="3"/>
  <c r="G31" i="3"/>
  <c r="BA65" i="3"/>
  <c r="BL86" i="3"/>
  <c r="BL96" i="3"/>
  <c r="AZ103" i="3"/>
  <c r="C47" i="71"/>
  <c r="D47" i="71" s="1"/>
  <c r="D46" i="71"/>
  <c r="C55" i="71"/>
  <c r="D54" i="71"/>
  <c r="C60" i="71"/>
  <c r="D59" i="71"/>
  <c r="G288" i="3"/>
  <c r="BL292" i="3"/>
  <c r="BL295" i="3"/>
  <c r="BA114" i="3"/>
  <c r="BL123" i="3"/>
  <c r="AZ123" i="3" s="1"/>
  <c r="BA153" i="3"/>
  <c r="BL175" i="3"/>
  <c r="AZ175" i="3" s="1"/>
  <c r="BL186" i="3"/>
  <c r="BA197" i="3"/>
  <c r="AZ197" i="3" s="1"/>
  <c r="T40" i="71"/>
  <c r="D40" i="71"/>
  <c r="BA367" i="3"/>
  <c r="AZ367" i="3" s="1"/>
  <c r="BA216" i="3"/>
  <c r="AZ216" i="3" s="1"/>
  <c r="BA218" i="3"/>
  <c r="BL229" i="3"/>
  <c r="BL231" i="3"/>
  <c r="BL233" i="3"/>
  <c r="AZ233" i="3" s="1"/>
  <c r="BL235" i="3"/>
  <c r="AZ235" i="3" s="1"/>
  <c r="BL236" i="3"/>
  <c r="BL238" i="3"/>
  <c r="BL243" i="3"/>
  <c r="BL247" i="3"/>
  <c r="BL249" i="3"/>
  <c r="BL251" i="3"/>
  <c r="BL260" i="3"/>
  <c r="G262" i="3"/>
  <c r="BL263" i="3"/>
  <c r="G264" i="3"/>
  <c r="BL270" i="3"/>
  <c r="BA272" i="3"/>
  <c r="AZ272" i="3" s="1"/>
  <c r="BL275" i="3"/>
  <c r="AZ275" i="3" s="1"/>
  <c r="G277" i="3"/>
  <c r="G280" i="3"/>
  <c r="BL285" i="3"/>
  <c r="BL287" i="3"/>
  <c r="BL115" i="3"/>
  <c r="AZ115" i="3" s="1"/>
  <c r="BL118" i="3"/>
  <c r="BA152" i="3"/>
  <c r="AZ152" i="3" s="1"/>
  <c r="BA154" i="3"/>
  <c r="AZ154" i="3" s="1"/>
  <c r="BA181" i="3"/>
  <c r="AZ181" i="3" s="1"/>
  <c r="BA182" i="3"/>
  <c r="AZ182" i="3" s="1"/>
  <c r="BL185" i="3"/>
  <c r="G186" i="3"/>
  <c r="BA193" i="3"/>
  <c r="BA196" i="3"/>
  <c r="AZ196" i="3" s="1"/>
  <c r="G29" i="3"/>
  <c r="BL29" i="3"/>
  <c r="BA62" i="3"/>
  <c r="AZ62" i="3" s="1"/>
  <c r="BL65" i="3"/>
  <c r="BL66" i="3"/>
  <c r="BL76" i="3"/>
  <c r="BL93" i="3"/>
  <c r="BL103" i="3"/>
  <c r="BA109" i="3"/>
  <c r="C31" i="71"/>
  <c r="D30" i="71"/>
  <c r="F66" i="71"/>
  <c r="Q67" i="71"/>
  <c r="BA366" i="3"/>
  <c r="AZ366" i="3" s="1"/>
  <c r="BL375" i="3"/>
  <c r="AZ375" i="3" s="1"/>
  <c r="BL397" i="3"/>
  <c r="BL210" i="3"/>
  <c r="BL212" i="3"/>
  <c r="BL214" i="3"/>
  <c r="AZ214" i="3" s="1"/>
  <c r="BL239" i="3"/>
  <c r="BL241" i="3"/>
  <c r="BL244" i="3"/>
  <c r="BL256" i="3"/>
  <c r="BL264" i="3"/>
  <c r="BL266" i="3"/>
  <c r="BL273" i="3"/>
  <c r="AZ273" i="3" s="1"/>
  <c r="G274" i="3"/>
  <c r="BL277" i="3"/>
  <c r="BL282" i="3"/>
  <c r="BA297" i="3"/>
  <c r="AZ297" i="3" s="1"/>
  <c r="BA302" i="3"/>
  <c r="AZ302" i="3" s="1"/>
  <c r="G115" i="3"/>
  <c r="BA130" i="3"/>
  <c r="BA137" i="3"/>
  <c r="BA140" i="3"/>
  <c r="G154" i="3"/>
  <c r="G156" i="3"/>
  <c r="BL173" i="3"/>
  <c r="AZ173" i="3" s="1"/>
  <c r="BL183" i="3"/>
  <c r="BA192" i="3"/>
  <c r="AZ192" i="3" s="1"/>
  <c r="BL197" i="3"/>
  <c r="G198" i="3"/>
  <c r="BA33" i="3"/>
  <c r="BL35" i="3"/>
  <c r="BL199" i="3"/>
  <c r="AZ199" i="3" s="1"/>
  <c r="BA20" i="3"/>
  <c r="AZ20" i="3" s="1"/>
  <c r="BL25" i="3"/>
  <c r="AZ25" i="3" s="1"/>
  <c r="BL27" i="3"/>
  <c r="BA38" i="3"/>
  <c r="BA41" i="3"/>
  <c r="BA42" i="3"/>
  <c r="G46" i="3"/>
  <c r="G47" i="3"/>
  <c r="BL48" i="3"/>
  <c r="BA59" i="3"/>
  <c r="AZ59" i="3" s="1"/>
  <c r="G61" i="3"/>
  <c r="BL61" i="3"/>
  <c r="G64" i="3"/>
  <c r="G67" i="3"/>
  <c r="BL68" i="3"/>
  <c r="G72" i="3"/>
  <c r="BL73" i="3"/>
  <c r="G81" i="3"/>
  <c r="BA86" i="3"/>
  <c r="AZ86" i="3" s="1"/>
  <c r="BA87" i="3"/>
  <c r="BA91" i="3"/>
  <c r="AZ91" i="3" s="1"/>
  <c r="BA108" i="3"/>
  <c r="AZ108" i="3" s="1"/>
  <c r="BA110" i="3"/>
  <c r="AZ110" i="3" s="1"/>
  <c r="S21" i="37"/>
  <c r="B77" i="43"/>
  <c r="AA18" i="35"/>
  <c r="D71" i="71"/>
  <c r="AA28" i="71"/>
  <c r="E79" i="71"/>
  <c r="E78" i="71" s="1"/>
  <c r="AB25" i="71"/>
  <c r="C43" i="71"/>
  <c r="C35" i="71"/>
  <c r="AB32" i="71"/>
  <c r="X33" i="71"/>
  <c r="BL143" i="3"/>
  <c r="AZ143" i="3" s="1"/>
  <c r="G146" i="3"/>
  <c r="G147" i="3"/>
  <c r="BL177" i="3"/>
  <c r="AZ177" i="3" s="1"/>
  <c r="G179" i="3"/>
  <c r="BA186" i="3"/>
  <c r="AZ186" i="3" s="1"/>
  <c r="BA190" i="3"/>
  <c r="G196" i="3"/>
  <c r="BA204" i="3"/>
  <c r="AZ204" i="3" s="1"/>
  <c r="BA18" i="3"/>
  <c r="G21" i="3"/>
  <c r="BL21" i="3"/>
  <c r="AZ21" i="3" s="1"/>
  <c r="G23" i="3"/>
  <c r="BA37" i="3"/>
  <c r="G39" i="3"/>
  <c r="BL39" i="3"/>
  <c r="G43" i="3"/>
  <c r="G44" i="3"/>
  <c r="BA56" i="3"/>
  <c r="BA57" i="3"/>
  <c r="BL58" i="3"/>
  <c r="AZ58" i="3" s="1"/>
  <c r="G60" i="3"/>
  <c r="BA84" i="3"/>
  <c r="AZ84" i="3" s="1"/>
  <c r="BL88" i="3"/>
  <c r="AZ88" i="3" s="1"/>
  <c r="G90" i="3"/>
  <c r="BL90" i="3"/>
  <c r="BL92" i="3"/>
  <c r="BA101" i="3"/>
  <c r="G108" i="3"/>
  <c r="G109" i="3"/>
  <c r="BL112" i="3"/>
  <c r="AC21" i="33"/>
  <c r="W18" i="35"/>
  <c r="S21" i="34"/>
  <c r="B88" i="43"/>
  <c r="D39" i="71"/>
  <c r="D62" i="71"/>
  <c r="U68" i="71"/>
  <c r="Y27" i="71"/>
  <c r="Z27" i="71" s="1"/>
  <c r="X31" i="71"/>
  <c r="AA34" i="71"/>
  <c r="B51" i="71"/>
  <c r="B52" i="71" s="1"/>
  <c r="S52" i="71" s="1"/>
  <c r="V68" i="71"/>
  <c r="G143" i="3"/>
  <c r="G175" i="3"/>
  <c r="G176" i="3"/>
  <c r="BL178" i="3"/>
  <c r="BA185" i="3"/>
  <c r="AZ185" i="3" s="1"/>
  <c r="BL191" i="3"/>
  <c r="AZ191" i="3" s="1"/>
  <c r="G192" i="3"/>
  <c r="BA205" i="3"/>
  <c r="AZ205" i="3" s="1"/>
  <c r="G20" i="3"/>
  <c r="BL20" i="3"/>
  <c r="BA29" i="3"/>
  <c r="AZ29" i="3" s="1"/>
  <c r="BA36" i="3"/>
  <c r="BL38" i="3"/>
  <c r="AZ38" i="3" s="1"/>
  <c r="BA52" i="3"/>
  <c r="BA53" i="3"/>
  <c r="AZ53" i="3" s="1"/>
  <c r="BA54" i="3"/>
  <c r="BL57" i="3"/>
  <c r="BA82" i="3"/>
  <c r="AZ82" i="3" s="1"/>
  <c r="G86" i="3"/>
  <c r="G87" i="3"/>
  <c r="BL94" i="3"/>
  <c r="AZ94" i="3" s="1"/>
  <c r="BA100" i="3"/>
  <c r="AZ100" i="3" s="1"/>
  <c r="BA102" i="3"/>
  <c r="BL105" i="3"/>
  <c r="AZ105" i="3" s="1"/>
  <c r="G107" i="3"/>
  <c r="BL107" i="3"/>
  <c r="K13" i="1"/>
  <c r="M13" i="1" s="1"/>
  <c r="O13" i="1" s="1"/>
  <c r="P13" i="1" s="1"/>
  <c r="AC21" i="21"/>
  <c r="AC21" i="37"/>
  <c r="S18" i="36"/>
  <c r="Y26" i="71"/>
  <c r="Z26" i="71" s="1"/>
  <c r="X36" i="71"/>
  <c r="AA30" i="71"/>
  <c r="AB34" i="71"/>
  <c r="AB31" i="71"/>
  <c r="AA36" i="71"/>
  <c r="B48" i="71"/>
  <c r="S48" i="71" s="1"/>
  <c r="BL171" i="3"/>
  <c r="AZ171" i="3" s="1"/>
  <c r="G174" i="3"/>
  <c r="BA184" i="3"/>
  <c r="AZ184" i="3" s="1"/>
  <c r="BL187" i="3"/>
  <c r="G188" i="3"/>
  <c r="BL189" i="3"/>
  <c r="AZ189" i="3" s="1"/>
  <c r="BL190" i="3"/>
  <c r="G191" i="3"/>
  <c r="BA200" i="3"/>
  <c r="AZ200" i="3" s="1"/>
  <c r="BA202" i="3"/>
  <c r="BL207" i="3"/>
  <c r="BL18" i="3"/>
  <c r="G19" i="3"/>
  <c r="BL19" i="3"/>
  <c r="BA28" i="3"/>
  <c r="AZ28" i="3" s="1"/>
  <c r="BA31" i="3"/>
  <c r="BA32" i="3"/>
  <c r="BL54" i="3"/>
  <c r="BL55" i="3"/>
  <c r="AZ55" i="3" s="1"/>
  <c r="G57" i="3"/>
  <c r="BA64" i="3"/>
  <c r="AZ64" i="3" s="1"/>
  <c r="BA69" i="3"/>
  <c r="AZ69" i="3" s="1"/>
  <c r="BA74" i="3"/>
  <c r="AZ74" i="3" s="1"/>
  <c r="BA75" i="3"/>
  <c r="AZ75" i="3" s="1"/>
  <c r="G85" i="3"/>
  <c r="BL85" i="3"/>
  <c r="G96" i="3"/>
  <c r="BL97" i="3"/>
  <c r="AZ97" i="3" s="1"/>
  <c r="BL101" i="3"/>
  <c r="BL102" i="3"/>
  <c r="G104" i="3"/>
  <c r="BL106" i="3"/>
  <c r="F3" i="35"/>
  <c r="W29" i="39"/>
  <c r="O67" i="71"/>
  <c r="AB27" i="71"/>
  <c r="X26" i="71"/>
  <c r="Y25" i="71"/>
  <c r="Z25" i="71" s="1"/>
  <c r="Y29" i="71"/>
  <c r="Z29" i="71" s="1"/>
  <c r="E38" i="71"/>
  <c r="E39" i="71" s="1"/>
  <c r="E40" i="71" s="1"/>
  <c r="U40" i="71" s="1"/>
  <c r="AB37" i="71"/>
  <c r="BL206" i="3"/>
  <c r="BA27" i="3"/>
  <c r="G30" i="3"/>
  <c r="BL30" i="3"/>
  <c r="BL31" i="3"/>
  <c r="G35" i="3"/>
  <c r="G36" i="3"/>
  <c r="BA48" i="3"/>
  <c r="AZ48" i="3" s="1"/>
  <c r="BA49" i="3"/>
  <c r="BA51" i="3"/>
  <c r="G54" i="3"/>
  <c r="BL56" i="3"/>
  <c r="AZ56" i="3" s="1"/>
  <c r="BA61" i="3"/>
  <c r="AZ61" i="3" s="1"/>
  <c r="BA68" i="3"/>
  <c r="AZ68" i="3" s="1"/>
  <c r="BA73" i="3"/>
  <c r="AZ73" i="3" s="1"/>
  <c r="BA80" i="3"/>
  <c r="BL84" i="3"/>
  <c r="G99" i="3"/>
  <c r="U29" i="39"/>
  <c r="C29" i="39"/>
  <c r="C66" i="71"/>
  <c r="C83" i="71"/>
  <c r="X25" i="71"/>
  <c r="X35" i="71"/>
  <c r="X32" i="71"/>
  <c r="F38" i="71"/>
  <c r="F39" i="71" s="1"/>
  <c r="F40" i="71" s="1"/>
  <c r="V40" i="71" s="1"/>
  <c r="AA39" i="71"/>
  <c r="BA45" i="3"/>
  <c r="AZ45" i="3" s="1"/>
  <c r="BA46" i="3"/>
  <c r="AZ46" i="3" s="1"/>
  <c r="BL49" i="3"/>
  <c r="BL50" i="3"/>
  <c r="BL51" i="3"/>
  <c r="G53" i="3"/>
  <c r="BL53" i="3"/>
  <c r="BA60" i="3"/>
  <c r="BA63" i="3"/>
  <c r="AZ63" i="3" s="1"/>
  <c r="BA66" i="3"/>
  <c r="AZ66" i="3" s="1"/>
  <c r="BA71" i="3"/>
  <c r="AZ71" i="3" s="1"/>
  <c r="G76" i="3"/>
  <c r="BL77" i="3"/>
  <c r="BA79" i="3"/>
  <c r="AZ79" i="3" s="1"/>
  <c r="G82" i="3"/>
  <c r="G83" i="3"/>
  <c r="U25" i="40"/>
  <c r="B68" i="43"/>
  <c r="X34" i="71"/>
  <c r="B44" i="71"/>
  <c r="S44" i="71" s="1"/>
  <c r="BL72" i="3"/>
  <c r="AZ72" i="3" s="1"/>
  <c r="BL75" i="3"/>
  <c r="BL81" i="3"/>
  <c r="BL83" i="3"/>
  <c r="BA90" i="3"/>
  <c r="AZ90" i="3" s="1"/>
  <c r="BA111" i="3"/>
  <c r="AZ111" i="3" s="1"/>
  <c r="B57" i="43"/>
  <c r="AB33" i="71"/>
  <c r="E35" i="71"/>
  <c r="E36" i="71" s="1"/>
  <c r="U36" i="71" s="1"/>
  <c r="AB36" i="71"/>
  <c r="B64" i="71"/>
  <c r="S64"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9" i="3"/>
  <c r="AZ442" i="3"/>
  <c r="AZ445" i="3"/>
  <c r="AZ449" i="3"/>
  <c r="AZ452" i="3"/>
  <c r="AZ456" i="3"/>
  <c r="AZ467" i="3"/>
  <c r="AZ468" i="3"/>
  <c r="AZ470" i="3"/>
  <c r="W35" i="39"/>
  <c r="F27" i="34"/>
  <c r="C21" i="39"/>
  <c r="U9" i="36"/>
  <c r="U14" i="37"/>
  <c r="H12" i="21"/>
  <c r="G526" i="3"/>
  <c r="AZ424" i="3"/>
  <c r="AZ434" i="3"/>
  <c r="AZ436" i="3"/>
  <c r="AZ438" i="3"/>
  <c r="AZ450" i="3"/>
  <c r="G28" i="6"/>
  <c r="U26" i="21"/>
  <c r="W36" i="39"/>
  <c r="U23" i="40"/>
  <c r="AA39" i="37"/>
  <c r="AC16" i="36"/>
  <c r="AB12" i="33"/>
  <c r="C27" i="39"/>
  <c r="U40" i="40"/>
  <c r="AC9" i="40"/>
  <c r="J12" i="21"/>
  <c r="B73" i="43"/>
  <c r="B76" i="43"/>
  <c r="F9" i="36"/>
  <c r="J40" i="40"/>
  <c r="G562" i="3"/>
  <c r="AZ426" i="3"/>
  <c r="AZ485"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G483" i="3"/>
  <c r="BL485" i="3"/>
  <c r="BL486" i="3"/>
  <c r="AZ486" i="3" s="1"/>
  <c r="G487" i="3"/>
  <c r="BA492" i="3"/>
  <c r="AZ492" i="3" s="1"/>
  <c r="BL363" i="3"/>
  <c r="AZ363" i="3" s="1"/>
  <c r="G369" i="3"/>
  <c r="BL393" i="3"/>
  <c r="AZ393" i="3" s="1"/>
  <c r="BL396" i="3"/>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40" i="3"/>
  <c r="AZ104"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F50" i="15"/>
  <c r="F51" i="15"/>
  <c r="L59" i="15"/>
  <c r="N59" i="15"/>
  <c r="L58" i="15"/>
  <c r="M59" i="15"/>
  <c r="F66" i="15"/>
  <c r="Q71" i="67"/>
  <c r="F64" i="15"/>
  <c r="C27" i="15"/>
  <c r="F65" i="15"/>
  <c r="B13" i="70"/>
  <c r="F68" i="15"/>
  <c r="C36" i="68"/>
  <c r="D9" i="69"/>
  <c r="C36" i="69"/>
  <c r="D9" i="68"/>
  <c r="F7" i="67"/>
  <c r="M26" i="67"/>
  <c r="F37" i="67"/>
  <c r="F36" i="67"/>
  <c r="M9" i="67"/>
  <c r="D5" i="73"/>
  <c r="F42" i="67"/>
  <c r="F40" i="67"/>
  <c r="M6" i="67"/>
  <c r="M23" i="67"/>
  <c r="D7" i="73"/>
  <c r="F16" i="67"/>
  <c r="F6" i="15"/>
  <c r="D3" i="73"/>
  <c r="D4" i="73"/>
  <c r="L48" i="67"/>
  <c r="M28" i="67"/>
  <c r="L47" i="67"/>
  <c r="F13" i="67"/>
  <c r="F43" i="67"/>
  <c r="M9" i="15"/>
  <c r="M29" i="67"/>
  <c r="M22" i="67"/>
  <c r="F26" i="67"/>
  <c r="F43" i="15"/>
  <c r="C16" i="15"/>
  <c r="M24" i="67"/>
  <c r="F6" i="67"/>
  <c r="M8" i="67"/>
  <c r="F38" i="67"/>
  <c r="J15" i="67"/>
  <c r="C30" i="69" l="1"/>
  <c r="C48" i="69"/>
  <c r="C30" i="68"/>
  <c r="C48" i="68"/>
  <c r="E11" i="6"/>
  <c r="E60" i="39" s="1"/>
  <c r="E15" i="6"/>
  <c r="E64" i="39" s="1"/>
  <c r="F26" i="43"/>
  <c r="H26" i="43"/>
  <c r="N370" i="46"/>
  <c r="P6" i="1"/>
  <c r="C13" i="12" s="1"/>
  <c r="E26" i="43"/>
  <c r="G26" i="43"/>
  <c r="E13" i="6"/>
  <c r="E62" i="39" s="1"/>
  <c r="N94" i="46"/>
  <c r="E10" i="6"/>
  <c r="E28" i="6"/>
  <c r="K14" i="1" s="1"/>
  <c r="M14" i="1" s="1"/>
  <c r="F68" i="67"/>
  <c r="F64" i="67"/>
  <c r="F71" i="15"/>
  <c r="F66" i="67"/>
  <c r="C6" i="15"/>
  <c r="C32" i="15" s="1"/>
  <c r="F31" i="15"/>
  <c r="F65" i="67"/>
  <c r="C27" i="67"/>
  <c r="J53" i="67"/>
  <c r="F1" i="67" s="1"/>
  <c r="L56" i="67"/>
  <c r="I54" i="67"/>
  <c r="J57" i="67"/>
  <c r="J55" i="67" s="1"/>
  <c r="J58" i="67" s="1"/>
  <c r="Q50" i="67" s="1"/>
  <c r="C6" i="67"/>
  <c r="C32" i="67" s="1"/>
  <c r="F31" i="67"/>
  <c r="N59" i="67"/>
  <c r="L58" i="67"/>
  <c r="Q73" i="67" s="1"/>
  <c r="M59" i="67"/>
  <c r="L59" i="67"/>
  <c r="Q61" i="67" s="1"/>
  <c r="F50" i="67"/>
  <c r="C49" i="67" s="1"/>
  <c r="M7" i="67"/>
  <c r="J6" i="67" s="1"/>
  <c r="J18" i="67" s="1"/>
  <c r="F71" i="67"/>
  <c r="E29" i="6"/>
  <c r="K15" i="1" s="1"/>
  <c r="G30" i="6"/>
  <c r="G31" i="6" s="1"/>
  <c r="AZ37" i="3"/>
  <c r="AZ292" i="3"/>
  <c r="D83" i="71"/>
  <c r="C82" i="71"/>
  <c r="D82" i="71" s="1"/>
  <c r="AZ190" i="3"/>
  <c r="AZ274" i="3"/>
  <c r="AZ241" i="3"/>
  <c r="AZ433" i="3"/>
  <c r="S12" i="39"/>
  <c r="AA12" i="39"/>
  <c r="AA23" i="36"/>
  <c r="S23" i="36"/>
  <c r="AC38" i="37"/>
  <c r="W38" i="37"/>
  <c r="U9" i="34"/>
  <c r="AB9" i="34"/>
  <c r="U40" i="37"/>
  <c r="AB40" i="37"/>
  <c r="AA14" i="34"/>
  <c r="S14" i="34"/>
  <c r="O65" i="71"/>
  <c r="O66" i="71"/>
  <c r="D66" i="71"/>
  <c r="C36" i="71"/>
  <c r="D35" i="71"/>
  <c r="C26" i="71"/>
  <c r="D26" i="71" s="1"/>
  <c r="D27" i="71"/>
  <c r="W12" i="39"/>
  <c r="AC12" i="39"/>
  <c r="AC23" i="36"/>
  <c r="W23" i="36"/>
  <c r="AC9" i="34"/>
  <c r="W9" i="34"/>
  <c r="W40" i="37"/>
  <c r="AC40" i="37"/>
  <c r="W12" i="37"/>
  <c r="AC12" i="37"/>
  <c r="W14" i="34"/>
  <c r="AC14" i="34"/>
  <c r="D121" i="9"/>
  <c r="D7" i="52" s="1"/>
  <c r="D6" i="52"/>
  <c r="E12" i="6"/>
  <c r="E57" i="40" s="1"/>
  <c r="W36" i="35"/>
  <c r="C44" i="71"/>
  <c r="D43" i="71"/>
  <c r="AZ39" i="3"/>
  <c r="AA37" i="39"/>
  <c r="S37" i="39"/>
  <c r="AB23" i="36"/>
  <c r="U23" i="36"/>
  <c r="AA33" i="36"/>
  <c r="S33" i="36"/>
  <c r="S45" i="39"/>
  <c r="AA45" i="39"/>
  <c r="AC35" i="35"/>
  <c r="W35" i="35"/>
  <c r="U29" i="33"/>
  <c r="AB29" i="33"/>
  <c r="AZ476" i="3"/>
  <c r="AB33" i="36"/>
  <c r="U33" i="36"/>
  <c r="J6" i="15"/>
  <c r="J18" i="15" s="1"/>
  <c r="T64" i="71"/>
  <c r="AZ76" i="3"/>
  <c r="AZ101" i="3"/>
  <c r="AZ57" i="3"/>
  <c r="AZ256" i="3"/>
  <c r="T52" i="71"/>
  <c r="D52" i="71"/>
  <c r="AZ454" i="3"/>
  <c r="AZ415" i="3"/>
  <c r="AZ401" i="3"/>
  <c r="AC37" i="39"/>
  <c r="W37" i="39"/>
  <c r="AB14" i="21"/>
  <c r="U14" i="21"/>
  <c r="AB45" i="39"/>
  <c r="U45" i="39"/>
  <c r="S29" i="33"/>
  <c r="AA29" i="33"/>
  <c r="Q16" i="1"/>
  <c r="F27" i="69" s="1"/>
  <c r="C47" i="69" s="1"/>
  <c r="D45" i="69" s="1"/>
  <c r="AZ268" i="3"/>
  <c r="AZ51" i="3"/>
  <c r="AZ41" i="3"/>
  <c r="AZ137" i="3"/>
  <c r="D31" i="71"/>
  <c r="C32" i="71"/>
  <c r="AZ263" i="3"/>
  <c r="AZ238" i="3"/>
  <c r="AZ414" i="3"/>
  <c r="AC12" i="36"/>
  <c r="W12" i="36"/>
  <c r="AB12" i="34"/>
  <c r="U12" i="34"/>
  <c r="W14" i="21"/>
  <c r="AC14" i="21"/>
  <c r="W12" i="35"/>
  <c r="AC12" i="35"/>
  <c r="H16" i="1"/>
  <c r="AZ296" i="3"/>
  <c r="AZ287" i="3"/>
  <c r="AZ209" i="3"/>
  <c r="AZ49" i="3"/>
  <c r="AZ102" i="3"/>
  <c r="AZ130" i="3"/>
  <c r="AZ218" i="3"/>
  <c r="T60" i="71"/>
  <c r="D60" i="71"/>
  <c r="AZ65" i="3"/>
  <c r="AZ77" i="3"/>
  <c r="AZ210" i="3"/>
  <c r="AZ491" i="3"/>
  <c r="AZ178" i="3"/>
  <c r="AZ408" i="3"/>
  <c r="AZ480" i="3"/>
  <c r="AB24" i="36"/>
  <c r="U24" i="36"/>
  <c r="W12" i="34"/>
  <c r="AC12" i="34"/>
  <c r="AC27" i="37"/>
  <c r="W27" i="37"/>
  <c r="U12" i="35"/>
  <c r="AB12" i="35"/>
  <c r="E14" i="6"/>
  <c r="AZ170" i="3"/>
  <c r="AZ285" i="3"/>
  <c r="AZ396" i="3"/>
  <c r="AZ52" i="3"/>
  <c r="AZ27" i="3"/>
  <c r="AZ397" i="3"/>
  <c r="AZ488" i="3"/>
  <c r="AZ201" i="3"/>
  <c r="AZ251" i="3"/>
  <c r="AZ223" i="3"/>
  <c r="AZ353" i="3"/>
  <c r="S12" i="36"/>
  <c r="AA12" i="36"/>
  <c r="AA27" i="21"/>
  <c r="S27" i="21"/>
  <c r="S36" i="39"/>
  <c r="AA36" i="39"/>
  <c r="AZ566" i="3"/>
  <c r="AA46" i="21"/>
  <c r="S46" i="21"/>
  <c r="J7" i="36"/>
  <c r="AC7" i="36" s="1"/>
  <c r="V36" i="36" s="1"/>
  <c r="I36" i="36" s="1"/>
  <c r="J7" i="37"/>
  <c r="G16" i="1"/>
  <c r="F10" i="39" s="1"/>
  <c r="AA10" i="39" s="1"/>
  <c r="AZ112" i="3"/>
  <c r="G5" i="3"/>
  <c r="B3" i="3" s="1"/>
  <c r="E442" i="3" s="1"/>
  <c r="AZ36" i="3"/>
  <c r="AZ5" i="3" s="1"/>
  <c r="AZ295" i="3"/>
  <c r="AZ482" i="3"/>
  <c r="AZ348" i="3"/>
  <c r="AZ31" i="3"/>
  <c r="C56" i="71"/>
  <c r="D55" i="71"/>
  <c r="AZ19" i="3"/>
  <c r="N65" i="71"/>
  <c r="N66" i="71"/>
  <c r="AZ282" i="3"/>
  <c r="AZ244" i="3"/>
  <c r="AZ70" i="3"/>
  <c r="AZ435" i="3"/>
  <c r="AB46" i="34"/>
  <c r="U46" i="34"/>
  <c r="W27" i="21"/>
  <c r="AC27" i="21"/>
  <c r="AC9" i="36"/>
  <c r="W9" i="36"/>
  <c r="AZ550" i="3"/>
  <c r="U36" i="39"/>
  <c r="AB36" i="39"/>
  <c r="U38" i="37"/>
  <c r="AB38" i="37"/>
  <c r="AB14" i="34"/>
  <c r="U14" i="34"/>
  <c r="U46" i="21"/>
  <c r="AB46" i="21"/>
  <c r="K1" i="73"/>
  <c r="E174" i="3"/>
  <c r="E356" i="3"/>
  <c r="E324" i="3"/>
  <c r="AH6" i="3"/>
  <c r="E463" i="3"/>
  <c r="E123" i="3"/>
  <c r="E138" i="3"/>
  <c r="E48" i="3"/>
  <c r="E163" i="3"/>
  <c r="E66" i="3"/>
  <c r="E224" i="3"/>
  <c r="E93" i="3"/>
  <c r="E319" i="3"/>
  <c r="E523" i="3"/>
  <c r="E321" i="3"/>
  <c r="E280" i="3"/>
  <c r="E481" i="3"/>
  <c r="E429" i="3"/>
  <c r="E334" i="3"/>
  <c r="E366" i="3"/>
  <c r="E294" i="3"/>
  <c r="E382" i="3"/>
  <c r="E336" i="3"/>
  <c r="E519" i="3"/>
  <c r="E31" i="3"/>
  <c r="AS6" i="3"/>
  <c r="E530" i="3"/>
  <c r="E343" i="3"/>
  <c r="E533" i="3"/>
  <c r="AR6" i="3"/>
  <c r="E503" i="3"/>
  <c r="E347" i="3"/>
  <c r="K6" i="3"/>
  <c r="E560" i="3"/>
  <c r="E146" i="3"/>
  <c r="E315" i="3"/>
  <c r="AO6" i="3"/>
  <c r="E273" i="3"/>
  <c r="E509" i="3"/>
  <c r="E247" i="3"/>
  <c r="E215" i="3"/>
  <c r="E189" i="3"/>
  <c r="E191" i="3"/>
  <c r="E263" i="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E51" i="40"/>
  <c r="E58" i="40"/>
  <c r="D5" i="43"/>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F41" i="67"/>
  <c r="C16" i="67"/>
  <c r="AE6" i="1"/>
  <c r="G1" i="73"/>
  <c r="E318" i="3" l="1"/>
  <c r="E448" i="3"/>
  <c r="E317" i="3"/>
  <c r="E58" i="3"/>
  <c r="E391" i="3"/>
  <c r="E275" i="3"/>
  <c r="E485" i="3"/>
  <c r="E528" i="3"/>
  <c r="E458" i="3"/>
  <c r="E252" i="3"/>
  <c r="E207" i="3"/>
  <c r="E460" i="3"/>
  <c r="E491" i="3"/>
  <c r="E119" i="3"/>
  <c r="E211" i="3"/>
  <c r="E399" i="3"/>
  <c r="E505" i="3"/>
  <c r="E551" i="3"/>
  <c r="E303" i="3"/>
  <c r="E136" i="3"/>
  <c r="E392" i="3"/>
  <c r="E199" i="3"/>
  <c r="E575" i="3"/>
  <c r="E417" i="3"/>
  <c r="E409" i="3"/>
  <c r="E67" i="3"/>
  <c r="E198" i="3"/>
  <c r="E235" i="3"/>
  <c r="E140" i="3"/>
  <c r="E451" i="3"/>
  <c r="E115" i="3"/>
  <c r="E342" i="3"/>
  <c r="E83" i="3"/>
  <c r="E493" i="3"/>
  <c r="E490" i="3"/>
  <c r="E40" i="3"/>
  <c r="E333" i="3"/>
  <c r="E455" i="3"/>
  <c r="E339" i="3"/>
  <c r="E147" i="3"/>
  <c r="E218" i="3"/>
  <c r="E398" i="3"/>
  <c r="E65" i="3"/>
  <c r="E421" i="3"/>
  <c r="E209" i="3"/>
  <c r="E582" i="3"/>
  <c r="E373" i="3"/>
  <c r="Y6" i="3"/>
  <c r="E167" i="3"/>
  <c r="E122" i="3"/>
  <c r="E532" i="3"/>
  <c r="E475" i="3"/>
  <c r="E397" i="3"/>
  <c r="E432" i="3"/>
  <c r="E502" i="3"/>
  <c r="E37" i="3"/>
  <c r="E467" i="3"/>
  <c r="E184" i="3"/>
  <c r="E332" i="3"/>
  <c r="E86" i="3"/>
  <c r="E197" i="3"/>
  <c r="E556" i="3"/>
  <c r="E243"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430" i="3"/>
  <c r="E258" i="3"/>
  <c r="E160" i="3"/>
  <c r="E68" i="3"/>
  <c r="AL6" i="3"/>
  <c r="E251" i="3"/>
  <c r="T6" i="3"/>
  <c r="E452" i="3"/>
  <c r="E428"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449" i="3"/>
  <c r="E241" i="3"/>
  <c r="E267" i="3"/>
  <c r="E63" i="3"/>
  <c r="E482" i="3"/>
  <c r="AF6" i="3"/>
  <c r="E405" i="3"/>
  <c r="E470" i="3"/>
  <c r="E412"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18" i="3"/>
  <c r="E554" i="3"/>
  <c r="E389" i="3"/>
  <c r="E309" i="3"/>
  <c r="E129" i="3"/>
  <c r="E308" i="3"/>
  <c r="E512" i="3"/>
  <c r="E26" i="3"/>
  <c r="E220" i="3"/>
  <c r="E158" i="3"/>
  <c r="E105" i="3"/>
  <c r="E422" i="3"/>
  <c r="E401" i="3"/>
  <c r="E276" i="3"/>
  <c r="E473" i="3"/>
  <c r="E234" i="3"/>
  <c r="E112" i="3"/>
  <c r="E539" i="3"/>
  <c r="AP6" i="3"/>
  <c r="E349" i="3"/>
  <c r="E371" i="3"/>
  <c r="E283" i="3"/>
  <c r="E18" i="3"/>
  <c r="E102" i="3"/>
  <c r="E469" i="3"/>
  <c r="E420"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351" i="3"/>
  <c r="E585" i="3"/>
  <c r="E447" i="3"/>
  <c r="E441" i="3"/>
  <c r="E410" i="3"/>
  <c r="E439" i="3"/>
  <c r="E361" i="3"/>
  <c r="E495" i="3"/>
  <c r="AK6" i="3"/>
  <c r="E465" i="3"/>
  <c r="E214" i="3"/>
  <c r="E327" i="3"/>
  <c r="E489" i="3"/>
  <c r="E109" i="3"/>
  <c r="E431" i="3"/>
  <c r="E387" i="3"/>
  <c r="E445" i="3"/>
  <c r="E385" i="3"/>
  <c r="E296" i="3"/>
  <c r="E369" i="3"/>
  <c r="E139" i="3"/>
  <c r="E536" i="3"/>
  <c r="E310" i="3"/>
  <c r="E248" i="3"/>
  <c r="E148" i="3"/>
  <c r="E135" i="3"/>
  <c r="E335" i="3"/>
  <c r="AJ6" i="3"/>
  <c r="E182" i="3"/>
  <c r="Z6" i="3"/>
  <c r="E106" i="3"/>
  <c r="E133" i="3"/>
  <c r="E124" i="3"/>
  <c r="E261" i="3"/>
  <c r="E270" i="3"/>
  <c r="E175" i="3"/>
  <c r="E414" i="3"/>
  <c r="E150" i="3"/>
  <c r="E193" i="3"/>
  <c r="E61" i="3"/>
  <c r="E358" i="3"/>
  <c r="E295" i="3"/>
  <c r="I6" i="3"/>
  <c r="Q6" i="3"/>
  <c r="E254" i="3"/>
  <c r="E390" i="3"/>
  <c r="E272" i="3"/>
  <c r="E14" i="3"/>
  <c r="E82" i="3"/>
  <c r="E374" i="3"/>
  <c r="E446" i="3"/>
  <c r="E552" i="3"/>
  <c r="E299" i="3"/>
  <c r="E440" i="3"/>
  <c r="E41" i="3"/>
  <c r="E494" i="3"/>
  <c r="E286" i="3"/>
  <c r="E200" i="3"/>
  <c r="E161" i="3"/>
  <c r="M6" i="3"/>
  <c r="E322" i="3"/>
  <c r="E70" i="3"/>
  <c r="E89" i="3"/>
  <c r="E454" i="3"/>
  <c r="E277" i="3"/>
  <c r="E350" i="3"/>
  <c r="E185" i="3"/>
  <c r="E143" i="3"/>
  <c r="E384" i="3"/>
  <c r="E478" i="3"/>
  <c r="E111" i="3"/>
  <c r="E45" i="3"/>
  <c r="E290" i="3"/>
  <c r="E151" i="3"/>
  <c r="E166" i="3"/>
  <c r="E32" i="3"/>
  <c r="E330" i="3"/>
  <c r="E221" i="3"/>
  <c r="E97" i="3"/>
  <c r="E126" i="3"/>
  <c r="E168" i="3"/>
  <c r="E127" i="3"/>
  <c r="E341" i="3"/>
  <c r="E500" i="3"/>
  <c r="E141" i="3"/>
  <c r="E38" i="3"/>
  <c r="E543" i="3"/>
  <c r="E497" i="3"/>
  <c r="E233" i="3"/>
  <c r="E100" i="3"/>
  <c r="E535" i="3"/>
  <c r="E570" i="3"/>
  <c r="E268" i="3"/>
  <c r="E28" i="3"/>
  <c r="E368" i="3"/>
  <c r="E468" i="3"/>
  <c r="E228" i="3"/>
  <c r="E301" i="3"/>
  <c r="E216" i="3"/>
  <c r="E337" i="3"/>
  <c r="E331" i="3"/>
  <c r="E515" i="3"/>
  <c r="E433" i="3"/>
  <c r="E314" i="3"/>
  <c r="E117" i="3"/>
  <c r="E229" i="3"/>
  <c r="E121" i="3"/>
  <c r="E580" i="3"/>
  <c r="E177" i="3"/>
  <c r="E302" i="3"/>
  <c r="E285" i="3"/>
  <c r="E92" i="3"/>
  <c r="E471" i="3"/>
  <c r="E187" i="3"/>
  <c r="E584" i="3"/>
  <c r="E312" i="3"/>
  <c r="E365" i="3"/>
  <c r="E15" i="3"/>
  <c r="E393" i="3"/>
  <c r="E408" i="3"/>
  <c r="E84" i="3"/>
  <c r="E378" i="3"/>
  <c r="E142" i="3"/>
  <c r="E131" i="3"/>
  <c r="E94" i="3"/>
  <c r="E219" i="3"/>
  <c r="X6" i="3"/>
  <c r="E563" i="3"/>
  <c r="E514" i="3"/>
  <c r="E526" i="3"/>
  <c r="E557" i="3"/>
  <c r="E227" i="3"/>
  <c r="E577" i="3"/>
  <c r="E181" i="3"/>
  <c r="E134" i="3"/>
  <c r="E231" i="3"/>
  <c r="E388" i="3"/>
  <c r="E186" i="3"/>
  <c r="E271" i="3"/>
  <c r="E450" i="3"/>
  <c r="E85" i="3"/>
  <c r="E415" i="3"/>
  <c r="E239" i="3"/>
  <c r="E581" i="3"/>
  <c r="E203" i="3"/>
  <c r="E434" i="3"/>
  <c r="E304" i="3"/>
  <c r="E328" i="3"/>
  <c r="E547" i="3"/>
  <c r="E537" i="3"/>
  <c r="E154" i="3"/>
  <c r="E297" i="3"/>
  <c r="E244" i="3"/>
  <c r="E176" i="3"/>
  <c r="L6" i="3"/>
  <c r="E16" i="3"/>
  <c r="E173" i="3"/>
  <c r="E64" i="3"/>
  <c r="E487" i="3"/>
  <c r="E483" i="3"/>
  <c r="E246" i="3"/>
  <c r="E278" i="3"/>
  <c r="E311" i="3"/>
  <c r="E217" i="3"/>
  <c r="E345" i="3"/>
  <c r="E74" i="3"/>
  <c r="E587" i="3"/>
  <c r="E568" i="3"/>
  <c r="E91" i="3"/>
  <c r="E380" i="3"/>
  <c r="E508" i="3"/>
  <c r="E162" i="3"/>
  <c r="E269" i="3"/>
  <c r="E571" i="3"/>
  <c r="E253" i="3"/>
  <c r="E130" i="3"/>
  <c r="E282" i="3"/>
  <c r="E443" i="3"/>
  <c r="E55" i="3"/>
  <c r="E156" i="3"/>
  <c r="E169" i="3"/>
  <c r="E153" i="3"/>
  <c r="E548" i="3"/>
  <c r="E474" i="3"/>
  <c r="E87" i="3"/>
  <c r="E464" i="3"/>
  <c r="E24" i="3"/>
  <c r="E62" i="3"/>
  <c r="E346" i="3"/>
  <c r="E326" i="3"/>
  <c r="E22" i="3"/>
  <c r="E59" i="3"/>
  <c r="E240" i="3"/>
  <c r="E242" i="3"/>
  <c r="E423" i="3"/>
  <c r="E69" i="3"/>
  <c r="E201" i="3"/>
  <c r="E377" i="3"/>
  <c r="E400" i="3"/>
  <c r="E362" i="3"/>
  <c r="E472" i="3"/>
  <c r="E77" i="3"/>
  <c r="E180" i="3"/>
  <c r="E561" i="3"/>
  <c r="E305" i="3"/>
  <c r="E27" i="3"/>
  <c r="E567" i="3"/>
  <c r="E527" i="3"/>
  <c r="E583" i="3"/>
  <c r="E230" i="3"/>
  <c r="E553" i="3"/>
  <c r="P6" i="3"/>
  <c r="E496" i="3"/>
  <c r="AA6" i="3"/>
  <c r="E298" i="3"/>
  <c r="E501" i="3"/>
  <c r="E411" i="3"/>
  <c r="E313" i="3"/>
  <c r="AD6" i="3"/>
  <c r="AC6" i="3" s="1"/>
  <c r="E149" i="3"/>
  <c r="E521" i="3"/>
  <c r="E340" i="3"/>
  <c r="E108" i="3"/>
  <c r="E49" i="3"/>
  <c r="E34" i="3"/>
  <c r="E95" i="3"/>
  <c r="D26" i="43"/>
  <c r="C25" i="43" s="1"/>
  <c r="C33" i="43" s="1"/>
  <c r="Q52" i="67"/>
  <c r="E16" i="6"/>
  <c r="S10" i="39"/>
  <c r="H10" i="40"/>
  <c r="AB10" i="40" s="1"/>
  <c r="F10" i="40"/>
  <c r="S10" i="40" s="1"/>
  <c r="H10" i="39"/>
  <c r="U10" i="39" s="1"/>
  <c r="E61" i="39"/>
  <c r="J10" i="39"/>
  <c r="W10" i="39" s="1"/>
  <c r="K16" i="1"/>
  <c r="Q74" i="67"/>
  <c r="F27" i="68"/>
  <c r="F45" i="68" s="1"/>
  <c r="F27" i="11"/>
  <c r="C29" i="11" s="1"/>
  <c r="D27" i="11" s="1"/>
  <c r="F28" i="12"/>
  <c r="C29" i="12" s="1"/>
  <c r="D28" i="12" s="1"/>
  <c r="K26" i="6"/>
  <c r="M26" i="6" s="1"/>
  <c r="I26" i="6" s="1"/>
  <c r="S26" i="6" s="1"/>
  <c r="J10" i="40"/>
  <c r="AC10" i="40" s="1"/>
  <c r="J5" i="67"/>
  <c r="J24" i="67" s="1"/>
  <c r="J5" i="15"/>
  <c r="J24" i="15" s="1"/>
  <c r="F45" i="69"/>
  <c r="C29" i="69"/>
  <c r="D27" i="69" s="1"/>
  <c r="Q60" i="67"/>
  <c r="F67" i="39"/>
  <c r="W7" i="36"/>
  <c r="AY6" i="3"/>
  <c r="AY176" i="3" s="1"/>
  <c r="E3" i="6"/>
  <c r="E6" i="6" s="1"/>
  <c r="E525" i="3"/>
  <c r="E113" i="3"/>
  <c r="E383" i="3"/>
  <c r="E42" i="3"/>
  <c r="E513" i="3"/>
  <c r="E355" i="3"/>
  <c r="E492" i="3"/>
  <c r="E46" i="3"/>
  <c r="E544" i="3"/>
  <c r="E152" i="3"/>
  <c r="E517" i="3"/>
  <c r="E466" i="3"/>
  <c r="E212" i="3"/>
  <c r="D36" i="71"/>
  <c r="T36" i="71"/>
  <c r="T32" i="71"/>
  <c r="D32" i="71"/>
  <c r="E264" i="3"/>
  <c r="E144" i="3"/>
  <c r="E300" i="3"/>
  <c r="E425" i="3"/>
  <c r="E363" i="3"/>
  <c r="E56" i="3"/>
  <c r="I3" i="6"/>
  <c r="R6" i="3"/>
  <c r="E510" i="3"/>
  <c r="E63" i="39"/>
  <c r="E59" i="40"/>
  <c r="E30" i="6"/>
  <c r="E31" i="6" s="1"/>
  <c r="E225" i="3"/>
  <c r="E13" i="3"/>
  <c r="E456" i="3"/>
  <c r="E205" i="3"/>
  <c r="E206" i="3"/>
  <c r="E96" i="3"/>
  <c r="E281" i="3"/>
  <c r="E81" i="3"/>
  <c r="E33" i="3"/>
  <c r="E249" i="3"/>
  <c r="E484" i="3"/>
  <c r="E292" i="3"/>
  <c r="E479" i="3"/>
  <c r="E255" i="3"/>
  <c r="E499" i="3"/>
  <c r="D56" i="71"/>
  <c r="T56" i="71"/>
  <c r="D44" i="71"/>
  <c r="T44" i="71"/>
  <c r="E78" i="3"/>
  <c r="E104" i="3"/>
  <c r="E360" i="3"/>
  <c r="E534" i="3"/>
  <c r="E287" i="3"/>
  <c r="E522" i="3"/>
  <c r="E75" i="3"/>
  <c r="E21" i="3"/>
  <c r="E381" i="3"/>
  <c r="E23" i="3"/>
  <c r="E103" i="3"/>
  <c r="E76" i="3"/>
  <c r="E192" i="3"/>
  <c r="E435" i="3"/>
  <c r="E541" i="3"/>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371" i="3"/>
  <c r="AY300" i="3"/>
  <c r="AY76" i="3"/>
  <c r="AY374" i="3"/>
  <c r="AY316" i="3"/>
  <c r="AY75" i="3"/>
  <c r="AY126" i="3"/>
  <c r="AY525" i="3"/>
  <c r="AY343" i="3"/>
  <c r="AY88" i="3"/>
  <c r="AY96" i="3"/>
  <c r="AY442" i="3"/>
  <c r="AY127" i="3"/>
  <c r="AY179" i="3"/>
  <c r="AY122" i="3"/>
  <c r="AY347" i="3"/>
  <c r="AY250" i="3"/>
  <c r="AY451" i="3"/>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67"/>
  <c r="M27" i="15"/>
  <c r="F41" i="15"/>
  <c r="C47" i="11" l="1"/>
  <c r="D45" i="11" s="1"/>
  <c r="U10" i="40"/>
  <c r="AB10" i="39"/>
  <c r="H6" i="3"/>
  <c r="E6" i="3" s="1"/>
  <c r="M18" i="9"/>
  <c r="B118" i="9" s="1"/>
  <c r="B1" i="74" s="1"/>
  <c r="D14" i="12"/>
  <c r="D17" i="12" s="1"/>
  <c r="C17" i="12" s="1"/>
  <c r="AC10" i="39"/>
  <c r="C17" i="4"/>
  <c r="B4" i="52" s="1"/>
  <c r="B43" i="72" s="1"/>
  <c r="D3" i="21"/>
  <c r="D19" i="11"/>
  <c r="C19" i="11" s="1"/>
  <c r="D3" i="34"/>
  <c r="D3" i="37"/>
  <c r="D37" i="11"/>
  <c r="D3" i="33"/>
  <c r="AY408" i="3"/>
  <c r="AY396" i="3"/>
  <c r="AY330" i="3"/>
  <c r="AY298" i="3"/>
  <c r="AY148" i="3"/>
  <c r="AY285" i="3"/>
  <c r="AY426" i="3"/>
  <c r="AY65" i="3"/>
  <c r="AY72" i="3"/>
  <c r="AY326" i="3"/>
  <c r="AY516" i="3"/>
  <c r="AY117" i="3"/>
  <c r="AY237" i="3"/>
  <c r="AY491" i="3"/>
  <c r="AY357" i="3"/>
  <c r="AY60" i="3"/>
  <c r="AY245" i="3"/>
  <c r="AY366" i="3"/>
  <c r="W10" i="40"/>
  <c r="AY583" i="3"/>
  <c r="BC6" i="3"/>
  <c r="AY78" i="3"/>
  <c r="AY552" i="3"/>
  <c r="AY455" i="3"/>
  <c r="AY53" i="3"/>
  <c r="AY388" i="3"/>
  <c r="AY262" i="3"/>
  <c r="BE6" i="3"/>
  <c r="AY460" i="3"/>
  <c r="AY151" i="3"/>
  <c r="AY30" i="3"/>
  <c r="AY587" i="3"/>
  <c r="AY328" i="3"/>
  <c r="AY270" i="3"/>
  <c r="AY340" i="3"/>
  <c r="BG6" i="3"/>
  <c r="AY58" i="3"/>
  <c r="AY477" i="3"/>
  <c r="AY545" i="3"/>
  <c r="AY375" i="3"/>
  <c r="AY575" i="3"/>
  <c r="AY490" i="3"/>
  <c r="AY437" i="3"/>
  <c r="AY570" i="3"/>
  <c r="AY380" i="3"/>
  <c r="AY406" i="3"/>
  <c r="AY162" i="3"/>
  <c r="AY132" i="3"/>
  <c r="AY130" i="3"/>
  <c r="AY535" i="3"/>
  <c r="AY561" i="3"/>
  <c r="AY114" i="3"/>
  <c r="AY299" i="3"/>
  <c r="AY513" i="3"/>
  <c r="AY252" i="3"/>
  <c r="AY42" i="3"/>
  <c r="AY301" i="3"/>
  <c r="AY567" i="3"/>
  <c r="AY203" i="3"/>
  <c r="AY511" i="3"/>
  <c r="AY91" i="3"/>
  <c r="AY46" i="3"/>
  <c r="AY312" i="3"/>
  <c r="AY543" i="3"/>
  <c r="AY238" i="3"/>
  <c r="AY412" i="3"/>
  <c r="AY308" i="3"/>
  <c r="AY68" i="3"/>
  <c r="AY16" i="3"/>
  <c r="AY377" i="3"/>
  <c r="AY246" i="3"/>
  <c r="AY553" i="3"/>
  <c r="AY428" i="3"/>
  <c r="AY168" i="3"/>
  <c r="AY307" i="3"/>
  <c r="AY551" i="3"/>
  <c r="AY208" i="3"/>
  <c r="AY564" i="3"/>
  <c r="AY306" i="3"/>
  <c r="AY424" i="3"/>
  <c r="BR6" i="3"/>
  <c r="AY223" i="3"/>
  <c r="AY438" i="3"/>
  <c r="AY193" i="3"/>
  <c r="AY191" i="3"/>
  <c r="AY150" i="3"/>
  <c r="AY404" i="3"/>
  <c r="AY585" i="3"/>
  <c r="AY145" i="3"/>
  <c r="AY125" i="3"/>
  <c r="AY401" i="3"/>
  <c r="AY284" i="3"/>
  <c r="AY59" i="3"/>
  <c r="AY164" i="3"/>
  <c r="AY434" i="3"/>
  <c r="AY39" i="3"/>
  <c r="AY492" i="3"/>
  <c r="AY224" i="3"/>
  <c r="AY362" i="3"/>
  <c r="AY14" i="3"/>
  <c r="AY137" i="3"/>
  <c r="AY370" i="3"/>
  <c r="AY105" i="3"/>
  <c r="AY496" i="3"/>
  <c r="AY365" i="3"/>
  <c r="AY269" i="3"/>
  <c r="AY414" i="3"/>
  <c r="AY41" i="3"/>
  <c r="AY170" i="3"/>
  <c r="AY342" i="3"/>
  <c r="AY139" i="3"/>
  <c r="AY207" i="3"/>
  <c r="AY200" i="3"/>
  <c r="AY445" i="3"/>
  <c r="AY102" i="3"/>
  <c r="AY304" i="3"/>
  <c r="AY256" i="3"/>
  <c r="AY376" i="3"/>
  <c r="AY499" i="3"/>
  <c r="AY169" i="3"/>
  <c r="AY215" i="3"/>
  <c r="AY539" i="3"/>
  <c r="AY556" i="3"/>
  <c r="AY389" i="3"/>
  <c r="AY199" i="3"/>
  <c r="AY430" i="3"/>
  <c r="AY73" i="3"/>
  <c r="AY185" i="3"/>
  <c r="AY327" i="3"/>
  <c r="AY160" i="3"/>
  <c r="AY23" i="3"/>
  <c r="AA10" i="40"/>
  <c r="C47" i="68"/>
  <c r="D45" i="68" s="1"/>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D24" i="6" s="1"/>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E65" i="39"/>
  <c r="C29" i="68"/>
  <c r="D27" i="68" s="1"/>
  <c r="G54" i="34"/>
  <c r="H54" i="34" s="1"/>
  <c r="I46" i="37"/>
  <c r="J46" i="37" s="1"/>
  <c r="F22" i="69"/>
  <c r="F41" i="69" s="1"/>
  <c r="F24" i="15"/>
  <c r="C24" i="15" s="1"/>
  <c r="F25" i="12"/>
  <c r="C26" i="12" s="1"/>
  <c r="D25" i="12" s="1"/>
  <c r="F22" i="68"/>
  <c r="C26" i="68" s="1"/>
  <c r="D22" i="68" s="1"/>
  <c r="F22" i="11"/>
  <c r="C44" i="11" s="1"/>
  <c r="D41" i="11" s="1"/>
  <c r="F24" i="67"/>
  <c r="C24" i="67"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6" i="6"/>
  <c r="D8" i="6"/>
  <c r="D14" i="6"/>
  <c r="D6" i="6"/>
  <c r="D9" i="6"/>
  <c r="D29" i="6"/>
  <c r="H24" i="6"/>
  <c r="C18" i="4"/>
  <c r="D23"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D19" i="6" l="1"/>
  <c r="M19" i="9"/>
  <c r="C118" i="9" s="1"/>
  <c r="B2" i="74" s="1"/>
  <c r="D30" i="6"/>
  <c r="H25" i="6"/>
  <c r="R25" i="6" s="1"/>
  <c r="R12" i="1" s="1"/>
  <c r="D12" i="6"/>
  <c r="L19" i="9"/>
  <c r="D20" i="6"/>
  <c r="D5" i="6"/>
  <c r="D10" i="6"/>
  <c r="D16" i="6" s="1"/>
  <c r="H21" i="6"/>
  <c r="R21" i="6" s="1"/>
  <c r="R8" i="1" s="1"/>
  <c r="H22" i="6"/>
  <c r="R22" i="6" s="1"/>
  <c r="R9" i="1" s="1"/>
  <c r="C26" i="11"/>
  <c r="D22" i="11" s="1"/>
  <c r="C44" i="69"/>
  <c r="D41" i="69" s="1"/>
  <c r="C26" i="69"/>
  <c r="D22" i="69" s="1"/>
  <c r="C44" i="68"/>
  <c r="D41" i="68" s="1"/>
  <c r="F41" i="68"/>
  <c r="C24" i="11"/>
  <c r="C23" i="11"/>
  <c r="C25" i="11"/>
  <c r="C16" i="71"/>
  <c r="D17" i="71"/>
  <c r="C18" i="67"/>
  <c r="C15" i="67"/>
  <c r="H23" i="6"/>
  <c r="R23" i="6" s="1"/>
  <c r="R10" i="1" s="1"/>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R24" i="6"/>
  <c r="R11"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18" i="12"/>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30" i="12"/>
  <c r="C28"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C25" i="68" l="1"/>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C20" i="9"/>
  <c r="L51" i="67"/>
  <c r="Q69" i="15" l="1"/>
  <c r="Q68" i="15" s="1"/>
  <c r="H39" i="15"/>
  <c r="C103" i="9"/>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11" i="1"/>
  <c r="AO7"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K24" i="9"/>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H4" i="52" s="1"/>
  <c r="D119" i="9" l="1"/>
  <c r="D5" i="52" s="1"/>
  <c r="B49" i="72" s="1"/>
  <c r="I118" i="9"/>
  <c r="G118" i="9"/>
  <c r="G4" i="52" s="1"/>
  <c r="B52" i="72" s="1"/>
  <c r="F4" i="52"/>
  <c r="B51" i="72" s="1"/>
  <c r="C104" i="9"/>
  <c r="H119" i="9"/>
  <c r="H5" i="52" s="1"/>
  <c r="H101" i="9"/>
  <c r="D14" i="74" s="1"/>
  <c r="G14" i="74" s="1"/>
  <c r="B6" i="74" s="1"/>
  <c r="D6" i="74" s="1"/>
  <c r="F14" i="74" l="1"/>
  <c r="E14" i="74"/>
  <c r="B5" i="74"/>
  <c r="D5" i="74" s="1"/>
  <c r="C105" i="9"/>
  <c r="I4" i="52"/>
  <c r="H102" i="9"/>
  <c r="E118" i="9"/>
  <c r="E4" i="52" s="1"/>
  <c r="B48" i="72" s="1"/>
  <c r="D45" i="9"/>
  <c r="M48" i="9"/>
  <c r="D5" i="53"/>
  <c r="H107" i="9"/>
  <c r="C64" i="9" l="1"/>
  <c r="C63" i="9" s="1"/>
  <c r="C67" i="9" s="1"/>
  <c r="C72" i="9"/>
  <c r="C85" i="9"/>
  <c r="C78" i="9"/>
  <c r="C73" i="9" s="1"/>
  <c r="D55" i="9"/>
  <c r="M53" i="9" s="1"/>
  <c r="C93" i="9"/>
  <c r="C86" i="9" s="1"/>
  <c r="D53" i="9"/>
  <c r="D52" i="9"/>
  <c r="M49" i="9"/>
  <c r="D122" i="9"/>
  <c r="H108" i="9"/>
  <c r="D13" i="53"/>
  <c r="B20" i="72"/>
  <c r="D6" i="53"/>
  <c r="B22" i="72" s="1"/>
  <c r="C5" i="74"/>
  <c r="D7" i="53"/>
  <c r="B21" i="72" s="1"/>
  <c r="C95" i="9" l="1"/>
  <c r="B30" i="72"/>
  <c r="D14" i="53"/>
  <c r="B32" i="72" s="1"/>
  <c r="D15" i="53"/>
  <c r="B31" i="72" s="1"/>
  <c r="C6" i="74"/>
  <c r="D123" i="9"/>
  <c r="D9" i="52" s="1"/>
  <c r="D8" i="52"/>
  <c r="C79" i="9"/>
  <c r="L66" i="9"/>
  <c r="M66" i="9" s="1"/>
  <c r="L65" i="9"/>
  <c r="M65" i="9" s="1"/>
  <c r="L63" i="9"/>
  <c r="M63" i="9" s="1"/>
  <c r="L68" i="9"/>
  <c r="M68" i="9" s="1"/>
  <c r="L64" i="9"/>
  <c r="M64" i="9" s="1"/>
  <c r="L67" i="9"/>
  <c r="M67" i="9" s="1"/>
  <c r="C68" i="9"/>
  <c r="D54" i="9" s="1"/>
  <c r="D59" i="9"/>
  <c r="M55" i="9" s="1"/>
  <c r="C96" i="9" l="1"/>
  <c r="E96" i="9" s="1"/>
  <c r="E97" i="9" s="1"/>
  <c r="M69" i="9"/>
  <c r="N69" i="9" s="1"/>
  <c r="C80" i="9"/>
  <c r="E80" i="9" s="1"/>
  <c r="E81" i="9" s="1"/>
  <c r="C97" i="9" l="1"/>
  <c r="D58" i="9" s="1"/>
  <c r="D56" i="9" s="1"/>
  <c r="M54" i="9" s="1"/>
  <c r="N57" i="9" s="1"/>
  <c r="N58" i="9" s="1"/>
  <c r="C81" i="9"/>
  <c r="P57" i="9" l="1"/>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<sst xmlns="http://schemas.openxmlformats.org/spreadsheetml/2006/main" count="7840" uniqueCount="3437">
  <si>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</si>
  <si>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</si>
  <si>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</si>
  <si>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</si>
  <si>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</si>
  <si>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</si>
  <si>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</si>
  <si>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</si>
  <si>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</si>
  <si>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</si>
  <si>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</si>
  <si>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</si>
  <si>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</si>
  <si>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</si>
  <si>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</si>
  <si>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</si>
  <si>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</si>
  <si>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</si>
  <si>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</si>
  <si>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</si>
  <si>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</si>
  <si>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</si>
  <si>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</si>
  <si>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</si>
  <si>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</si>
  <si>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</si>
  <si>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</si>
  <si>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</si>
  <si>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</si>
  <si>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</si>
  <si>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</si>
  <si>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</si>
  <si>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</si>
  <si>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</si>
  <si>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</si>
  <si>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</si>
  <si>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</si>
  <si>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</si>
  <si>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</si>
  <si>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</si>
  <si>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</si>
  <si>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</si>
  <si>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</si>
  <si>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</si>
  <si>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</si>
  <si>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</si>
  <si>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</si>
  <si>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</si>
  <si>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</si>
  <si>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</si>
  <si>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</si>
  <si>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</si>
  <si>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</si>
  <si>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</si>
  <si>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</si>
  <si>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</si>
  <si>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</si>
  <si>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</si>
  <si>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</si>
  <si>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</si>
  <si>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</si>
  <si>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</si>
  <si>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</si>
  <si>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</si>
  <si>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</si>
  <si>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</si>
  <si>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</si>
  <si>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</si>
  <si>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</si>
  <si>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</si>
  <si>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</si>
  <si>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</si>
  <si>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</si>
  <si>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</si>
  <si>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</si>
  <si>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</si>
  <si>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</si>
  <si>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</si>
  <si>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</si>
  <si>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</si>
  <si>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</si>
  <si>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</si>
  <si>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</si>
  <si>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</si>
  <si>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</si>
  <si>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</si>
  <si>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</si>
  <si>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</si>
  <si>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</si>
  <si>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</si>
  <si>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</si>
  <si>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</si>
  <si>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</si>
  <si>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</si>
  <si>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</si>
  <si>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</si>
  <si>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</si>
  <si>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</si>
  <si>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</si>
  <si>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</si>
  <si>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</si>
  <si>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</si>
  <si>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</si>
  <si>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</si>
  <si>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</si>
  <si>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</si>
  <si>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</si>
  <si>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</si>
  <si>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</si>
  <si>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</si>
  <si>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</si>
  <si>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</si>
  <si>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</si>
  <si>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</si>
  <si>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</si>
  <si>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</si>
  <si>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</si>
  <si>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</si>
  <si>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</si>
  <si>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</si>
  <si>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</si>
  <si>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</si>
  <si>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</si>
  <si>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</si>
  <si>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</si>
  <si>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</si>
  <si>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</si>
  <si>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</si>
  <si>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</si>
  <si>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</si>
  <si>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</si>
  <si>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</si>
  <si>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</si>
  <si>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</si>
  <si>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</si>
  <si>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</si>
  <si>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</si>
  <si>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</si>
  <si>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</si>
  <si>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</si>
  <si>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</si>
  <si>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</si>
  <si>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</si>
  <si>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</si>
  <si>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</si>
  <si>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</si>
  <si>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</si>
  <si>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</si>
  <si>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</si>
  <si>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</si>
  <si>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</si>
  <si>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</si>
  <si>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</si>
  <si>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</si>
  <si>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</si>
  <si>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</si>
  <si>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</si>
  <si>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</si>
  <si>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</si>
  <si>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</si>
  <si>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</si>
  <si>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</si>
  <si>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</si>
  <si>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</si>
  <si>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</si>
  <si>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</si>
  <si>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</si>
  <si>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</si>
  <si>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</si>
  <si>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</si>
  <si>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</si>
  <si>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</si>
  <si>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</si>
  <si>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</si>
  <si>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</si>
  <si>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</si>
  <si>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</si>
  <si>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</si>
  <si>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</si>
  <si>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</si>
  <si>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</si>
  <si>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</si>
  <si>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</si>
  <si>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</si>
  <si>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</si>
  <si>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</si>
  <si>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</si>
  <si>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</si>
  <si>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</si>
  <si>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</si>
  <si>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</si>
  <si>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</si>
  <si>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</si>
  <si>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</si>
  <si>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</si>
  <si>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</si>
  <si>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</si>
  <si>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</si>
  <si>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</si>
  <si>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</si>
  <si>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</si>
  <si>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</si>
  <si>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</si>
  <si>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</si>
  <si>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</si>
  <si>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</si>
  <si>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</si>
  <si>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</si>
  <si>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</si>
  <si>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</si>
  <si>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</si>
  <si>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</si>
  <si>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</si>
  <si>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</si>
  <si>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</si>
  <si>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</si>
  <si>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</si>
  <si>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</si>
  <si>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</si>
  <si>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</si>
  <si>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</si>
  <si>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</si>
  <si>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</si>
  <si>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</si>
  <si>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</si>
  <si>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</si>
  <si>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</si>
  <si>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</si>
  <si>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</si>
  <si>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</si>
  <si>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</si>
  <si>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</si>
  <si>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</si>
  <si>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</si>
  <si>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</si>
  <si>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</si>
  <si>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</si>
  <si>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</si>
  <si>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</si>
  <si>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</si>
  <si>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</si>
  <si>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</si>
  <si>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</si>
  <si>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</si>
  <si>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</si>
  <si>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</si>
  <si>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</si>
  <si>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</si>
  <si>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</si>
  <si>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</si>
  <si>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</si>
  <si>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</si>
  <si>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</si>
  <si>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</si>
  <si>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</si>
  <si>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</si>
  <si>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</si>
  <si>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</si>
  <si>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</si>
  <si>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</si>
  <si>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</si>
  <si>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</si>
  <si>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</si>
  <si>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</si>
  <si>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</si>
  <si>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</si>
  <si>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</si>
  <si>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</si>
  <si>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</si>
  <si>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</si>
  <si>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</si>
  <si>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</si>
  <si>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</si>
  <si>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</si>
  <si>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</si>
  <si>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</si>
  <si>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</si>
  <si>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</si>
  <si>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</si>
  <si>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</si>
  <si>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</si>
  <si>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</si>
  <si>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</si>
  <si>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</si>
  <si>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</si>
  <si>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</si>
  <si>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</si>
  <si>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</si>
  <si>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</si>
  <si>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</si>
  <si>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</si>
  <si>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</si>
  <si>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</si>
  <si>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</si>
  <si>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</si>
  <si>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</si>
  <si>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</si>
  <si>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</si>
  <si>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</si>
  <si>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</si>
  <si>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</si>
  <si>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</si>
  <si>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</si>
  <si>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</si>
  <si>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</si>
  <si>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</si>
  <si>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</si>
  <si>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</si>
  <si>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</si>
  <si>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</si>
  <si>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</si>
  <si>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</si>
  <si>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</si>
  <si>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</si>
  <si>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</si>
  <si>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</si>
  <si>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</si>
  <si>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</si>
  <si>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</si>
  <si>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</si>
  <si>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</si>
  <si>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</si>
  <si>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</si>
  <si>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</si>
  <si>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</si>
  <si>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</si>
  <si>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</si>
  <si>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</si>
  <si>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</si>
  <si>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</si>
  <si>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</si>
  <si>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</si>
  <si>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</si>
  <si>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</si>
  <si>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</si>
  <si>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</si>
  <si>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</si>
  <si>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</si>
  <si>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</si>
  <si>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</si>
  <si>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</si>
  <si>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</si>
  <si>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</si>
  <si>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</si>
  <si>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</si>
  <si>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</si>
  <si>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</si>
  <si>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</si>
  <si>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</si>
  <si>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</si>
  <si>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</si>
  <si>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</si>
  <si>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</si>
  <si>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</si>
  <si>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</si>
  <si>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</si>
  <si>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</si>
  <si>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</si>
  <si>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</si>
  <si>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</si>
  <si>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</si>
  <si>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</si>
  <si>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</si>
  <si>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</si>
  <si>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</si>
  <si>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</si>
  <si>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</si>
  <si>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</si>
  <si>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</si>
  <si>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</si>
  <si>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</si>
  <si>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</si>
  <si>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</si>
  <si>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</si>
  <si>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</si>
  <si>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</si>
  <si>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</si>
  <si>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</si>
  <si>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</si>
  <si>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</si>
  <si>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</si>
  <si>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</si>
  <si>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</si>
  <si>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</si>
  <si>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</si>
  <si>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</si>
  <si>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</si>
  <si>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</si>
  <si>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</si>
  <si>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</si>
  <si>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</si>
  <si>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</si>
  <si>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</si>
  <si>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</si>
  <si>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</si>
  <si>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</si>
  <si>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</si>
  <si>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</si>
  <si>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</si>
  <si>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</si>
  <si>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</si>
  <si>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</si>
  <si>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</si>
  <si>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</si>
  <si>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</si>
  <si>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</si>
  <si>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</si>
  <si>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</si>
  <si>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</si>
  <si>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</si>
  <si>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</si>
  <si>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</si>
  <si>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</si>
  <si>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</si>
  <si>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</si>
  <si>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</si>
  <si>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</si>
  <si>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</si>
  <si>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</si>
  <si>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</si>
  <si>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</si>
  <si>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</si>
  <si>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</si>
  <si>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</si>
  <si>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</si>
  <si>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</si>
  <si>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</si>
  <si>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</si>
  <si>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</si>
  <si>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</si>
  <si>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</si>
  <si>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</si>
  <si>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</si>
  <si>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</si>
  <si>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</si>
  <si>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</si>
  <si>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</si>
  <si>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</si>
  <si>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</si>
  <si>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</si>
  <si>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</si>
  <si>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</si>
  <si>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</si>
  <si>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</si>
  <si>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</si>
  <si>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</si>
  <si>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</si>
  <si>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</si>
  <si>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</si>
  <si>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</si>
  <si>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</si>
  <si>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</si>
  <si>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</si>
  <si>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</si>
  <si>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</si>
  <si>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</si>
  <si>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</si>
  <si>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</si>
  <si>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</si>
  <si>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</si>
  <si>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</si>
  <si>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</si>
  <si>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</si>
  <si>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</si>
  <si>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</si>
  <si>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</si>
  <si>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</si>
  <si>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</si>
  <si>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</si>
  <si>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</si>
  <si>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</si>
  <si>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</si>
  <si>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</si>
  <si>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</si>
  <si>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</si>
  <si>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</si>
  <si>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</si>
  <si>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</si>
  <si>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</si>
  <si>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</si>
  <si>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</si>
  <si>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</si>
  <si>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</si>
  <si>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</si>
  <si>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</si>
  <si>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</si>
  <si>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</si>
  <si>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</si>
  <si>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</si>
  <si>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</si>
  <si>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</si>
  <si>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</si>
  <si>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</si>
  <si>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</si>
  <si>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</si>
  <si>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</si>
  <si>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</si>
  <si>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</si>
  <si>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</si>
  <si>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</si>
  <si>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</si>
  <si>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</si>
  <si>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</si>
  <si>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</si>
  <si>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</si>
  <si>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</si>
  <si>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</si>
  <si>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</si>
  <si>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</si>
  <si>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</si>
  <si>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</si>
  <si>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</si>
  <si>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</si>
  <si>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</si>
  <si>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</si>
  <si>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</si>
  <si>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</si>
  <si>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</si>
  <si>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</si>
  <si>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</si>
  <si>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</si>
  <si>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</si>
  <si>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</si>
  <si>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</si>
  <si>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</si>
  <si>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</si>
  <si>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</si>
  <si>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</si>
  <si>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</si>
  <si>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</si>
  <si>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</si>
  <si>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</si>
  <si>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</si>
  <si>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</si>
  <si>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</si>
  <si>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</si>
  <si>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</si>
  <si>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</si>
  <si>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</si>
  <si>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</si>
  <si>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</si>
  <si>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</si>
  <si>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</si>
  <si>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</si>
  <si>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</si>
  <si>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</si>
  <si>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</si>
  <si>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</si>
  <si>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</si>
  <si>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</si>
  <si>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</si>
  <si>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</si>
  <si>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</si>
  <si>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</si>
  <si>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</si>
  <si>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</si>
  <si>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</si>
  <si>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</si>
  <si>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</si>
  <si>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</si>
  <si>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</si>
  <si>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</si>
  <si>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</si>
  <si>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</si>
  <si>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</si>
  <si>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</si>
  <si>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</si>
  <si>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</si>
  <si>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</si>
  <si>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</si>
  <si>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</si>
  <si>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</si>
  <si>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</si>
  <si>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</si>
  <si>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</si>
  <si>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</si>
  <si>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</si>
  <si>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</si>
  <si>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</si>
  <si>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</si>
  <si>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</si>
  <si>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</si>
  <si>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</si>
  <si>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</si>
  <si>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</si>
  <si>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</si>
  <si>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</si>
  <si>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</si>
  <si>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</si>
  <si>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</si>
  <si>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</si>
  <si>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</si>
  <si>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</si>
  <si>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</si>
  <si>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</si>
  <si>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</si>
  <si>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</si>
  <si>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</si>
  <si>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</si>
  <si>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</si>
  <si>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</si>
  <si>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</si>
  <si>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</si>
  <si>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</si>
  <si>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</si>
  <si>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</si>
  <si>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</si>
  <si>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</si>
  <si>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</si>
  <si>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</si>
  <si>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</si>
  <si>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</si>
  <si>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</si>
  <si>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</si>
  <si>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</si>
  <si>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</si>
  <si>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</si>
  <si>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</si>
  <si>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</si>
  <si>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</si>
  <si>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</si>
  <si>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</si>
  <si>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</si>
  <si>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</si>
  <si>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</si>
  <si>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</si>
  <si>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</si>
  <si>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</si>
  <si>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</si>
  <si>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</si>
  <si>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</si>
  <si>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</si>
  <si>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</si>
  <si>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</si>
  <si>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</si>
  <si>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</si>
  <si>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</si>
  <si>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</si>
  <si>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</si>
  <si>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</si>
  <si>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</si>
  <si>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</si>
  <si>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</si>
  <si>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</si>
  <si>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</si>
  <si>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</si>
  <si>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</si>
  <si>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</si>
  <si>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</si>
  <si>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</si>
  <si>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</si>
  <si>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</si>
  <si>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</si>
  <si>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</si>
  <si>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</si>
  <si>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</si>
  <si>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</si>
  <si>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</si>
  <si>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</si>
  <si>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</si>
  <si>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</si>
  <si>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</si>
  <si>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</si>
  <si>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</si>
  <si>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</si>
  <si>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</si>
  <si>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</si>
  <si>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</si>
  <si>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</si>
  <si>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</si>
  <si>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</si>
  <si>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</si>
  <si>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</si>
  <si>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</si>
  <si>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</si>
  <si>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</si>
  <si>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</si>
  <si>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</si>
  <si>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</si>
  <si>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</si>
  <si>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</si>
  <si>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</si>
  <si>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</si>
  <si>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</si>
  <si>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</si>
  <si>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</si>
  <si>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</si>
  <si>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</si>
  <si>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</si>
  <si>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</si>
  <si>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</si>
  <si>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</si>
  <si>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</si>
  <si>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</si>
  <si>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</si>
  <si>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</si>
  <si>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</si>
  <si>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</si>
  <si>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</si>
  <si>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</si>
  <si>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</si>
  <si>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</si>
  <si>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</si>
  <si>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</si>
  <si>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</si>
  <si>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</si>
  <si>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</si>
  <si>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</si>
  <si>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</si>
  <si>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</si>
  <si>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</si>
  <si>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</si>
  <si>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</si>
  <si>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</si>
  <si>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</si>
  <si>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</si>
  <si>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</si>
  <si>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</si>
  <si>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</si>
  <si>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</si>
  <si>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</si>
  <si>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</si>
  <si>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</si>
  <si>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</si>
  <si>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</si>
  <si>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</si>
  <si>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</si>
  <si>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</si>
  <si>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</si>
  <si>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</si>
  <si>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</si>
  <si>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</si>
  <si>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</si>
  <si>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</si>
  <si>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</si>
  <si>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</si>
  <si>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</si>
  <si>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</si>
  <si>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</si>
  <si>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</si>
  <si>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</si>
  <si>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</si>
  <si>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</si>
  <si>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</si>
  <si>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</si>
  <si>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</si>
  <si>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</si>
  <si>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</si>
  <si>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</si>
  <si>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</si>
  <si>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</si>
  <si>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</si>
  <si>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</si>
  <si>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</si>
  <si>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</si>
  <si>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</si>
  <si>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</si>
  <si>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</si>
  <si>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</si>
  <si>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</si>
  <si>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</si>
  <si>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</si>
  <si>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</si>
  <si>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</si>
  <si>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</si>
  <si>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</si>
  <si>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</si>
  <si>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</si>
  <si>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</si>
  <si>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</si>
  <si>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</si>
  <si>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</si>
  <si>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</si>
  <si>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</si>
  <si>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</si>
  <si>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</si>
  <si>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</si>
  <si>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</si>
  <si>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</si>
  <si>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</si>
  <si>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</si>
  <si>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</si>
  <si>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</si>
  <si>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</si>
  <si>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</si>
  <si>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</si>
  <si>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</si>
  <si>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</si>
  <si>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</si>
  <si>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</si>
  <si>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</si>
  <si>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</si>
  <si>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</si>
  <si>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</si>
  <si>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</si>
  <si>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</si>
  <si>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</si>
  <si>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</si>
  <si>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</si>
  <si>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</si>
  <si>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</si>
  <si>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</si>
  <si>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</si>
  <si>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</si>
  <si>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</si>
  <si>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</si>
  <si>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</si>
  <si>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</si>
  <si>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</si>
  <si>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</si>
  <si>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</si>
  <si>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</si>
  <si>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</si>
  <si>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</si>
  <si>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</si>
  <si>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</si>
  <si>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</si>
  <si>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</si>
  <si>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</si>
  <si>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</si>
  <si>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</si>
  <si>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</si>
  <si>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</si>
  <si>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</si>
  <si>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</si>
  <si>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</si>
  <si>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</si>
  <si>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</si>
  <si>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</si>
  <si>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</si>
  <si>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</si>
  <si>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</si>
  <si>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</si>
  <si>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</si>
  <si>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</si>
  <si>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</si>
  <si>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</si>
  <si>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</si>
  <si>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</si>
  <si>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</si>
  <si>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</si>
  <si>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</si>
  <si>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</si>
  <si>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</si>
  <si>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</si>
  <si>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</si>
  <si>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</si>
  <si>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</si>
  <si>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</si>
  <si>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</si>
  <si>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</si>
  <si>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</si>
  <si>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</si>
  <si>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</si>
  <si>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</si>
  <si>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</si>
  <si>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</si>
  <si>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</si>
  <si>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</si>
  <si>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</si>
  <si>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</si>
  <si>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</si>
  <si>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</si>
  <si>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</si>
  <si>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</si>
  <si>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</si>
  <si>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</si>
  <si>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</si>
  <si>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</si>
  <si>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</si>
  <si>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</si>
  <si>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</si>
  <si>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</si>
  <si>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</si>
  <si>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</si>
  <si>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</si>
  <si>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</si>
  <si>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</si>
  <si>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</si>
  <si>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</si>
  <si>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</si>
  <si>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</si>
  <si>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</si>
  <si>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</si>
  <si>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</si>
  <si>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</si>
  <si>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</si>
  <si>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</si>
  <si>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</si>
  <si>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</si>
  <si>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</si>
  <si>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</si>
  <si>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</si>
  <si>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</si>
  <si>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</si>
  <si>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</si>
  <si>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</si>
  <si>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</si>
  <si>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</si>
  <si>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</si>
  <si>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</si>
  <si>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</si>
  <si>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</si>
  <si>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</si>
  <si>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</si>
  <si>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</si>
  <si>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</si>
  <si>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</si>
  <si>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</si>
  <si>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</si>
  <si>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</si>
  <si>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</si>
  <si>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</si>
  <si>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</si>
  <si>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</si>
  <si>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</si>
  <si>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</si>
  <si>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</si>
  <si>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</si>
  <si>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</si>
  <si>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</si>
  <si>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</si>
  <si>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</si>
  <si>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</si>
  <si>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</si>
  <si>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</si>
  <si>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</si>
  <si>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</si>
  <si>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</si>
  <si>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</si>
  <si>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</si>
  <si>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</si>
  <si>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</si>
  <si>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</si>
  <si>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</si>
  <si>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</si>
  <si>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</si>
  <si>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</si>
  <si>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</si>
  <si>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</si>
  <si>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</si>
  <si>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</si>
  <si>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</si>
  <si>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</si>
  <si>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</si>
  <si>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</si>
  <si>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</si>
  <si>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</si>
  <si>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</si>
  <si>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</si>
  <si>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</si>
  <si>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</si>
  <si>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</si>
  <si>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</si>
  <si>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</si>
  <si>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</si>
  <si>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</si>
  <si>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</si>
  <si>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</si>
  <si>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</si>
  <si>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</si>
  <si>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</si>
  <si>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</si>
  <si>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</si>
  <si>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</si>
  <si>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</si>
  <si>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</si>
  <si>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</si>
  <si>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</si>
  <si>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</si>
  <si>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</si>
  <si>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</si>
  <si>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</si>
  <si>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</si>
  <si>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</si>
  <si>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</si>
  <si>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</si>
  <si>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</si>
  <si>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</si>
  <si>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</si>
  <si>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</si>
  <si>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</si>
  <si>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</si>
  <si>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</si>
  <si>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</si>
  <si>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</si>
  <si>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</si>
  <si>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</si>
  <si>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</si>
  <si>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</si>
  <si>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</si>
  <si>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</si>
  <si>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</si>
  <si>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</si>
  <si>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</si>
  <si>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</si>
  <si>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</si>
  <si>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</si>
  <si>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</si>
  <si>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</si>
  <si>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</si>
  <si>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</si>
  <si>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</si>
  <si>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</si>
  <si>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</si>
  <si>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</si>
  <si>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</si>
  <si>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</si>
  <si>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</si>
  <si>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</si>
  <si>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</si>
  <si>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</si>
  <si>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</si>
  <si>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</si>
  <si>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</si>
  <si>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</si>
  <si>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</si>
  <si>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</si>
  <si>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</si>
  <si>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</si>
  <si>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</si>
  <si>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</si>
  <si>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</si>
  <si>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</si>
  <si>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</si>
  <si>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</si>
  <si>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</si>
  <si>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</si>
  <si>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</si>
  <si>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</si>
  <si>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</si>
  <si>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</si>
  <si>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</si>
  <si>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</si>
  <si>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</si>
  <si>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</si>
  <si>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</si>
  <si>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</si>
  <si>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</si>
  <si>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</si>
  <si>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</si>
  <si>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</si>
  <si>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</si>
  <si>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</si>
  <si>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</si>
  <si>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</si>
  <si>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</si>
  <si>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</si>
  <si>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</si>
  <si>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</si>
  <si>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</si>
  <si>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</si>
  <si>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</si>
  <si>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</si>
  <si>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</si>
  <si>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</si>
  <si>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</si>
  <si>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</si>
  <si>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</si>
  <si>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</si>
  <si>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</si>
  <si>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</si>
  <si>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</si>
  <si>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</si>
  <si>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</si>
  <si>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</si>
  <si>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</si>
  <si>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</si>
  <si>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</si>
  <si>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</si>
  <si>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</si>
  <si>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</si>
  <si>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</si>
  <si>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</si>
  <si>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</si>
  <si>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</si>
  <si>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</si>
  <si>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</si>
  <si>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</si>
  <si>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</si>
  <si>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</si>
  <si>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</si>
  <si>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</si>
  <si>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</si>
  <si>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</si>
  <si>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</si>
  <si>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</si>
  <si>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</si>
  <si>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</si>
  <si>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</si>
  <si>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</si>
  <si>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</si>
  <si>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</si>
  <si>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</si>
  <si>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</si>
  <si>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</si>
  <si>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</si>
  <si>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</si>
  <si>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</si>
  <si>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</si>
  <si>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</si>
  <si>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</si>
  <si>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</si>
  <si>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</si>
  <si>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</si>
  <si>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</si>
  <si>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</si>
  <si>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</si>
  <si>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</si>
  <si>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</si>
  <si>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</si>
  <si>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</si>
  <si>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</si>
  <si>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</si>
  <si>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</si>
  <si>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</si>
  <si>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</si>
  <si>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</si>
  <si>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</si>
  <si>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</si>
  <si>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</si>
  <si>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</si>
  <si>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</si>
  <si>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</si>
  <si>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</si>
  <si>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</si>
  <si>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</si>
  <si>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</si>
  <si>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</si>
  <si>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</si>
  <si>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</si>
  <si>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</si>
  <si>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</si>
  <si>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</si>
  <si>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</si>
  <si>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</si>
  <si>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</si>
  <si>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</si>
  <si>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</si>
  <si>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</si>
  <si>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</si>
  <si>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</si>
  <si>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</si>
  <si>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</si>
  <si>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</si>
  <si>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</si>
  <si>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</si>
  <si>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</si>
  <si>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</si>
  <si>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</si>
  <si>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</si>
  <si>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</si>
  <si>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</si>
  <si>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</si>
  <si>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</si>
  <si>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</si>
  <si>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</si>
  <si>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</si>
  <si>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</si>
  <si>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</si>
  <si>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</si>
  <si>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</si>
  <si>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</si>
  <si>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</si>
  <si>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</si>
  <si>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</si>
  <si>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</si>
  <si>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</si>
  <si>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</si>
  <si>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</si>
  <si>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</si>
  <si>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</si>
  <si>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</si>
  <si>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</si>
  <si>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</si>
  <si>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</si>
  <si>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</si>
  <si>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</si>
  <si>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</si>
  <si>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</si>
  <si>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</si>
  <si>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</si>
  <si>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</si>
  <si>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</si>
  <si>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</si>
  <si>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</si>
  <si>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</si>
  <si>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</si>
  <si>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</si>
  <si>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</si>
  <si>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</si>
  <si>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</si>
  <si>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</si>
  <si>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</si>
  <si>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</si>
  <si>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</si>
  <si>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</si>
  <si>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</si>
  <si>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</si>
  <si>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</si>
  <si>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</si>
  <si>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</si>
  <si>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</si>
  <si>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</si>
  <si>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</si>
  <si>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</si>
  <si>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</si>
  <si>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</si>
  <si>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</si>
  <si>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</si>
  <si>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</si>
  <si>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</si>
  <si>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</si>
  <si>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</si>
  <si>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</si>
  <si>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</si>
  <si>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</si>
  <si>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</si>
  <si>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</si>
  <si>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</si>
  <si>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</si>
  <si>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</si>
  <si>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</si>
  <si>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</si>
  <si>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</si>
  <si>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</si>
  <si>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</si>
  <si>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</si>
  <si>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</si>
  <si>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</si>
  <si>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</si>
  <si>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</si>
  <si>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</si>
  <si>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</si>
  <si>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</si>
  <si>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</si>
  <si>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</si>
  <si>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</si>
  <si>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</si>
  <si>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</si>
  <si>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</si>
  <si>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</si>
  <si>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</si>
  <si>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</si>
  <si>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</si>
  <si>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</si>
  <si>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</si>
  <si>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</si>
  <si>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</si>
  <si>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</si>
  <si>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</si>
  <si>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</si>
  <si>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</si>
  <si>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</si>
  <si>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</si>
  <si>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</si>
  <si>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</si>
  <si>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</si>
  <si>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</si>
  <si>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</si>
  <si>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</si>
  <si>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</si>
  <si>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</si>
  <si>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</si>
  <si>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</si>
  <si>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</si>
  <si>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</si>
  <si>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</si>
  <si>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</si>
  <si>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</si>
  <si>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</si>
  <si>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</si>
  <si>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</si>
  <si>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</si>
  <si>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</si>
  <si>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</si>
  <si>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</si>
  <si>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</si>
  <si>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</si>
  <si>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</si>
  <si>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</si>
  <si>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</si>
  <si>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</si>
  <si>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</si>
  <si>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</si>
  <si>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</si>
  <si>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</si>
  <si>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</si>
  <si>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</si>
  <si>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</si>
  <si>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</si>
  <si>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</si>
  <si>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</si>
  <si>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</si>
  <si>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</si>
  <si>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</si>
  <si>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</si>
  <si>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</si>
  <si>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</si>
  <si>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</si>
  <si>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</si>
  <si>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</si>
  <si>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</si>
  <si>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</si>
  <si>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</si>
  <si>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</si>
  <si>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</si>
  <si>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</si>
  <si>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</si>
  <si>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</si>
  <si>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</si>
  <si>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</si>
  <si>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</si>
  <si>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</si>
  <si>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</si>
  <si>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</si>
  <si>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</si>
  <si>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</si>
  <si>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</si>
  <si>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</si>
  <si>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</si>
  <si>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</si>
  <si>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</si>
  <si>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</si>
  <si>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</si>
  <si>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</si>
  <si>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</si>
  <si>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</si>
  <si>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</si>
  <si>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</si>
  <si>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</si>
  <si>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</si>
  <si>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</si>
  <si>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</si>
  <si>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</si>
  <si>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</si>
  <si>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</si>
  <si>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</si>
  <si>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</si>
  <si>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</si>
  <si>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</si>
  <si>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</si>
  <si>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</si>
  <si>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</si>
  <si>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</si>
  <si>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</si>
  <si>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</si>
  <si>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</si>
  <si>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</si>
  <si>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</si>
  <si>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</si>
  <si>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</si>
  <si>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</si>
  <si>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</si>
  <si>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</si>
  <si>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</si>
  <si>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</si>
  <si>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</si>
  <si>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</si>
  <si>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</si>
  <si>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</si>
  <si>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</si>
  <si>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</si>
  <si>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</si>
  <si>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</si>
  <si>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</si>
  <si>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</si>
  <si>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</si>
  <si>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</si>
  <si>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</si>
  <si>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</si>
  <si>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</si>
  <si>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</si>
  <si>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</si>
  <si>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</si>
  <si>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</si>
  <si>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</si>
  <si>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</si>
  <si>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</si>
  <si>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</si>
  <si>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</si>
  <si>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</si>
  <si>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</si>
  <si>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</si>
  <si>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</si>
  <si>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</si>
  <si>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</si>
  <si>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</si>
  <si>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</si>
  <si>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</si>
  <si>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</si>
  <si>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</si>
  <si>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</si>
  <si>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</si>
  <si>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</si>
  <si>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</si>
  <si>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</si>
  <si>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</si>
  <si>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</si>
  <si>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</si>
  <si>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</si>
  <si>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</si>
  <si>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</si>
  <si>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</si>
  <si>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</si>
  <si>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</si>
  <si>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</si>
  <si>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</si>
  <si>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</si>
  <si>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</si>
  <si>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</si>
  <si>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</si>
  <si>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</si>
  <si>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</si>
  <si>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</si>
  <si>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</si>
  <si>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</si>
  <si>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</si>
  <si>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</si>
  <si>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</si>
  <si>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</si>
  <si>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</si>
  <si>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</si>
  <si>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</si>
  <si>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</si>
  <si>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</si>
  <si>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</si>
  <si>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</si>
  <si>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</si>
  <si>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</si>
  <si>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</si>
  <si>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</si>
  <si>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</si>
  <si>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</si>
  <si>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</si>
  <si>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</si>
  <si>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</si>
  <si>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</si>
  <si>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</si>
  <si>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</si>
  <si>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</si>
  <si>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</si>
  <si>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</si>
  <si>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</si>
  <si>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</si>
  <si>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</si>
  <si>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</si>
  <si>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</si>
  <si>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</si>
  <si>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</si>
  <si>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</si>
  <si>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</si>
  <si>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</si>
  <si>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</si>
  <si>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</si>
  <si>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</si>
  <si>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</si>
  <si>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</si>
  <si>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</si>
  <si>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</si>
  <si>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</si>
  <si>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</si>
  <si>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</si>
  <si>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</si>
  <si>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</si>
  <si>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</si>
  <si>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</si>
  <si>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</si>
  <si>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</si>
  <si>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</si>
  <si>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</si>
  <si>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</si>
  <si>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</si>
  <si>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</si>
  <si>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</si>
  <si>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</si>
  <si>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</si>
  <si>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</si>
  <si>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</si>
  <si>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</si>
  <si>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</si>
  <si>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</si>
  <si>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</si>
  <si>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</si>
  <si>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</si>
  <si>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</si>
  <si>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</si>
  <si>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</si>
  <si>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</si>
  <si>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</si>
  <si>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</si>
  <si>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</si>
  <si>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</si>
  <si>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</si>
  <si>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</si>
  <si>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</si>
  <si>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</si>
  <si>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</si>
  <si>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</si>
  <si>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</si>
  <si>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</si>
  <si>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</si>
  <si>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</si>
  <si>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</si>
  <si>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</si>
  <si>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</si>
  <si>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</si>
  <si>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</si>
  <si>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</si>
  <si>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</si>
  <si>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</si>
  <si>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</si>
  <si>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</si>
  <si>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</si>
  <si>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</si>
  <si>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</si>
  <si>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</si>
  <si>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</si>
  <si>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</si>
  <si>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</si>
  <si>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</si>
  <si>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</si>
  <si>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</si>
  <si>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</si>
  <si>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</si>
  <si>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</si>
  <si>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</si>
  <si>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</si>
  <si>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</si>
  <si>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</si>
  <si>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</si>
  <si>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</si>
  <si>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</si>
  <si>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</si>
  <si>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</si>
  <si>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</si>
  <si>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</si>
  <si>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</si>
  <si>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</si>
  <si>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</si>
  <si>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</si>
  <si>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</si>
  <si>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</si>
  <si>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</si>
  <si>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</si>
  <si>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</si>
  <si>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</si>
  <si>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</si>
  <si>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</si>
  <si>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</si>
  <si>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</si>
  <si>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</si>
  <si>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</si>
  <si>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</si>
  <si>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</si>
  <si>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</si>
  <si>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</si>
  <si>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</si>
  <si>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</si>
  <si>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</si>
  <si>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</si>
  <si>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</si>
  <si>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</si>
  <si>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</si>
  <si>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</si>
  <si>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</si>
  <si>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</si>
  <si>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</si>
  <si>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</si>
  <si>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</si>
  <si>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</si>
  <si>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</si>
  <si>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</si>
  <si>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</si>
  <si>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</si>
  <si>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</si>
  <si>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</si>
  <si>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</si>
  <si>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</si>
  <si>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</si>
  <si>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</si>
  <si>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</si>
  <si>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</si>
  <si>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</si>
  <si>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</si>
  <si>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</si>
  <si>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</si>
  <si>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</si>
  <si>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</si>
  <si>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</si>
  <si>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</si>
  <si>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</si>
  <si>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</si>
  <si>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</si>
  <si>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</si>
  <si>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</si>
  <si>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</si>
  <si>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</si>
  <si>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</si>
  <si>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</si>
  <si>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</si>
  <si>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</si>
  <si>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</si>
  <si>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</si>
  <si>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</si>
  <si>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</si>
  <si>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</si>
  <si>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</si>
  <si>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</si>
  <si>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</si>
  <si>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</si>
  <si>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</si>
  <si>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</si>
  <si>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</si>
  <si>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</si>
  <si>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</si>
  <si>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</si>
  <si>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</si>
  <si>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</si>
  <si>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</si>
  <si>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</si>
  <si>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</si>
  <si>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</si>
  <si>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</si>
  <si>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</si>
  <si>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</si>
  <si>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</si>
  <si>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</si>
  <si>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</si>
  <si>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</si>
  <si>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</si>
  <si>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</si>
  <si>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</si>
  <si>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</si>
  <si>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</si>
  <si>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</si>
  <si>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</si>
  <si>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</si>
  <si>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</si>
  <si>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</si>
  <si>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</si>
  <si>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</si>
  <si>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</si>
  <si>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</si>
  <si>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</si>
  <si>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</si>
  <si>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</si>
  <si>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</si>
  <si>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</si>
  <si>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</si>
  <si>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</si>
  <si>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</si>
  <si>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</si>
  <si>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</si>
  <si>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</si>
  <si>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</si>
  <si>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</si>
  <si>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</si>
  <si>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</si>
  <si>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</si>
  <si>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</si>
  <si>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</si>
  <si>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</si>
  <si>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</si>
  <si>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</si>
  <si>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</si>
  <si>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</si>
  <si>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</si>
  <si>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</si>
  <si>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</si>
  <si>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</si>
  <si>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</si>
  <si>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</si>
  <si>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</si>
  <si>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</si>
  <si>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</si>
  <si>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</si>
  <si>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</si>
  <si>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</si>
  <si>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</si>
  <si>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</si>
  <si>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</si>
  <si>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</si>
  <si>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</si>
  <si>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</si>
  <si>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</si>
  <si>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</si>
  <si>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</si>
  <si>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</si>
  <si>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</si>
  <si>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</si>
  <si>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</si>
  <si>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</si>
  <si>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</si>
  <si>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</si>
  <si>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</si>
  <si>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</si>
  <si>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</si>
  <si>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</si>
  <si>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</si>
  <si>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</si>
  <si>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</si>
  <si>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</si>
  <si>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</si>
  <si>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</si>
  <si>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</si>
  <si>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</si>
  <si>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</si>
  <si>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</si>
  <si>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</si>
  <si>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</si>
  <si>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</si>
  <si>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</si>
  <si>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</si>
  <si>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</si>
  <si>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</si>
  <si>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</si>
  <si>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</si>
  <si>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</si>
  <si>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</si>
  <si>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</si>
  <si>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</si>
  <si>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</si>
  <si>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</si>
  <si>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</si>
  <si>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</si>
  <si>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</si>
  <si>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</si>
  <si>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</si>
  <si>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</si>
  <si>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</si>
  <si>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</si>
  <si>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</si>
  <si>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</si>
  <si>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</si>
  <si>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</si>
  <si>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</si>
  <si>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</si>
  <si>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</si>
  <si>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</si>
  <si>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</si>
  <si>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</si>
  <si>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</si>
  <si>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</si>
  <si>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</si>
  <si>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</si>
  <si>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</si>
  <si>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</si>
  <si>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</si>
  <si>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</si>
  <si>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</si>
  <si>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</si>
  <si>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</si>
  <si>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</si>
  <si>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</si>
  <si>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</si>
  <si>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</si>
  <si>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</si>
  <si>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</si>
  <si>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</si>
  <si>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</si>
  <si>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</si>
  <si>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</si>
  <si>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</si>
  <si>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</si>
  <si>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</si>
  <si>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</si>
  <si>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</si>
  <si>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</si>
  <si>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</si>
  <si>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</si>
  <si>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</si>
  <si>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</si>
  <si>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</si>
  <si>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</si>
  <si>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</si>
  <si>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</si>
  <si>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</si>
  <si>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</si>
  <si>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</si>
  <si>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</si>
  <si>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</si>
  <si>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</si>
  <si>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</si>
  <si>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</si>
  <si>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</si>
  <si>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</si>
  <si>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</si>
  <si>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</si>
  <si>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</si>
  <si>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</si>
  <si>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</si>
  <si>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</si>
  <si>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</si>
  <si>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</si>
  <si>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</si>
  <si>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</si>
  <si>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</si>
  <si>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</si>
  <si>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</si>
  <si>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</si>
  <si>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</si>
  <si>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</si>
  <si>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</si>
  <si>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</si>
  <si>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</si>
  <si>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</si>
  <si>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</si>
  <si>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</si>
  <si>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</si>
  <si>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</si>
  <si>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</si>
  <si>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</si>
  <si>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</si>
  <si>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</si>
  <si>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</si>
  <si>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</si>
  <si>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</si>
  <si>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</si>
  <si>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</si>
  <si>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</si>
  <si>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</si>
  <si>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</si>
  <si>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</si>
  <si>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</si>
  <si>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</si>
  <si>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</si>
  <si>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</si>
  <si>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</si>
  <si>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</si>
  <si>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</si>
  <si>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</si>
  <si>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</si>
  <si>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</si>
  <si>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</si>
  <si>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</si>
  <si>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</si>
  <si>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</si>
  <si>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</si>
  <si>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</si>
  <si>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</si>
  <si>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</si>
  <si>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</si>
  <si>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</si>
  <si>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</si>
  <si>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</si>
  <si>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</si>
  <si>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</si>
  <si>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</si>
  <si>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</si>
  <si>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</si>
  <si>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</si>
  <si>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</si>
  <si>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</si>
  <si>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</si>
  <si>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</si>
  <si>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</si>
  <si>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</si>
  <si>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</si>
  <si>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</si>
  <si>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</si>
  <si>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</si>
  <si>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</si>
  <si>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</si>
  <si>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</si>
  <si>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</si>
  <si>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</si>
  <si>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</si>
  <si>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</si>
  <si>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</si>
  <si>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</si>
  <si>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</si>
  <si>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</si>
  <si>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</si>
  <si>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</si>
  <si>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</si>
  <si>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</si>
  <si>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</si>
  <si>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</si>
  <si>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</si>
  <si>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</si>
  <si>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</si>
  <si>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</si>
  <si>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</si>
  <si>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</si>
  <si>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</si>
  <si>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</si>
  <si>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</si>
  <si>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</si>
  <si>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</si>
  <si>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</si>
  <si>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</si>
  <si>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</si>
  <si>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</si>
  <si>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</si>
  <si>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</si>
  <si>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</si>
  <si>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</si>
  <si>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</si>
  <si>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</si>
  <si>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</si>
  <si>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</si>
  <si>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</si>
  <si>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</si>
  <si>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</si>
  <si>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</si>
  <si>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</si>
  <si>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</si>
  <si>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</si>
  <si>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</si>
  <si>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</si>
  <si>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</si>
  <si>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</si>
  <si>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</si>
  <si>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</si>
  <si>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</si>
  <si>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</si>
  <si>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</si>
  <si>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</si>
  <si>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</si>
  <si>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</si>
  <si>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</si>
  <si>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</si>
  <si>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</si>
  <si>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</si>
  <si>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</si>
  <si>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</si>
  <si>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</si>
  <si>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</si>
  <si>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</si>
  <si>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</si>
  <si>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</si>
  <si>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</si>
  <si>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</si>
  <si>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</si>
  <si>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</si>
  <si>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</si>
  <si>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</si>
  <si>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</si>
  <si>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</si>
  <si>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</si>
  <si>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</si>
  <si>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</si>
  <si>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</si>
  <si>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</si>
  <si>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</si>
  <si>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</si>
  <si>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</si>
  <si>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</si>
  <si>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</si>
  <si>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</si>
  <si>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</si>
  <si>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</si>
  <si>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</si>
  <si>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</si>
  <si>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</si>
  <si>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</si>
  <si>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</si>
  <si>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</si>
  <si>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</si>
  <si>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</si>
  <si>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</si>
  <si>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</si>
  <si>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</si>
  <si>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</si>
  <si>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</si>
  <si>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</si>
  <si>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</si>
  <si>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</si>
  <si>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</si>
  <si>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</si>
  <si>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</si>
  <si>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</si>
  <si>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</si>
  <si>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</si>
  <si>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</si>
  <si>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</si>
  <si>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</si>
  <si>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</si>
  <si>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</si>
  <si>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</si>
  <si>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</si>
  <si>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</si>
  <si>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</si>
  <si>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</si>
  <si>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</si>
  <si>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</si>
  <si>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</si>
  <si>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</si>
  <si>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</si>
  <si>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</si>
  <si>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</si>
  <si>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</si>
  <si>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</si>
  <si>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</si>
  <si>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</si>
  <si>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</si>
  <si>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</si>
  <si>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</si>
  <si>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</si>
  <si>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</si>
  <si>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</si>
  <si>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</si>
  <si>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</si>
  <si>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</si>
  <si>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</si>
  <si>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</si>
  <si>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</si>
  <si>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</si>
  <si>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</si>
  <si>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</si>
  <si>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</si>
  <si>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</si>
  <si>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</si>
  <si>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</si>
  <si>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</si>
  <si>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</si>
  <si>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</si>
  <si>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</si>
  <si>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</si>
  <si>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</si>
  <si>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</si>
  <si>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</si>
  <si>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</si>
  <si>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</si>
  <si>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</si>
  <si>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</si>
  <si>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</si>
  <si>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</si>
  <si>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</si>
  <si>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</si>
  <si>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</si>
  <si>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</si>
  <si>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</si>
  <si>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</si>
  <si>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</si>
  <si>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</si>
  <si>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</si>
  <si>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</si>
  <si>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</si>
  <si>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</si>
  <si>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</si>
  <si>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</si>
  <si>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</si>
  <si>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</si>
  <si>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</si>
  <si>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</si>
  <si>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</si>
  <si>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</si>
  <si>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</si>
  <si>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</si>
  <si>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</si>
  <si>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</si>
  <si>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</si>
  <si>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</si>
  <si>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</si>
  <si>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</si>
  <si>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</si>
  <si>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</si>
  <si>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</si>
  <si>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</si>
  <si>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</si>
  <si>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</si>
  <si>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</si>
  <si>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</si>
  <si>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</si>
  <si>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</si>
  <si>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</si>
  <si>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</si>
  <si>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</si>
  <si>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</si>
  <si>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</si>
  <si>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</si>
  <si>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</si>
  <si>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</si>
  <si>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</si>
  <si>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</si>
  <si>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</si>
  <si>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</si>
  <si>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</si>
  <si>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</si>
  <si>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</si>
  <si>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</si>
  <si>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</si>
  <si>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</si>
  <si>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</si>
  <si>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</si>
  <si>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</si>
  <si>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</si>
  <si>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</si>
  <si>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</si>
  <si>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</si>
  <si>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</si>
  <si>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</si>
  <si>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</si>
  <si>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</si>
  <si>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</si>
  <si>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</si>
  <si>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</si>
  <si>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</si>
  <si>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</si>
  <si>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</si>
  <si>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</si>
  <si>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</si>
  <si>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</si>
  <si>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</si>
  <si>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</si>
  <si>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</si>
  <si>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</si>
  <si>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</si>
  <si>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</si>
  <si>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</si>
  <si>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</si>
  <si>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</si>
  <si>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</si>
  <si>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</si>
  <si>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</si>
  <si>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</si>
  <si>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</si>
  <si>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</si>
  <si>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</si>
  <si>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</si>
  <si>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</si>
  <si>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</si>
  <si>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</si>
  <si>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</si>
  <si>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</si>
  <si>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</si>
  <si>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</si>
  <si>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</si>
  <si>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</si>
  <si>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</si>
  <si>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</si>
  <si>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</si>
  <si>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</si>
  <si>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</si>
  <si>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</si>
  <si>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</si>
  <si>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</si>
  <si>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</si>
  <si>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</si>
  <si>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</si>
  <si>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</si>
  <si>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</si>
  <si>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</si>
  <si>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</si>
  <si>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</si>
  <si>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</si>
  <si>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</si>
  <si>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</si>
  <si>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</si>
  <si>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</si>
  <si>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</si>
  <si>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</si>
  <si>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</si>
  <si>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</si>
  <si>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</si>
  <si>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</si>
  <si>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</si>
  <si>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</si>
  <si>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</si>
  <si>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</si>
  <si>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</si>
  <si>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</si>
  <si>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</si>
  <si>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</si>
  <si>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</si>
  <si>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</si>
  <si>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</si>
  <si>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</si>
  <si>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</si>
  <si>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</si>
  <si>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</si>
  <si>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</si>
  <si>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</si>
  <si>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</si>
  <si>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</si>
  <si>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</si>
  <si>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</si>
  <si>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</si>
  <si>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</si>
  <si>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</si>
  <si>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</si>
  <si>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</si>
  <si>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</si>
  <si>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</si>
  <si>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</si>
  <si>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</si>
  <si>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</si>
  <si>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</si>
  <si>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</si>
  <si>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</si>
  <si>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</si>
  <si>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</si>
  <si>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</si>
  <si>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</si>
  <si>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</si>
  <si>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</si>
  <si>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</si>
  <si>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</si>
  <si>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</si>
  <si>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</si>
  <si>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</si>
  <si>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</si>
  <si>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</si>
  <si>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</si>
  <si>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</si>
  <si>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</si>
  <si>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</si>
  <si>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</si>
  <si>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</si>
  <si>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</si>
  <si>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</si>
  <si>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</si>
  <si>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</si>
  <si>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</si>
  <si>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</si>
  <si>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</si>
  <si>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</si>
  <si>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</si>
  <si>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</si>
  <si>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</si>
  <si>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</si>
  <si>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</si>
  <si>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</si>
  <si>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</si>
  <si>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</si>
  <si>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</si>
  <si>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</si>
  <si>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</si>
  <si>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</si>
  <si>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</si>
  <si>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</si>
  <si>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</si>
  <si>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</si>
  <si>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</si>
  <si>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</si>
  <si>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</si>
  <si>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</si>
  <si>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</si>
  <si>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</si>
  <si>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</si>
  <si>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</si>
  <si>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</si>
  <si>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</si>
  <si>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</si>
  <si>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</si>
  <si>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</si>
  <si>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</si>
  <si>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</si>
  <si>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</si>
  <si>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</si>
  <si>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</si>
  <si>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</si>
  <si>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</si>
  <si>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</si>
  <si>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</si>
  <si>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</si>
  <si>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</si>
  <si>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</si>
  <si>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</si>
  <si>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</si>
  <si>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</si>
  <si>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</si>
  <si>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</si>
  <si>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</si>
  <si>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</si>
  <si>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</si>
  <si>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</si>
  <si>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</si>
  <si>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</si>
  <si>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</si>
  <si>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</si>
  <si>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</si>
  <si>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</si>
  <si>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</si>
  <si>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</si>
  <si>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</si>
  <si>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</si>
  <si>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</si>
  <si>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</si>
  <si>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</si>
  <si>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</si>
  <si>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</si>
  <si>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</si>
  <si>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</si>
  <si>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</si>
  <si>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</si>
  <si>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</si>
  <si>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</si>
  <si>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</si>
  <si>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</si>
  <si>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</si>
  <si>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</si>
  <si>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</si>
  <si>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</si>
  <si>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</si>
  <si>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</si>
  <si>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</si>
  <si>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</si>
  <si>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</si>
  <si>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</si>
  <si>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</si>
  <si>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</si>
  <si>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</si>
  <si>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</si>
  <si>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</si>
  <si>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</si>
  <si>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</si>
  <si>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</si>
  <si>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</si>
  <si>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</si>
  <si>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</si>
  <si>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</si>
  <si>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</si>
  <si>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</si>
  <si>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</si>
  <si>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</si>
  <si>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</si>
  <si>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</si>
  <si>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</si>
  <si>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</si>
  <si>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</si>
  <si>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</si>
  <si>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</si>
  <si>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</si>
  <si>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</si>
  <si>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</si>
  <si>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</si>
  <si>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</si>
  <si>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</si>
  <si>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</si>
  <si>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</si>
  <si>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</si>
  <si>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</si>
  <si>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</si>
  <si>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</si>
  <si>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</si>
  <si>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</si>
  <si>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</si>
  <si>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</si>
  <si>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</si>
  <si>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</si>
  <si>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</si>
  <si>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</si>
  <si>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</si>
  <si>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</si>
  <si>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</si>
  <si>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</si>
  <si>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</si>
  <si>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</si>
  <si>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</si>
  <si>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</si>
  <si>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</si>
  <si>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</si>
  <si>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</si>
  <si>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</si>
  <si>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</si>
  <si>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</si>
  <si>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</si>
  <si>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</si>
  <si>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</si>
  <si>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</si>
  <si>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</si>
  <si>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</si>
  <si>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</si>
  <si>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</si>
  <si>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</si>
  <si>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</si>
  <si>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</si>
  <si>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</si>
  <si>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</si>
  <si>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</si>
  <si>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</si>
  <si>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</si>
  <si>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</si>
  <si>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</si>
  <si>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</si>
  <si>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</si>
  <si>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</si>
  <si>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</si>
  <si>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</si>
  <si>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</si>
  <si>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</si>
  <si>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</si>
  <si>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</si>
  <si>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</si>
  <si>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</si>
  <si>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</si>
  <si>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</si>
  <si>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</si>
  <si>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</si>
  <si>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</si>
  <si>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</si>
  <si>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</si>
  <si>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</si>
  <si>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</si>
  <si>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</si>
  <si>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</si>
  <si>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</si>
  <si>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</si>
  <si>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</si>
  <si>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</si>
  <si>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</si>
  <si>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</si>
  <si>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</si>
  <si>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</si>
  <si>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</si>
  <si>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</si>
  <si>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</si>
  <si>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</si>
  <si>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</si>
  <si>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</si>
  <si>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</si>
  <si>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</si>
  <si>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</si>
  <si>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</si>
  <si>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</si>
  <si>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</si>
  <si>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</si>
  <si>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</si>
  <si>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</si>
  <si>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</si>
  <si>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</si>
  <si>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</si>
  <si>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</si>
  <si>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</si>
  <si>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</si>
  <si>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</si>
  <si>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</si>
  <si>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</si>
  <si>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</si>
  <si>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</si>
  <si>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</si>
  <si>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</si>
  <si>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</si>
  <si>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</si>
  <si>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</si>
  <si>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</si>
  <si>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</si>
  <si>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</si>
  <si>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</si>
  <si>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</si>
  <si>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</si>
  <si>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</si>
  <si>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</si>
  <si>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</si>
  <si>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</si>
  <si>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</si>
  <si>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</si>
  <si>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</si>
  <si>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</si>
  <si>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</si>
  <si>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</si>
  <si>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</si>
  <si>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</si>
  <si>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</si>
  <si>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</si>
  <si>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</si>
  <si>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</si>
  <si>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</si>
  <si>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</si>
  <si>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</si>
  <si>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</si>
  <si>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</si>
  <si>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</si>
  <si>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</si>
  <si>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</si>
  <si>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</si>
  <si>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</si>
  <si>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</si>
  <si>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</si>
  <si>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</si>
  <si>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</si>
  <si>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</si>
  <si>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</si>
  <si>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</si>
  <si>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</si>
  <si>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</si>
  <si>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</si>
  <si>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</si>
  <si>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</si>
  <si>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</si>
  <si>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</si>
  <si>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</si>
  <si>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</si>
  <si>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</si>
  <si>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</si>
  <si>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</si>
  <si>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</si>
  <si>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</si>
  <si>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</si>
  <si>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</si>
  <si>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</si>
  <si>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</si>
  <si>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</si>
  <si>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</si>
  <si>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</si>
  <si>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</si>
  <si>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</si>
  <si>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</si>
  <si>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</si>
  <si>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</si>
  <si>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</si>
  <si>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</si>
  <si>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</si>
  <si>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</si>
  <si>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</si>
  <si>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</si>
  <si>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</si>
  <si>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</si>
  <si>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</si>
  <si>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</si>
  <si>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</si>
  <si>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</si>
  <si>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</si>
  <si>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</si>
  <si>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</si>
  <si>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</si>
  <si>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</si>
  <si>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</si>
  <si>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</si>
  <si>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</si>
  <si>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</si>
  <si>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</si>
  <si>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</si>
  <si>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</si>
  <si>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</si>
  <si>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</si>
  <si>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</si>
  <si>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</si>
  <si>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</si>
  <si>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</si>
  <si>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</si>
  <si>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</si>
  <si>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</si>
  <si>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</si>
  <si>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</si>
  <si>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</si>
  <si>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</si>
  <si>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</si>
  <si>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</si>
  <si>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</si>
  <si>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</si>
  <si>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</si>
  <si>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</si>
  <si>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</si>
  <si>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</si>
  <si>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</si>
  <si>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</si>
  <si>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</si>
  <si>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</si>
  <si>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</si>
  <si>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</si>
  <si>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</si>
  <si>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</si>
  <si>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</si>
  <si>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</si>
  <si>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</si>
  <si>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</si>
  <si>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</si>
  <si>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</si>
  <si>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</si>
  <si>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</si>
  <si>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</si>
  <si>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</si>
  <si>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</si>
  <si>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</si>
  <si>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</si>
  <si>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</si>
  <si>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</si>
  <si>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</si>
  <si>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</si>
  <si>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</si>
  <si>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</si>
  <si>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</si>
  <si>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</si>
  <si>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</si>
  <si>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</si>
  <si>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</si>
  <si>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</si>
  <si>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</si>
  <si>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</si>
  <si>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</si>
  <si>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</si>
  <si>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</si>
  <si>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</si>
  <si>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</si>
  <si>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</si>
  <si>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</si>
  <si>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</si>
  <si>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</si>
  <si>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</si>
  <si>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</si>
  <si>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</si>
  <si>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</si>
  <si>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</si>
  <si>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</si>
  <si>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</si>
  <si>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</si>
  <si>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</si>
  <si>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</si>
  <si>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</si>
  <si>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</si>
  <si>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</si>
  <si>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</si>
  <si>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</si>
  <si>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</si>
  <si>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</si>
  <si>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</si>
  <si>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</si>
  <si>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</si>
  <si>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</si>
  <si>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</si>
  <si>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</si>
  <si>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</si>
  <si>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</si>
  <si>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</si>
  <si>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</si>
  <si>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</si>
  <si>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</si>
  <si>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</si>
  <si>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</si>
  <si>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</si>
  <si>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</si>
  <si>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</si>
  <si>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</si>
  <si>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</si>
  <si>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</si>
  <si>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</si>
  <si>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</si>
  <si>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</si>
  <si>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</si>
  <si>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</si>
  <si>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</si>
  <si>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</si>
  <si>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</si>
  <si>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</si>
  <si>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</si>
  <si>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</si>
  <si>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</si>
  <si>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</si>
  <si>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</si>
  <si>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</si>
  <si>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</si>
  <si>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</si>
  <si>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</si>
  <si>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</si>
  <si>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</si>
  <si>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</si>
  <si>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</si>
  <si>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</si>
  <si>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</si>
  <si>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</si>
  <si>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</si>
  <si>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</si>
  <si>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</si>
  <si>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</si>
  <si>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</si>
  <si>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</si>
  <si>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</si>
  <si>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</si>
  <si>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</si>
  <si>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</si>
  <si>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</si>
  <si>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</si>
  <si>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</si>
  <si>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</si>
  <si>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</si>
  <si>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</si>
  <si>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</si>
  <si>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</si>
  <si>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</si>
  <si>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</si>
  <si>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</si>
  <si>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</si>
  <si>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</si>
  <si>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</si>
  <si>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</si>
  <si>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</si>
  <si>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</si>
  <si>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</si>
  <si>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</si>
  <si>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</si>
  <si>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</si>
  <si>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</si>
  <si>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</si>
  <si>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</si>
  <si>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</si>
  <si>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</si>
  <si>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</si>
  <si>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</si>
  <si>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</si>
  <si>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</si>
  <si>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</si>
  <si>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</si>
  <si>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</si>
  <si>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</si>
  <si>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</si>
  <si>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</si>
  <si>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</si>
  <si>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</si>
  <si>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</si>
  <si>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</si>
  <si>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</si>
  <si>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</si>
  <si>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</si>
  <si>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</si>
  <si>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</si>
  <si>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</si>
  <si>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</si>
  <si>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</si>
  <si>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</si>
  <si>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</si>
  <si>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</si>
  <si>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</si>
  <si>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</si>
  <si>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</si>
  <si>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</si>
  <si>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</si>
  <si>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</si>
  <si>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</si>
  <si>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</si>
  <si>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</si>
  <si>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</si>
  <si>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</si>
  <si>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</si>
  <si>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</si>
  <si>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</si>
  <si>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</si>
  <si>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</si>
  <si>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</si>
  <si>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</si>
  <si>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</si>
  <si>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</si>
  <si>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</si>
  <si>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</si>
  <si>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</si>
  <si>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</si>
  <si>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</si>
  <si>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</si>
  <si>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</si>
  <si>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</si>
  <si>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</si>
  <si>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</si>
  <si>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</si>
  <si>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</si>
  <si>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</si>
  <si>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</si>
  <si>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</si>
  <si>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</si>
  <si>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</si>
  <si>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</si>
  <si>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</si>
  <si>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</si>
  <si>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</si>
  <si>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</si>
  <si>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</si>
  <si>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</si>
  <si>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</si>
  <si>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</si>
  <si>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</si>
  <si>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</si>
  <si>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</si>
  <si>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</si>
  <si>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</si>
  <si>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</si>
  <si>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</si>
  <si>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</si>
  <si>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</si>
  <si>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</si>
  <si>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</si>
  <si>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</si>
  <si>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</si>
  <si>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</si>
  <si>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</si>
  <si>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</si>
  <si>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</si>
  <si>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</si>
  <si>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</si>
  <si>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</si>
  <si>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</si>
  <si>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</si>
  <si>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</si>
  <si>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</si>
  <si>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</si>
  <si>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</si>
  <si>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</si>
  <si>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</si>
  <si>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</si>
  <si>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</si>
  <si>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</si>
  <si>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</si>
  <si>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</si>
  <si>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</si>
  <si>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</si>
  <si>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</si>
  <si>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</si>
  <si>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</si>
  <si>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</si>
  <si>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</si>
  <si>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</si>
  <si>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</si>
  <si>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</si>
  <si>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</si>
  <si>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</si>
  <si>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</si>
  <si>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</si>
  <si>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</si>
  <si>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</si>
  <si>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</si>
  <si>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</si>
  <si>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</si>
  <si>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</si>
  <si>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</si>
  <si>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</si>
  <si>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</si>
  <si>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</si>
  <si>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</si>
  <si>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</si>
  <si>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</si>
  <si>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</si>
  <si>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</si>
  <si>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</si>
  <si>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</si>
  <si>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</si>
  <si>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</si>
  <si>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</si>
  <si>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</si>
  <si>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</si>
  <si>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</si>
  <si>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</si>
  <si>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</si>
  <si>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</si>
  <si>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</si>
  <si>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</si>
  <si>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</si>
  <si>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</si>
  <si>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</si>
  <si>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</si>
  <si>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</si>
  <si>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</si>
  <si>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</si>
  <si>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</si>
  <si>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</si>
  <si>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</si>
  <si>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</si>
  <si>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</si>
  <si>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</si>
  <si>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</si>
  <si>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</si>
  <si>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</si>
  <si>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</si>
  <si>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</si>
  <si>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</si>
  <si>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</si>
  <si>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</si>
  <si>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</si>
  <si>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</si>
  <si>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</si>
  <si>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</si>
  <si>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</si>
  <si>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</si>
  <si>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</si>
  <si>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</si>
  <si>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</si>
  <si>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</si>
  <si>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</si>
  <si>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</si>
  <si>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</si>
  <si>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</si>
  <si>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</si>
  <si>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</si>
  <si>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</si>
  <si>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</si>
  <si>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</si>
  <si>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</si>
  <si>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</si>
  <si>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</si>
  <si>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</si>
  <si>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</si>
  <si>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</si>
  <si>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</si>
  <si>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</si>
  <si>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</si>
  <si>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</si>
  <si>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</si>
  <si>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</si>
  <si>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</si>
  <si>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</si>
  <si>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</si>
  <si>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</si>
  <si>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</si>
  <si>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</si>
  <si>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</si>
  <si>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</si>
  <si>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</si>
  <si>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</si>
  <si>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</si>
  <si>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</si>
  <si>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</si>
  <si>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</si>
  <si>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</si>
  <si>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</si>
  <si>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</si>
  <si>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</si>
  <si>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</si>
  <si>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</si>
  <si>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</si>
  <si>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</si>
  <si>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</si>
  <si>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</si>
  <si>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</si>
  <si>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</si>
  <si>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</si>
  <si>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</si>
  <si>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</si>
  <si>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</si>
  <si>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</si>
  <si>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</si>
  <si>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</si>
  <si>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</si>
  <si>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</si>
  <si>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</si>
  <si>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</si>
  <si>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</si>
  <si>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</si>
  <si>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</si>
  <si>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</si>
  <si>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</si>
  <si>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</si>
  <si>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</si>
  <si>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</si>
  <si>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</si>
  <si>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</si>
  <si>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</si>
  <si>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</si>
  <si>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</si>
  <si>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</si>
  <si>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</si>
  <si>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</si>
  <si>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</si>
  <si>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</si>
  <si>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</si>
  <si>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</si>
  <si>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</si>
  <si>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</si>
  <si>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</si>
  <si>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</si>
  <si>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</si>
  <si>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</si>
  <si>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</si>
  <si>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</si>
  <si>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</si>
  <si>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</si>
  <si>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</si>
  <si>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</si>
  <si>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</si>
  <si>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</si>
  <si>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</si>
  <si>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</si>
  <si>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</si>
  <si>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</si>
  <si>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</si>
  <si>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</si>
  <si>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</si>
  <si>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</si>
  <si>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</si>
  <si>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</si>
  <si>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</si>
  <si>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</si>
  <si>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</si>
  <si>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</si>
  <si>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</si>
  <si>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</si>
  <si>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</si>
  <si>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</si>
  <si>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</si>
  <si>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</si>
  <si>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</si>
  <si>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</si>
  <si>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</si>
  <si>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</si>
  <si>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</si>
  <si>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</si>
  <si>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</si>
  <si>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</si>
  <si>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</si>
  <si>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</si>
  <si>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</si>
  <si>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</si>
  <si>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</si>
  <si>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</si>
  <si>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</si>
  <si>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</si>
  <si>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</si>
  <si>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</si>
  <si>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</si>
  <si>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</si>
  <si>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</si>
  <si>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</si>
  <si>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</si>
  <si>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</si>
  <si>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</si>
  <si>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</si>
  <si>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</si>
  <si>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</si>
  <si>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</si>
  <si>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</si>
  <si>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</si>
  <si>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</si>
  <si>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</si>
  <si>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</si>
  <si>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</si>
  <si>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</si>
  <si>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</si>
  <si>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</si>
  <si>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</si>
  <si>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</si>
  <si>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</si>
  <si>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</si>
  <si>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</si>
  <si>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</si>
  <si>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</si>
  <si>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</si>
  <si>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</si>
  <si>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</si>
  <si>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</si>
  <si>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</si>
  <si>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</si>
  <si>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</si>
  <si>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</si>
  <si>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</si>
  <si>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</si>
  <si>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</si>
  <si>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</si>
  <si>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</si>
  <si>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</si>
  <si>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</si>
  <si>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</si>
  <si>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</si>
  <si>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</si>
  <si>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</si>
  <si>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</si>
  <si>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</si>
  <si>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</si>
  <si>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</si>
  <si>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</si>
  <si>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</si>
  <si>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</si>
  <si>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</si>
  <si>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</si>
  <si>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</si>
  <si>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</si>
  <si>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</si>
  <si>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</si>
  <si>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</si>
  <si>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</si>
  <si>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</si>
  <si>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</si>
  <si>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</si>
  <si>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</si>
  <si>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</si>
  <si>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</si>
  <si>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</si>
  <si>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</si>
  <si>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</si>
  <si>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</si>
  <si>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</si>
  <si>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</si>
  <si>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</si>
  <si>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</si>
  <si>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</si>
  <si>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</si>
  <si>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</si>
  <si>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</si>
  <si>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</si>
  <si>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</si>
  <si>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</si>
  <si>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</si>
  <si>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</si>
  <si>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</si>
  <si>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</si>
  <si>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</si>
  <si>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</si>
  <si>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</si>
  <si>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</si>
  <si>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</si>
  <si>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</si>
  <si>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</si>
  <si>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</si>
  <si>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</si>
  <si>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</si>
  <si>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</si>
  <si>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</si>
  <si>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</si>
  <si>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</si>
  <si>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</si>
  <si>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</si>
  <si>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</si>
  <si>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</si>
  <si>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</si>
  <si>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</si>
  <si>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</si>
  <si>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</si>
  <si>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</si>
  <si>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</si>
  <si>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</si>
  <si>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</si>
  <si>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</si>
  <si>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</si>
  <si>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</si>
  <si>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</si>
  <si>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</si>
  <si>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</si>
  <si>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</si>
  <si>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</si>
  <si>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</si>
  <si>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</si>
  <si>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</si>
  <si>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</si>
  <si>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</si>
  <si>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</si>
  <si>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</si>
  <si>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</si>
  <si>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</si>
  <si>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</si>
  <si>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</si>
  <si>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</si>
  <si>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</si>
  <si>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</si>
  <si>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</si>
  <si>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</si>
  <si>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</si>
  <si>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</si>
  <si>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</si>
  <si>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</si>
  <si>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</si>
  <si>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</si>
  <si>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</si>
  <si>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</si>
  <si>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</si>
  <si>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</si>
  <si>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</si>
  <si>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</si>
  <si>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</si>
  <si>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</si>
  <si>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</si>
  <si>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</si>
  <si>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</si>
  <si>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</si>
  <si>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</si>
  <si>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</si>
  <si>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</si>
  <si>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</si>
  <si>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</si>
  <si>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</si>
  <si>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</si>
  <si>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</si>
  <si>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</si>
  <si>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</si>
  <si>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</si>
  <si>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</si>
  <si>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</si>
  <si>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</si>
  <si>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</si>
  <si>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</si>
  <si>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</si>
  <si>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</si>
  <si>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</si>
  <si>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</si>
  <si>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</si>
  <si>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</si>
  <si>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</si>
  <si>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</si>
  <si>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</si>
  <si>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</si>
  <si>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</si>
  <si>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</si>
  <si>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</si>
  <si>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</si>
  <si>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</si>
  <si>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</si>
  <si>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</si>
  <si>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</si>
  <si>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</si>
  <si>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</si>
  <si>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</si>
  <si>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</si>
  <si>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</si>
  <si>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</si>
  <si>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</si>
  <si>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</si>
  <si>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</si>
  <si>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</si>
  <si>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</si>
  <si>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</si>
  <si>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</si>
  <si>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</si>
  <si>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</si>
  <si>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</si>
  <si>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</si>
  <si>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</si>
  <si>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</si>
  <si>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</si>
  <si>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</si>
  <si>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</si>
  <si>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</si>
  <si>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</si>
  <si>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</si>
  <si>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</si>
  <si>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</si>
  <si>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</si>
  <si>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</si>
  <si>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</si>
  <si>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</si>
  <si>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</si>
  <si>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</si>
  <si>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</si>
  <si>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</si>
  <si>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</si>
  <si>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</si>
  <si>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</si>
  <si>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</si>
  <si>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</si>
  <si>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</si>
  <si>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</si>
  <si>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</si>
  <si>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</si>
  <si>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</si>
  <si>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</si>
  <si>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</si>
  <si>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</si>
  <si>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</si>
  <si>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</si>
  <si>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</si>
  <si>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</si>
  <si>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</si>
  <si>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</si>
  <si>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</si>
  <si>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</si>
  <si>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</si>
  <si>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</si>
  <si>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</si>
  <si>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</si>
  <si>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</si>
  <si>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</si>
  <si>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</si>
  <si>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</si>
  <si>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</si>
  <si>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</si>
  <si>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</si>
  <si>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</si>
  <si>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</si>
  <si>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</si>
  <si>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</si>
  <si>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</si>
  <si>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</si>
  <si>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</si>
  <si>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</si>
  <si>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</si>
  <si>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</si>
  <si>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</si>
  <si>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</si>
  <si>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</si>
  <si>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</si>
  <si>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</si>
  <si>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</si>
  <si>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</si>
  <si>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</si>
  <si>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</si>
  <si>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</si>
  <si>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</si>
  <si>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</si>
  <si>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</si>
  <si>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</si>
  <si>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</si>
  <si>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</si>
  <si>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</si>
  <si>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</si>
  <si>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</si>
  <si>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</si>
  <si>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</si>
  <si>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</si>
  <si>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</si>
  <si>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</si>
  <si>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</si>
  <si>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</si>
  <si>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</si>
  <si>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</si>
  <si>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</si>
  <si>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</si>
  <si>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</si>
  <si>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</si>
  <si>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</si>
  <si>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</si>
  <si>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</si>
  <si>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</si>
  <si>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</si>
  <si>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</si>
  <si>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</si>
  <si>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</si>
  <si>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</si>
  <si>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</si>
  <si>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</si>
  <si>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</si>
  <si>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</si>
  <si>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</si>
  <si>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</si>
  <si>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</si>
  <si>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</si>
  <si>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</si>
  <si>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</si>
  <si>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</si>
  <si>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</si>
  <si>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</si>
  <si>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</si>
  <si>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</si>
  <si>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</si>
  <si>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</si>
  <si>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</si>
  <si>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</si>
  <si>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</si>
  <si>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</si>
  <si>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</si>
  <si>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</si>
  <si>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</si>
  <si>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</si>
  <si>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</si>
  <si>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</si>
  <si>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</si>
  <si>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</si>
  <si>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</si>
  <si>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</si>
  <si>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</si>
  <si>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</si>
  <si>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</si>
  <si>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</si>
  <si>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</si>
  <si>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</si>
  <si>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</si>
  <si>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</si>
  <si>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</si>
  <si>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</si>
  <si>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</si>
  <si>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</si>
  <si>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</si>
  <si>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</si>
  <si>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</si>
  <si>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</si>
  <si>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</si>
  <si>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</si>
  <si>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</si>
  <si>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</si>
  <si>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</si>
  <si>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</si>
  <si>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</si>
  <si>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</si>
  <si>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</si>
  <si>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</si>
  <si>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</si>
  <si>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</si>
  <si>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</si>
  <si>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</si>
  <si>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</si>
  <si>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</si>
  <si>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</si>
  <si>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</si>
  <si>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</si>
  <si>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</si>
  <si>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</si>
  <si>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</si>
  <si>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</si>
  <si>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</si>
  <si>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</si>
  <si>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</si>
  <si>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</si>
  <si>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</si>
  <si>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</si>
  <si>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</si>
  <si>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</si>
  <si>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</si>
  <si>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</si>
  <si>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</si>
  <si>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</si>
  <si>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</si>
  <si>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</si>
  <si>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</si>
  <si>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</si>
  <si>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</si>
  <si>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t>企业</t>
  </si>
  <si>
    <t>国测地理信息科技产业园集团有限公司</t>
    <phoneticPr fontId="6" type="noConversion"/>
  </si>
  <si>
    <t>办公项目</t>
  </si>
  <si>
    <t>现房</t>
  </si>
  <si>
    <t>通路</t>
  </si>
  <si>
    <t>通电</t>
  </si>
  <si>
    <t>通讯</t>
  </si>
  <si>
    <t>通上水</t>
  </si>
  <si>
    <t>通下水</t>
  </si>
  <si>
    <t>是</t>
  </si>
  <si>
    <t>地上</t>
  </si>
  <si>
    <t>公共服务</t>
  </si>
  <si>
    <t>地下</t>
  </si>
  <si>
    <t>研发设计</t>
  </si>
  <si>
    <t>研发设计</t>
    <phoneticPr fontId="7" type="noConversion"/>
  </si>
  <si>
    <t>成新度</t>
  </si>
  <si>
    <t>收益法</t>
  </si>
  <si>
    <t>一般</t>
  </si>
  <si>
    <t>一般</t>
    <phoneticPr fontId="40" type="noConversion"/>
  </si>
  <si>
    <t>一般</t>
    <phoneticPr fontId="24" type="noConversion"/>
  </si>
  <si>
    <t>一般</t>
    <phoneticPr fontId="24" type="noConversion"/>
  </si>
  <si>
    <t>一般</t>
    <phoneticPr fontId="40" type="noConversion"/>
  </si>
  <si>
    <t>一般</t>
    <phoneticPr fontId="40" type="noConversion"/>
  </si>
  <si>
    <t>七通</t>
    <phoneticPr fontId="24" type="noConversion"/>
  </si>
  <si>
    <t>较好</t>
  </si>
  <si>
    <t>较好</t>
    <phoneticPr fontId="40" type="noConversion"/>
  </si>
  <si>
    <t>自定义容积率</t>
  </si>
  <si>
    <r>
      <rPr>
        <sz val="10"/>
        <color theme="9" tint="-0.249977111117893"/>
        <rFont val="宋体"/>
        <family val="3"/>
        <charset val="134"/>
      </rPr>
      <t>顺义区汇海南路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25</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10</t>
    </r>
    <r>
      <rPr>
        <sz val="10"/>
        <color theme="9" tint="-0.249977111117893"/>
        <rFont val="宋体"/>
        <family val="3"/>
        <charset val="134"/>
      </rPr>
      <t>层</t>
    </r>
    <r>
      <rPr>
        <sz val="10"/>
        <color theme="9" tint="-0.249977111117893"/>
        <rFont val="Arial"/>
        <family val="2"/>
      </rPr>
      <t>101</t>
    </r>
    <phoneticPr fontId="6" type="noConversion"/>
  </si>
  <si>
    <t>不临65条商业街</t>
  </si>
  <si>
    <t>平整</t>
  </si>
  <si>
    <t>与级别开发程度不一致</t>
  </si>
  <si>
    <t>中心城区以外</t>
  </si>
  <si>
    <t>好</t>
  </si>
  <si>
    <t>未包含在土地购买价格中</t>
  </si>
  <si>
    <t>已包含在土地取得成本中</t>
  </si>
  <si>
    <t>押一</t>
  </si>
  <si>
    <t>钢混</t>
  </si>
  <si>
    <t>非生产用房</t>
  </si>
  <si>
    <t>否</t>
  </si>
  <si>
    <t>成本法</t>
  </si>
  <si>
    <t>总价</t>
  </si>
  <si>
    <t>办公</t>
    <phoneticPr fontId="3" type="noConversion"/>
  </si>
  <si>
    <t>车位</t>
    <phoneticPr fontId="3" type="noConversion"/>
  </si>
  <si>
    <t>中行首都机场支行楼上办公</t>
    <phoneticPr fontId="134" type="noConversion"/>
  </si>
  <si>
    <t>提供的租赁合同</t>
    <phoneticPr fontId="134" type="noConversion"/>
  </si>
  <si>
    <t>项目局部</t>
  </si>
  <si>
    <t>折地上</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</si>
</sst>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137949</xdr:rowOff>
    </xdr:from>
    <xdr:to>
      <xdr:col>4</xdr:col>
      <xdr:colOff>454601</xdr:colOff>
      <xdr:row>21</xdr:row>
      <xdr:rowOff>70847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1121"/>
          <a:ext cx="3187291" cy="2836381"/>
        </a:xfrm>
        <a:prstGeom prst="rect">
          <a:avLst/>
        </a:prstGeom>
      </xdr:spPr>
    </xdr:pic>
    <xdr:clientData/>
  </xdr:twoCellAnchor>
  <xdr:twoCellAnchor editAs="oneCell">
    <xdr:from>
      <xdr:col>5</xdr:col>
      <xdr:colOff>0</xdr:colOff>
      <xdr:row>5</xdr:row>
      <xdr:rowOff>0</xdr:rowOff>
    </xdr:from>
    <xdr:to>
      <xdr:col>9</xdr:col>
      <xdr:colOff>295881</xdr:colOff>
      <xdr:row>33</xdr:row>
      <xdr:rowOff>65413</xdr:rowOff>
    </xdr:to>
    <xdr:pic>
      <xdr:nvPicPr>
        <xdr:cNvPr id="3" name="图片 2"/>
        <xdr:cNvPicPr>
          <a:picLocks noChangeAspect="1"/>
        </xdr:cNvPicPr>
      </xdr:nvPicPr>
      <xdr:blipFill>
        <a:blip xmlns:r="http://schemas.openxmlformats.org/officeDocument/2006/relationships" r:embed="rId2"/>
        <a:stretch>
          <a:fillRect/>
        </a:stretch>
      </xdr:blipFill>
      <xdr:spPr>
        <a:xfrm>
          <a:off x="3415862" y="853966"/>
          <a:ext cx="3028571" cy="4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北京市顺义区汇海南路6号院25号楼-2至10层101房地产抵押价值预评估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受贵公司委托，我公司对北京市顺义区汇海南路6号院25号楼-2至10层101房地产抵押价值进行了预评估。</v>
      </c>
    </row>
    <row r="7" spans="1:2" s="1203" customFormat="1">
      <c r="A7" s="1201" t="s">
        <v>566</v>
      </c>
      <c r="B7" s="1202" t="str">
        <f>'预评函-1'!A7</f>
        <v>估价对象为北京市顺义区汇海南路6号院25号楼-2至10层101房地产，为国测地理信息科技产业园集团有限公司所有。根据《国有土地使用证》[]，估价对象（分摊）出让国有建设用地使用权面积为0平方米，建筑面积为16295.3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汇海南路6号院25号楼-2至10层101房地产,属国测地理信息科技产业园集团有限公司开发建设的办公项目，该项目尚在开发建设中。根据《国有土地使用证》[]，估价对象（分摊）出让国有建设用地使用权面积为0平方米，规划建筑面积为16295.3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2024年11月7日（评估专业人员实地查勘之日）</v>
      </c>
    </row>
    <row r="13" spans="1:2" s="1203" customFormat="1">
      <c r="A13" s="1201" t="s">
        <v>529</v>
      </c>
      <c r="B13" s="1202" t="str">
        <f>'预评函-1'!A18</f>
        <v>本次估价的“房地产价值”是指在正常市场情况下，在价值时点2024年11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28106</v>
      </c>
    </row>
    <row r="21" spans="1:2" s="1203" customFormat="1">
      <c r="A21" s="1201" t="s">
        <v>537</v>
      </c>
      <c r="B21" s="1202">
        <f ca="1">'预评函-2'!D7</f>
        <v>17248</v>
      </c>
    </row>
    <row r="22" spans="1:2" s="1203" customFormat="1">
      <c r="A22" s="1201" t="s">
        <v>538</v>
      </c>
      <c r="B22" s="1202" t="str">
        <f ca="1">'预评函-2'!D6</f>
        <v>贰亿捌仟壹佰零陆万元整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28106</v>
      </c>
    </row>
    <row r="31" spans="1:2" s="1203" customFormat="1">
      <c r="A31" s="1201" t="s">
        <v>576</v>
      </c>
      <c r="B31" s="1202">
        <f ca="1">'预评函-2'!D15</f>
        <v>17248</v>
      </c>
    </row>
    <row r="32" spans="1:2" s="1203" customFormat="1">
      <c r="A32" s="1201" t="s">
        <v>543</v>
      </c>
      <c r="B32" s="1202" t="str">
        <f ca="1">'预评函-2'!D14</f>
        <v>贰亿捌仟壹佰零陆万元整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北京市顺义区汇海南路6号院25号楼-2至10层101房地产</v>
      </c>
    </row>
    <row r="42" spans="1:2" s="1203" customFormat="1">
      <c r="A42" s="1201" t="s">
        <v>590</v>
      </c>
      <c r="B42" s="1202" t="str">
        <f>'预评函-3'!B2</f>
        <v>建筑面积</v>
      </c>
    </row>
    <row r="43" spans="1:2" s="1203" customFormat="1">
      <c r="A43" s="1201" t="s">
        <v>591</v>
      </c>
      <c r="B43" s="1202">
        <f>'预评函-3'!B4</f>
        <v>16295.3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2575</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2576</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494" t="s">
        <v>2578</v>
      </c>
      <c r="J2" s="3494"/>
      <c r="K2" s="3494"/>
      <c r="L2" s="3494"/>
      <c r="M2" s="3494"/>
      <c r="N2" s="3494"/>
      <c r="O2" s="3494"/>
      <c r="P2" s="3494"/>
      <c r="Q2" s="3494"/>
      <c r="R2" s="3494"/>
    </row>
    <row r="3" spans="1:18">
      <c r="A3" s="3017" t="s">
        <v>2499</v>
      </c>
      <c r="B3" s="3018">
        <f>项目基本情况!D3</f>
        <v>45603</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2.11</v>
      </c>
      <c r="D5" s="3022">
        <f>IF(ISERROR(ROUND(POWER(1+E5,A5-C5)*(POWER(1+E5,C5)-1)/(POWER(1+E5,A5)-1),3)),0,ROUND(POWER(1+E5,A5-C5)*(POWER(1+E5,C5)-1)/(POWER(1+E5,A5)-1),4))</f>
        <v>0.1003</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12.12</v>
      </c>
      <c r="D6" s="3022">
        <f>IF(ISERROR(ROUND(POWER(1+E6,A6-C6)*(POWER(1+E6,C6)-1)/(POWER(1+E6,A6)-1),3)),0,ROUND(POWER(1+E6,A6-C6)*(POWER(1+E6,C6)-1)/(POWER(1+E6,A6)-1),4))</f>
        <v>0.44030000000000002</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32.130000000000003</v>
      </c>
      <c r="D7" s="3022">
        <f>IF(ISERROR(ROUND(POWER(1+E7,A7-C7)*(POWER(1+E7,C7)-1)/(POWER(1+E7,A7)-1),3)),0,ROUND(POWER(1+E7,A7-C7)*(POWER(1+E7,C7)-1)/(POWER(1+E7,A7)-1),4))</f>
        <v>0.76559999999999995</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北京市顺义区汇海南路6号院25号楼-2至10层101房地产抵押价值预评估</v>
      </c>
      <c r="C1" s="3496"/>
      <c r="D1" s="3496"/>
      <c r="E1" s="3496"/>
      <c r="F1" s="3496"/>
      <c r="G1" s="3496"/>
      <c r="H1" s="3496"/>
      <c r="I1" s="3497"/>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北京市顺义区汇海南路6号院25号楼-2至10层101房地产抵押价值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北京市顺义区汇海南路6号院25号楼-2至10层101房地产</v>
      </c>
      <c r="T2" s="1745"/>
      <c r="U2" s="1745"/>
      <c r="V2" s="1745"/>
      <c r="W2" s="1745"/>
      <c r="X2" s="1745"/>
      <c r="Y2" s="1745"/>
      <c r="Z2" s="1745"/>
      <c r="AA2" s="1745"/>
      <c r="AB2" s="1745"/>
    </row>
    <row r="3" spans="1:30">
      <c r="A3" s="302" t="s">
        <v>2170</v>
      </c>
      <c r="B3" s="2373">
        <v>45603</v>
      </c>
      <c r="C3" s="2374" t="s">
        <v>2171</v>
      </c>
      <c r="D3" s="2373">
        <f>B3</f>
        <v>45603</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3385</v>
      </c>
      <c r="C4" s="2376">
        <f ca="1">SUMIF(注册房地产估价师,B4,估价师及机构信息!B3:B24)</f>
        <v>1120100036</v>
      </c>
      <c r="D4" s="2375" t="s">
        <v>3386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3387</v>
      </c>
      <c r="C8" s="2390"/>
      <c r="D8" s="3498" t="s">
        <v>2177</v>
      </c>
      <c r="E8" s="2391" t="s">
        <v>3388</v>
      </c>
      <c r="F8" s="2392"/>
      <c r="G8" s="2660"/>
      <c r="H8" s="2660"/>
      <c r="I8" s="2660"/>
      <c r="J8" s="2438"/>
      <c r="K8" s="2611"/>
      <c r="L8" s="2610"/>
      <c r="M8" s="2610"/>
      <c r="N8" s="2438"/>
      <c r="O8" s="2449"/>
      <c r="P8" s="2438"/>
      <c r="Q8" s="2438"/>
      <c r="R8" s="2438"/>
    </row>
    <row r="9" spans="1:30" ht="13.5" thickBot="1">
      <c r="A9" s="2393" t="s">
        <v>2178</v>
      </c>
      <c r="B9" s="2394" t="s">
        <v>3388</v>
      </c>
      <c r="C9" s="2395"/>
      <c r="D9" s="3499"/>
      <c r="E9" s="2394" t="s">
        <v>43</v>
      </c>
      <c r="F9" s="2396"/>
      <c r="G9" s="2662"/>
      <c r="H9" s="2662"/>
      <c r="I9" s="2662"/>
      <c r="J9" s="2438"/>
      <c r="K9" s="2613"/>
      <c r="L9" s="2610"/>
      <c r="M9" s="2610"/>
      <c r="N9" s="2438"/>
      <c r="O9" s="2449"/>
      <c r="P9" s="2438"/>
      <c r="Q9" s="2438"/>
      <c r="R9" s="2438"/>
    </row>
    <row r="10" spans="1:30" ht="13.5" thickTop="1">
      <c r="A10" s="2397" t="s">
        <v>2179</v>
      </c>
      <c r="B10" s="2398" t="s">
        <v>3389</v>
      </c>
      <c r="C10" s="2399"/>
      <c r="D10" s="2382"/>
      <c r="E10" s="2400" t="s">
        <v>2180</v>
      </c>
      <c r="F10" s="2663" t="s">
        <v>3417</v>
      </c>
      <c r="G10" s="2664"/>
      <c r="H10" s="2665"/>
      <c r="I10" s="2666"/>
      <c r="J10" s="2438"/>
      <c r="K10" s="2613"/>
      <c r="L10" s="2610"/>
      <c r="M10" s="2610"/>
      <c r="N10" s="2438"/>
      <c r="O10" s="2449"/>
      <c r="P10" s="2438"/>
      <c r="Q10" s="2438"/>
      <c r="R10" s="2438"/>
    </row>
    <row r="11" spans="1:30" ht="36">
      <c r="A11" s="2401" t="s">
        <v>2181</v>
      </c>
      <c r="B11" s="2402" t="s">
        <v>3390</v>
      </c>
      <c r="C11" s="3446" t="s">
        <v>3391</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2574</v>
      </c>
      <c r="J12" s="3059"/>
      <c r="K12" s="2610"/>
      <c r="L12" s="2610"/>
      <c r="M12" s="2438"/>
      <c r="N12" s="2449"/>
      <c r="O12" s="2438"/>
      <c r="P12" s="2438"/>
      <c r="Q12" s="2438"/>
      <c r="AD12" s="1745"/>
    </row>
    <row r="13" spans="1:30">
      <c r="A13" s="3420" t="s">
        <v>3329</v>
      </c>
      <c r="B13" s="2406" t="s">
        <v>2190</v>
      </c>
      <c r="C13" s="856"/>
      <c r="D13" s="856"/>
      <c r="E13" s="856"/>
      <c r="F13" s="856">
        <f>I13</f>
        <v>59779</v>
      </c>
      <c r="G13" s="856"/>
      <c r="H13" s="856"/>
      <c r="I13" s="856">
        <v>59779</v>
      </c>
      <c r="J13" s="3059"/>
      <c r="K13" s="2610"/>
      <c r="L13" s="2610"/>
      <c r="M13" s="2438"/>
      <c r="N13" s="2449"/>
      <c r="O13" s="2438"/>
      <c r="P13" s="2438"/>
      <c r="Q13" s="2438"/>
      <c r="AD13" s="1745"/>
    </row>
    <row r="14" spans="1:30">
      <c r="A14" s="1081"/>
      <c r="B14" s="2406" t="s">
        <v>2191</v>
      </c>
      <c r="C14" s="2407"/>
      <c r="D14" s="2407"/>
      <c r="E14" s="2407"/>
      <c r="F14" s="2407">
        <v>50</v>
      </c>
      <c r="G14" s="2407"/>
      <c r="H14" s="2407"/>
      <c r="I14" s="2407">
        <v>50</v>
      </c>
      <c r="J14" s="3060"/>
      <c r="K14" s="2610"/>
      <c r="L14" s="2610"/>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38.83</v>
      </c>
      <c r="G15" s="2409" t="str">
        <f>IF(A13="出让",IF(G13="","",ROUNDDOWN(MIN((G13-$D$3)/365,G14),2)),G14)</f>
        <v/>
      </c>
      <c r="H15" s="2409" t="str">
        <f>IF(A13="出让",IF(H13="","",ROUNDDOWN(MIN((H13-$D$3)/365,H14),2)),H14)</f>
        <v/>
      </c>
      <c r="I15" s="2409">
        <f>IF(A13="出让",IF(I13="","",ROUNDDOWN(MIN((I13-$D$3)/365,I14),2)),I14)</f>
        <v>38.83</v>
      </c>
      <c r="J15" s="3061"/>
      <c r="K15" s="2450"/>
      <c r="L15" s="2450"/>
      <c r="M15" s="2506"/>
      <c r="N15" s="2450"/>
      <c r="O15" s="2506"/>
      <c r="P15" s="2438"/>
      <c r="Q15" s="2438"/>
      <c r="AD15" s="1745"/>
    </row>
    <row r="16" spans="1:30">
      <c r="A16" s="2400" t="s">
        <v>2193</v>
      </c>
      <c r="B16" s="3505"/>
      <c r="C16" s="3506"/>
      <c r="D16" s="3507"/>
      <c r="E16" s="2412" t="s">
        <v>2194</v>
      </c>
      <c r="F16" s="3508"/>
      <c r="G16" s="3509"/>
      <c r="H16" s="3509"/>
      <c r="I16" s="3510"/>
      <c r="J16" s="2438"/>
      <c r="K16" s="2614"/>
      <c r="L16" s="2450"/>
      <c r="M16" s="2450"/>
      <c r="N16" s="2506"/>
      <c r="O16" s="2450"/>
      <c r="P16" s="2506"/>
      <c r="Q16" s="2438"/>
      <c r="R16" s="2438"/>
    </row>
    <row r="17" spans="1:28">
      <c r="A17" s="313" t="s">
        <v>2195</v>
      </c>
      <c r="B17" s="302" t="s">
        <v>2196</v>
      </c>
      <c r="C17" s="8">
        <f>'数据-汇总表'!E3</f>
        <v>16295.3</v>
      </c>
      <c r="D17" s="2322" t="s">
        <v>2197</v>
      </c>
      <c r="E17" s="3511" t="s">
        <v>2198</v>
      </c>
      <c r="F17" s="3512"/>
      <c r="G17" s="3512"/>
      <c r="H17" s="3512"/>
      <c r="I17" s="3513"/>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514" t="s">
        <v>2202</v>
      </c>
      <c r="F18" s="3515"/>
      <c r="G18" s="3515"/>
      <c r="H18" s="3515"/>
      <c r="I18" s="3516"/>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501" t="s">
        <v>2206</v>
      </c>
      <c r="C20" s="3502"/>
      <c r="D20" s="3503" t="s">
        <v>2207</v>
      </c>
      <c r="E20" s="3504"/>
      <c r="F20" s="2644" t="s">
        <v>1056</v>
      </c>
      <c r="G20" s="2661"/>
      <c r="H20" s="2661"/>
      <c r="I20" s="2661"/>
      <c r="J20" s="2438"/>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8"/>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18" t="s">
        <v>2214</v>
      </c>
      <c r="B27" s="320" t="s">
        <v>2215</v>
      </c>
      <c r="C27" s="2415" t="s">
        <v>3392</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8"/>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8"/>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9"/>
      <c r="B30" s="302" t="s">
        <v>2218</v>
      </c>
      <c r="C30" s="3520"/>
      <c r="D30" s="3521"/>
      <c r="E30" s="2661"/>
      <c r="F30" s="2661"/>
      <c r="G30" s="2661"/>
      <c r="H30" s="2661"/>
      <c r="I30" s="2661"/>
      <c r="J30" s="2438"/>
      <c r="K30" s="2613"/>
      <c r="L30" s="2610"/>
      <c r="M30" s="2610"/>
      <c r="N30" s="2438"/>
      <c r="O30" s="2449"/>
      <c r="P30" s="2438"/>
      <c r="Q30" s="2438"/>
      <c r="R30" s="2438"/>
      <c r="S30" s="2438"/>
      <c r="T30" s="2438"/>
      <c r="U30" s="2438"/>
      <c r="V30" s="2438"/>
    </row>
    <row r="31" spans="1:28">
      <c r="A31" s="3522" t="s">
        <v>2219</v>
      </c>
      <c r="B31" s="2421" t="s">
        <v>3393</v>
      </c>
      <c r="C31" s="2323"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23"/>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23"/>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t="s">
        <v>3394</v>
      </c>
      <c r="C34" s="2026" t="s">
        <v>3395</v>
      </c>
      <c r="D34" s="2026" t="s">
        <v>3396</v>
      </c>
      <c r="E34" s="2026" t="s">
        <v>3397</v>
      </c>
      <c r="F34" s="2026" t="s">
        <v>3398</v>
      </c>
      <c r="G34" s="2026"/>
      <c r="H34" s="2026"/>
      <c r="I34" s="2661"/>
      <c r="J34" s="2438"/>
      <c r="K34" s="2426">
        <f>COUNTIF(B34:H34,"——")</f>
        <v>0</v>
      </c>
      <c r="L34" s="323" t="s">
        <v>2221</v>
      </c>
      <c r="M34" s="323" t="s">
        <v>2222</v>
      </c>
      <c r="N34" s="323" t="s">
        <v>2223</v>
      </c>
      <c r="O34" s="323" t="s">
        <v>2224</v>
      </c>
      <c r="P34" s="323" t="s">
        <v>2225</v>
      </c>
      <c r="Q34" s="323" t="s">
        <v>2226</v>
      </c>
      <c r="R34" s="323" t="s">
        <v>2227</v>
      </c>
      <c r="S34" s="3517" t="s">
        <v>2228</v>
      </c>
      <c r="T34" s="2427" t="str">
        <f>NUMBERSTRING(7-K34,1)&amp;"通"</f>
        <v>七通</v>
      </c>
      <c r="U34" s="2438"/>
      <c r="V34" s="2438"/>
    </row>
    <row r="35" spans="1:30">
      <c r="A35" s="2428"/>
      <c r="B35" s="3524" t="s">
        <v>2229</v>
      </c>
      <c r="C35" s="3524"/>
      <c r="D35" s="3524"/>
      <c r="E35" s="3524"/>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7"/>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2" t="s">
        <v>2577</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t="s">
        <v>304</v>
      </c>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t="s">
        <v>264</v>
      </c>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6"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16295.3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16295.3</v>
      </c>
      <c r="H5" s="13">
        <f t="shared" ref="H5:AT5" si="0">SUM(H13:H656)</f>
        <v>16295.3</v>
      </c>
      <c r="I5" s="13">
        <f t="shared" si="0"/>
        <v>13579.42</v>
      </c>
      <c r="J5" s="13">
        <f t="shared" si="0"/>
        <v>0</v>
      </c>
      <c r="K5" s="13">
        <f t="shared" si="0"/>
        <v>2715.88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16295.3</v>
      </c>
      <c r="BA5" s="15">
        <f t="shared" si="1"/>
        <v>16295.3</v>
      </c>
      <c r="BB5" s="15">
        <f t="shared" si="1"/>
        <v>13579.42</v>
      </c>
      <c r="BC5" s="15">
        <f t="shared" si="1"/>
        <v>2715.88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3400</v>
      </c>
      <c r="J9" s="809"/>
      <c r="K9" s="1603" t="s">
        <v>3402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3401</v>
      </c>
      <c r="J10" s="809"/>
      <c r="K10" s="1609" t="s">
        <v>3330</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v>8153.25</v>
      </c>
      <c r="C13" s="1051"/>
      <c r="D13" s="1625" t="s">
        <v>3399</v>
      </c>
      <c r="E13" s="13">
        <f>IF($C$3="是",ROUND($A$3*G13/$B$3,2),ROUND($A$3*(G13-AT13)/$B$3,2))</f>
        <v>0</v>
      </c>
      <c r="F13" s="29"/>
      <c r="G13" s="30">
        <f>H13+AC13+AT13</f>
        <v>8153.25</v>
      </c>
      <c r="H13" s="17">
        <f>SUMIF(I$12:AB$12,"总值",I13:AB13)</f>
        <v>8153.25</v>
      </c>
      <c r="I13" s="1626">
        <f>ROUND(B13/12*10,2)</f>
        <v>6794.38</v>
      </c>
      <c r="J13" s="1626"/>
      <c r="K13" s="1626">
        <f>B13-I13</f>
        <v>1358.87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8153.25</v>
      </c>
      <c r="AX13" s="8">
        <f t="shared" si="6"/>
        <v>0</v>
      </c>
      <c r="AY13" s="1349">
        <f>ROUND($AY$6*AZ13/$AZ$5,2)</f>
        <v>0</v>
      </c>
      <c r="AZ13" s="13">
        <f>BA13+BL13</f>
        <v>8153.25</v>
      </c>
      <c r="BA13" s="13">
        <f>SUM(BB13:BK13)</f>
        <v>8153.25</v>
      </c>
      <c r="BB13" s="13">
        <f>IF($D13="是",I13-J13,0)</f>
        <v>6794.38</v>
      </c>
      <c r="BC13" s="13">
        <f>IF($D13="是",K13-L13,0)</f>
        <v>1358.87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v>8142.05</v>
      </c>
      <c r="C14" s="1570"/>
      <c r="D14" s="1625" t="s">
        <v>3399</v>
      </c>
      <c r="E14" s="13">
        <f>IF($C$3="是",ROUND($A$3*G14/$B$3,2),ROUND($A$3*(G14-AT14)/$B$3,2))</f>
        <v>0</v>
      </c>
      <c r="F14" s="29"/>
      <c r="G14" s="30">
        <f>H14+AC14+AT14</f>
        <v>8142.05</v>
      </c>
      <c r="H14" s="17">
        <f>SUMIF(I$12:AB$12,"总值",I14:AB14)</f>
        <v>8142.05</v>
      </c>
      <c r="I14" s="1626">
        <f>ROUND(B14/12*10,2)</f>
        <v>6785.04</v>
      </c>
      <c r="J14" s="1626"/>
      <c r="K14" s="1626">
        <f>B14-I14</f>
        <v>1357.0100000000002</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8142.05</v>
      </c>
      <c r="AX14" s="8">
        <f t="shared" si="6"/>
        <v>0</v>
      </c>
      <c r="AY14" s="1349">
        <f>ROUND($AY$6*AZ14/$AZ$5,2)</f>
        <v>0</v>
      </c>
      <c r="AZ14" s="13">
        <f>BA14+BL14</f>
        <v>8142.05</v>
      </c>
      <c r="BA14" s="13">
        <f>SUM(BB14:BK14)</f>
        <v>8142.05</v>
      </c>
      <c r="BB14" s="13">
        <f>IF($D14="是",I14-J14,0)</f>
        <v>6785.04</v>
      </c>
      <c r="BC14" s="13">
        <f>IF($D14="是",K14-L14,0)</f>
        <v>1357.0100000000002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E38" sqref="E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6"/>
      <c r="G2" s="2647"/>
      <c r="H2" s="2648"/>
      <c r="I2" s="2325" t="s">
        <v>1132</v>
      </c>
      <c r="J2" s="2656"/>
      <c r="K2" s="2656"/>
      <c r="L2" s="2656"/>
      <c r="M2" s="2656"/>
      <c r="N2" s="2658"/>
      <c r="O2" s="2656"/>
      <c r="P2" s="2656"/>
    </row>
    <row r="3" spans="1:16" ht="15.75" thickBot="1">
      <c r="A3" s="3535" t="s">
        <v>1105</v>
      </c>
      <c r="B3" s="3535"/>
      <c r="C3" s="3535"/>
      <c r="D3" s="43">
        <f>'数据-基础表'!AY6</f>
        <v>0</v>
      </c>
      <c r="E3" s="43">
        <f>'数据-基础表'!AZ5</f>
        <v>16295.3</v>
      </c>
      <c r="F3" s="2656"/>
      <c r="G3" s="1145"/>
      <c r="H3" s="1026" t="s">
        <v>1106</v>
      </c>
      <c r="I3" s="855" t="e">
        <f>ROUND('数据-基础表'!B3/'数据-基础表'!A3,2)</f>
        <v>#DIV/0!</v>
      </c>
      <c r="J3" s="2656"/>
      <c r="K3" s="2656"/>
      <c r="L3" s="2656"/>
      <c r="M3" s="2656"/>
      <c r="N3" s="2658"/>
      <c r="O3" s="2656"/>
      <c r="P3" s="2656"/>
    </row>
    <row r="4" spans="1:16" ht="15">
      <c r="A4" s="3536"/>
      <c r="B4" s="3537"/>
      <c r="C4" s="3538"/>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39" t="s">
        <v>1110</v>
      </c>
      <c r="C5" s="3539"/>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39" t="s">
        <v>1111</v>
      </c>
      <c r="C6" s="3539"/>
      <c r="D6" s="45">
        <f>ROUND($D$3*E6/$E$3,2)</f>
        <v>0</v>
      </c>
      <c r="E6" s="46">
        <f>E3-E5</f>
        <v>16295.3</v>
      </c>
      <c r="F6" s="2656"/>
      <c r="G6" s="2650" t="s">
        <v>1112</v>
      </c>
      <c r="H6" s="1146" t="s">
        <v>1113</v>
      </c>
      <c r="I6" s="2651" t="e">
        <f>ROUND(F31/D31,2)</f>
        <v>#DIV/0!</v>
      </c>
      <c r="J6" s="2656"/>
      <c r="K6" s="2656"/>
      <c r="L6" s="2656"/>
      <c r="M6" s="2656"/>
      <c r="N6" s="2656"/>
      <c r="O6" s="2656"/>
      <c r="P6" s="2656"/>
    </row>
    <row r="7" spans="1:16" ht="15.75" thickBot="1">
      <c r="A7" s="3531"/>
      <c r="B7" s="3532"/>
      <c r="C7" s="3533"/>
      <c r="D7" s="1641" t="s">
        <v>1107</v>
      </c>
      <c r="E7" s="1645" t="s">
        <v>1114</v>
      </c>
      <c r="F7" s="2656"/>
      <c r="G7" s="2652" t="s">
        <v>1115</v>
      </c>
      <c r="H7" s="2653"/>
      <c r="I7" s="2654">
        <v>2</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13579.42</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2715.88</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16295.3</v>
      </c>
      <c r="F16" s="2656"/>
      <c r="G16" s="2657"/>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3404</v>
      </c>
      <c r="D19" s="45">
        <f>ROUND($D$3*E19/$E$3,2)</f>
        <v>0</v>
      </c>
      <c r="E19" s="53">
        <f t="shared" ref="E19:E26" si="1">SUM(F19:G19)</f>
        <v>16295.3</v>
      </c>
      <c r="F19" s="2792">
        <f>'数据-基础表'!I5</f>
        <v>13579.42</v>
      </c>
      <c r="G19" s="2793">
        <f>'数据-基础表'!K5</f>
        <v>2715.88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16295.3</v>
      </c>
    </row>
    <row r="20" spans="1:19">
      <c r="A20" s="1670"/>
      <c r="B20" s="47" t="s">
        <v>1153</v>
      </c>
      <c r="C20" s="3415"/>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16295.3</v>
      </c>
      <c r="F27" s="1140">
        <f>IF(SUM(F19:F26)=E8,SUM(F19:F26),"地上面积有误")</f>
        <v>13579.42</v>
      </c>
      <c r="G27" s="1142">
        <f>SUM(G19:G26)</f>
        <v>2715.88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16295.3</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16295.3</v>
      </c>
      <c r="F31" s="677">
        <f>F27+F30</f>
        <v>13579.42</v>
      </c>
      <c r="G31" s="678">
        <f>G27+G30</f>
        <v>2715.88</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7">
      <c r="D33" s="1678"/>
    </row>
    <row r="37" spans="4:7">
      <c r="F37" s="1638">
        <v>22000</v>
      </c>
      <c r="G37" s="1638">
        <v>3000</v>
      </c>
    </row>
    <row r="38" spans="4:7">
      <c r="E38" s="1638">
        <f>F38+G38</f>
        <v>30690</v>
      </c>
      <c r="F38" s="1638">
        <f>ROUND(F37*F31/10000,0)</f>
        <v>29875</v>
      </c>
      <c r="G38" s="1638">
        <f>ROUND(G37*G31/10000,0)</f>
        <v>815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F12"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45603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研发设计</v>
      </c>
      <c r="B6" s="1713" t="str">
        <f>IF(A6=0,"","经营性")</f>
        <v>经营性</v>
      </c>
      <c r="C6" s="1714" t="s">
        <v>3401</v>
      </c>
      <c r="D6" s="858">
        <f>SUMIF(项目基本情况!C$12:I$12,C6,项目基本情况!C$14:I$14)</f>
        <v>50</v>
      </c>
      <c r="E6" s="857">
        <f>IF(B6="","",SUMIF(项目基本情况!C$12:I$12,C6,项目基本情况!C$13:I$13))</f>
        <v>59779</v>
      </c>
      <c r="F6" s="64">
        <f>SUMIF(项目基本情况!C$12:I$12,C6,项目基本情况!C$15:I$15)</f>
        <v>38.83</v>
      </c>
      <c r="G6" s="65">
        <f>IF(ISERROR(ROUND(POWER(1+H6,D6-F6)*(POWER(1+H6,F6)-1)/(POWER(1+H6,D6)-1),3)),0,ROUND(POWER(1+H6,D6-F6)*(POWER(1+H6,F6)-1)/(POWER(1+H6,D6)-1),3))</f>
        <v>0.93100000000000005</v>
      </c>
      <c r="H6" s="732">
        <v>0.05</v>
      </c>
      <c r="I6" s="732">
        <v>5.5E-2</v>
      </c>
      <c r="J6" s="66">
        <v>7.0000000000000007E-2</v>
      </c>
      <c r="K6" s="1030">
        <f>SUMIF('数据-汇总表'!C$19:C$33,A6,'数据-汇总表'!E$19:E$33)</f>
        <v>16295.3</v>
      </c>
      <c r="L6" s="733">
        <v>6000</v>
      </c>
      <c r="M6" s="67">
        <f t="shared" ref="M6:M14" si="0">ROUND(K6*L6/10000,0)</f>
        <v>9777</v>
      </c>
      <c r="N6" s="731">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5">
        <v>3.5</v>
      </c>
      <c r="V6" s="70">
        <v>0.02</v>
      </c>
      <c r="W6" s="70">
        <v>0.1</v>
      </c>
      <c r="X6" s="1040"/>
      <c r="Y6" s="71">
        <v>1</v>
      </c>
      <c r="Z6" s="72"/>
      <c r="AA6" s="66"/>
      <c r="AB6" s="66"/>
      <c r="AC6" s="1040"/>
      <c r="AD6" s="73"/>
      <c r="AE6" s="1041">
        <f ca="1">IF(AN6="",0,SUMIF(INDIRECT("'"&amp;AN6&amp;"'"&amp;"!E:E"),$AE$5,INDIRECT("'"&amp;AN6&amp;"'"&amp;"!F:F")))</f>
        <v>38.83</v>
      </c>
      <c r="AF6" s="1348"/>
      <c r="AG6" s="138">
        <f>IF(AF6="",0,AE6-AF6)</f>
        <v>0</v>
      </c>
      <c r="AH6" s="74"/>
      <c r="AI6" s="76">
        <v>365</v>
      </c>
      <c r="AJ6" s="77"/>
      <c r="AK6" s="78">
        <v>4.0000000000000001E-3</v>
      </c>
      <c r="AL6" s="79">
        <v>1E-3</v>
      </c>
      <c r="AM6" s="80">
        <v>5.0000000000000001E-3</v>
      </c>
      <c r="AN6" s="1715" t="s">
        <v>3406</v>
      </c>
      <c r="AO6" s="52">
        <f ca="1">SUMIF(INDIRECT("'"&amp;AN6&amp;"'"&amp;"!A:A"),"总价",INDIRECT("'"&amp;AN6&amp;"'"&amp;"!B:B"))</f>
        <v>31224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0.93100000000000005</v>
      </c>
      <c r="H16" s="90">
        <f>ROUND(SUMPRODUCT(H6:H13,K6:K13)/SUMPRODUCT((H6:H13&gt;0)*(K6:K13)),3)</f>
        <v>0.05</v>
      </c>
      <c r="I16" s="91"/>
      <c r="J16" s="91"/>
      <c r="K16" s="92">
        <f>SUM(K6:K15)</f>
        <v>16295.3</v>
      </c>
      <c r="L16" s="93">
        <f>ROUND(M16*10000/SUM(K6:K14),0)</f>
        <v>6000</v>
      </c>
      <c r="M16" s="93">
        <f>SUM(M6:M14)</f>
        <v>9777</v>
      </c>
      <c r="N16" s="94">
        <f>ROUND(SUMPRODUCT(M6:M14,N6:N14)/M16,3)</f>
        <v>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2299</v>
      </c>
      <c r="D19" s="2673"/>
      <c r="E19" s="2670"/>
      <c r="F19" s="2670"/>
      <c r="G19" s="2670"/>
      <c r="H19" s="2670"/>
      <c r="I19" s="2670"/>
      <c r="J19" s="2670"/>
      <c r="K19" s="2669"/>
      <c r="L19" s="2669"/>
      <c r="M19" s="2668"/>
      <c r="N19" s="2668"/>
      <c r="O19" s="2668"/>
      <c r="P19" s="2668"/>
      <c r="Q19" s="2668"/>
      <c r="R19" s="2668"/>
      <c r="S19" s="2668"/>
      <c r="T19" s="3450" t="s">
        <v>3431</v>
      </c>
      <c r="U19" s="2668">
        <v>4</v>
      </c>
      <c r="V19" s="2668">
        <f>'数据-汇总表'!F19</f>
        <v>13579.42</v>
      </c>
      <c r="W19" s="2668">
        <f>V19*U19</f>
        <v>54317.68</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2297</v>
      </c>
      <c r="D20" s="2673"/>
      <c r="E20" s="2670"/>
      <c r="F20" s="2670"/>
      <c r="G20" s="2670"/>
      <c r="H20" s="2670"/>
      <c r="I20" s="2670"/>
      <c r="J20" s="2670"/>
      <c r="K20" s="2669"/>
      <c r="L20" s="2669"/>
      <c r="M20" s="2668"/>
      <c r="N20" s="2668"/>
      <c r="O20" s="2668"/>
      <c r="P20" s="2668"/>
      <c r="Q20" s="2668"/>
      <c r="R20" s="2668"/>
      <c r="S20" s="2668"/>
      <c r="T20" s="3450" t="s">
        <v>3432</v>
      </c>
      <c r="U20" s="2668">
        <v>600</v>
      </c>
      <c r="V20" s="2668">
        <f>'数据-汇总表'!G19/35</f>
        <v>77.596571428571437</v>
      </c>
      <c r="W20" s="2668">
        <f>V20*U20/30</f>
        <v>1551.9314285714288</v>
      </c>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2</v>
      </c>
      <c r="C21" s="2670"/>
      <c r="D21" s="2673"/>
      <c r="E21" s="2670"/>
      <c r="F21" s="2670"/>
      <c r="G21" s="2670"/>
      <c r="H21" s="2670"/>
      <c r="I21" s="2670"/>
      <c r="J21" s="2670"/>
      <c r="K21" s="2669"/>
      <c r="L21" s="2669"/>
      <c r="M21" s="2668"/>
      <c r="N21" s="2668"/>
      <c r="O21" s="2668"/>
      <c r="P21" s="2668"/>
      <c r="Q21" s="2668"/>
      <c r="R21" s="2668"/>
      <c r="S21" s="2668"/>
      <c r="T21" s="2668"/>
      <c r="U21" s="2668">
        <f>W21/K16</f>
        <v>3.4285721299130074</v>
      </c>
      <c r="V21" s="2668"/>
      <c r="W21" s="2668">
        <f>W20+W19</f>
        <v>55869.611428571428</v>
      </c>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326</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3373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2291</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800" t="s">
        <v>2292</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3374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0.03</v>
      </c>
      <c r="C37" s="2800" t="s">
        <v>2293</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0.03</v>
      </c>
      <c r="C38" s="2800" t="s">
        <v>2293</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2308</v>
      </c>
      <c r="B40" s="1078">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2303</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0" t="s">
        <v>2282</v>
      </c>
      <c r="B1" s="3541"/>
      <c r="C1" s="3541"/>
      <c r="D1" s="3541"/>
      <c r="E1" s="3541"/>
      <c r="F1" s="3541"/>
      <c r="G1" s="35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447" t="s">
        <v>3408</v>
      </c>
      <c r="D3" s="2463"/>
      <c r="E3" s="2441" t="s">
        <v>2280</v>
      </c>
      <c r="F3" s="2464" t="s">
        <v>2253</v>
      </c>
      <c r="G3" s="2465" t="s">
        <v>2281</v>
      </c>
      <c r="H3" s="799"/>
      <c r="I3" s="799"/>
      <c r="J3" s="799"/>
      <c r="K3" s="799"/>
      <c r="L3" s="799"/>
      <c r="M3" s="799"/>
      <c r="N3" s="799"/>
      <c r="O3" s="799"/>
      <c r="P3" s="799"/>
      <c r="Q3" s="799"/>
      <c r="R3" s="799"/>
    </row>
    <row r="4" spans="1:29" ht="36">
      <c r="A4" s="2441"/>
      <c r="B4" s="323" t="s">
        <v>2254</v>
      </c>
      <c r="C4" s="3448" t="s">
        <v>3409</v>
      </c>
      <c r="D4" s="2463"/>
      <c r="E4" s="2466"/>
      <c r="F4" s="1373" t="s">
        <v>2255</v>
      </c>
      <c r="G4" s="2467" t="s">
        <v>2256</v>
      </c>
      <c r="H4" s="799"/>
      <c r="I4" s="799"/>
      <c r="J4" s="799"/>
      <c r="K4" s="799"/>
      <c r="L4" s="799"/>
      <c r="M4" s="799"/>
      <c r="N4" s="799"/>
      <c r="O4" s="799"/>
      <c r="P4" s="799"/>
      <c r="Q4" s="799"/>
      <c r="R4" s="799"/>
    </row>
    <row r="5" spans="1:29" ht="24">
      <c r="A5" s="2441"/>
      <c r="B5" s="323" t="s">
        <v>2257</v>
      </c>
      <c r="C5" s="3448" t="s">
        <v>3410</v>
      </c>
      <c r="D5" s="2463"/>
      <c r="E5" s="2466"/>
      <c r="F5" s="323" t="s">
        <v>2258</v>
      </c>
      <c r="G5" s="2467" t="s">
        <v>2259</v>
      </c>
      <c r="H5" s="799"/>
      <c r="I5" s="799"/>
      <c r="J5" s="799"/>
      <c r="K5" s="799"/>
      <c r="L5" s="799"/>
      <c r="M5" s="799"/>
      <c r="N5" s="799"/>
      <c r="O5" s="799"/>
      <c r="P5" s="799"/>
      <c r="Q5" s="799"/>
      <c r="R5" s="799"/>
    </row>
    <row r="6" spans="1:29">
      <c r="A6" s="2441"/>
      <c r="B6" s="323" t="s">
        <v>2260</v>
      </c>
      <c r="C6" s="3449" t="s">
        <v>3411</v>
      </c>
      <c r="D6" s="2463"/>
      <c r="E6" s="2466"/>
      <c r="F6" s="323" t="s">
        <v>2261</v>
      </c>
      <c r="G6" s="2467" t="s">
        <v>2262</v>
      </c>
      <c r="H6" s="799"/>
      <c r="I6" s="799"/>
      <c r="J6" s="799"/>
      <c r="K6" s="799"/>
      <c r="L6" s="799"/>
      <c r="M6" s="799"/>
      <c r="N6" s="799"/>
      <c r="O6" s="799"/>
      <c r="P6" s="799"/>
      <c r="Q6" s="799"/>
      <c r="R6" s="799"/>
    </row>
    <row r="7" spans="1:29" ht="24.75" thickBot="1">
      <c r="A7" s="2441"/>
      <c r="B7" s="323" t="s">
        <v>2258</v>
      </c>
      <c r="C7" s="3449" t="s">
        <v>3412</v>
      </c>
      <c r="D7" s="2468"/>
      <c r="E7" s="2469"/>
      <c r="F7" s="2470" t="s">
        <v>2263</v>
      </c>
      <c r="G7" s="2471" t="s">
        <v>2264</v>
      </c>
      <c r="H7" s="799"/>
      <c r="I7" s="799"/>
      <c r="J7" s="799"/>
      <c r="K7" s="799"/>
      <c r="L7" s="799"/>
      <c r="M7" s="799"/>
      <c r="N7" s="799"/>
      <c r="O7" s="799"/>
      <c r="P7" s="799"/>
      <c r="Q7" s="799"/>
      <c r="R7" s="799"/>
    </row>
    <row r="8" spans="1:29">
      <c r="A8" s="2441"/>
      <c r="B8" s="323" t="s">
        <v>2261</v>
      </c>
      <c r="C8" s="3449" t="s">
        <v>3413</v>
      </c>
      <c r="D8" s="2468"/>
      <c r="E8" s="2468"/>
      <c r="F8" s="2472"/>
      <c r="G8" s="2472"/>
      <c r="H8" s="799"/>
      <c r="I8" s="799"/>
      <c r="J8" s="799"/>
      <c r="K8" s="799"/>
      <c r="L8" s="799"/>
      <c r="M8" s="799"/>
      <c r="N8" s="799"/>
      <c r="O8" s="799"/>
      <c r="P8" s="799"/>
      <c r="Q8" s="799"/>
      <c r="R8" s="799"/>
    </row>
    <row r="9" spans="1:29">
      <c r="A9" s="2441"/>
      <c r="B9" s="323" t="s">
        <v>2265</v>
      </c>
      <c r="C9" s="3448" t="s">
        <v>3415</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一般</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一般</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2" sqref="H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16295.3</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45603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28106</v>
      </c>
      <c r="C5" s="2509">
        <f ca="1">IF(B5=D14,结果表!H102,ROUND(B5*10000/$B$1,0))</f>
        <v>17248</v>
      </c>
      <c r="D5" s="2509" t="e">
        <f ca="1">ROUND(B5*10000/$B$2,0)</f>
        <v>#DIV/0!</v>
      </c>
      <c r="E5" s="2683"/>
      <c r="F5" s="2684"/>
      <c r="G5" s="2684"/>
      <c r="H5" s="2685"/>
      <c r="I5" s="2685"/>
      <c r="J5" s="2685"/>
      <c r="K5" s="2685"/>
    </row>
    <row r="6" spans="1:11" ht="16.5">
      <c r="A6" s="2509" t="s">
        <v>656</v>
      </c>
      <c r="B6" s="2509">
        <f ca="1">SUM(G14:G23)</f>
        <v>28106</v>
      </c>
      <c r="C6" s="2509">
        <f ca="1">IF(B6=G14,结果表!H108,ROUND(B6*10000/$B$1,0))</f>
        <v>17248</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3353</v>
      </c>
      <c r="D10" s="2509" t="s">
        <v>3354</v>
      </c>
      <c r="E10" s="3438"/>
      <c r="F10" s="3442" t="s">
        <v>3355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16295.3</v>
      </c>
      <c r="C14" s="2515"/>
      <c r="D14" s="2515">
        <f ca="1">结果表!H101</f>
        <v>28106</v>
      </c>
      <c r="E14" s="2515">
        <f ca="1">ROUND(D14*10000/B14,0)</f>
        <v>17248</v>
      </c>
      <c r="F14" s="2515" t="e">
        <f ca="1">ROUND(D14*10000/C14,0)</f>
        <v>#DIV/0!</v>
      </c>
      <c r="G14" s="2515">
        <f ca="1">D14</f>
        <v>28106</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25" sqref="J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3403</v>
      </c>
      <c r="D1" s="1747"/>
      <c r="E1" s="1747"/>
      <c r="F1" s="1749" t="s">
        <v>1263</v>
      </c>
      <c r="G1" s="1561" t="s">
        <v>3393</v>
      </c>
      <c r="H1" s="1750" t="str">
        <f>IF(G1="现房","——","估价对象范围")</f>
        <v>——</v>
      </c>
      <c r="I1" s="1751" t="s">
        <v>3435</v>
      </c>
    </row>
    <row r="2" spans="1:12" ht="21.75" customHeight="1" thickBot="1">
      <c r="A2" s="3609" t="str">
        <f>项目基本情况!S2</f>
        <v>北京市顺义区汇海南路6号院25号楼-2至10层101房地产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3429</v>
      </c>
      <c r="D4" s="1756" t="s">
        <v>3406</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4</v>
      </c>
      <c r="D14" s="3603">
        <v>6</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4" t="s">
        <v>2131</v>
      </c>
      <c r="F18" s="3635"/>
      <c r="G18" s="3635"/>
      <c r="H18" s="3635"/>
      <c r="I18" s="3635"/>
      <c r="K18" s="302" t="s">
        <v>1289</v>
      </c>
      <c r="L18" s="302">
        <f>IF(C1="",'数据-汇总表'!E3,SUMIF(项目类型,C1,'数据-汇总表'!E17:E26)+SUMIF(项目类型,C1,'数据-汇总表'!I17:I26))</f>
        <v>16295.3</v>
      </c>
      <c r="M18" s="302">
        <f>IF(C1="",'数据-汇总表'!E3,SUMIF(项目类型,C1,'数据-汇总表'!E17:E26))</f>
        <v>16295.3</v>
      </c>
    </row>
    <row r="19" spans="1:36" ht="15">
      <c r="A19" s="1761" t="s">
        <v>1290</v>
      </c>
      <c r="B19" s="1762" t="s">
        <v>1291</v>
      </c>
      <c r="C19" s="134">
        <f ca="1">SUMIF(INDIRECT("'"&amp;C4&amp;"'"&amp;"!A:A"),结果表!B19,INDIRECT("'"&amp;C4&amp;"'"&amp;"!B:B"))</f>
        <v>23429</v>
      </c>
      <c r="D19" s="135">
        <f ca="1">SUMIF(INDIRECT("'"&amp;D4&amp;"'"&amp;"!A:A"),结果表!B19,INDIRECT("'"&amp;D4&amp;"'"&amp;"!B:B"))</f>
        <v>31224</v>
      </c>
      <c r="E19" s="1761" t="s">
        <v>1292</v>
      </c>
      <c r="F19" s="1762" t="s">
        <v>1291</v>
      </c>
      <c r="G19" s="136">
        <f ca="1">ROUND(C19*$C$18+D19*$D$18,0)</f>
        <v>28106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14378</v>
      </c>
      <c r="D20" s="138">
        <f ca="1">SUMIF(INDIRECT("'"&amp;D4&amp;"'"&amp;"!A:A"),结果表!B20,INDIRECT("'"&amp;D4&amp;"'"&amp;"!B:B"))</f>
        <v>19161</v>
      </c>
      <c r="E20" s="1764"/>
      <c r="F20" s="1026" t="s">
        <v>1295</v>
      </c>
      <c r="G20" s="139">
        <f ca="1">ROUND(C20*$C$18+D20*$D$18,0)</f>
        <v>17248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0.33270732852447815</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c r="J24" s="3452" t="s">
        <v>3436</v>
      </c>
      <c r="K24" s="725">
        <f ca="1">G19*10000/'数据-汇总表'!F19</f>
        <v>20697.496653023471</v>
      </c>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28106</v>
      </c>
      <c r="D32" s="1775" t="s">
        <v>3430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28106</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0">
        <v>1</v>
      </c>
      <c r="K46" s="3545" t="s">
        <v>1331</v>
      </c>
      <c r="L46" s="3545"/>
      <c r="M46" s="3546"/>
      <c r="N46" s="3546"/>
      <c r="O46" s="3546"/>
    </row>
    <row r="47" spans="1:15" ht="12" customHeight="1">
      <c r="A47" s="160" t="s">
        <v>1332</v>
      </c>
      <c r="B47" s="161"/>
      <c r="C47" s="162"/>
      <c r="D47" s="1087" t="s">
        <v>1333</v>
      </c>
      <c r="E47" s="302" t="s">
        <v>1334</v>
      </c>
      <c r="F47" s="163" t="s">
        <v>1335</v>
      </c>
      <c r="G47" s="2543" t="s">
        <v>1336</v>
      </c>
      <c r="H47" s="2544"/>
      <c r="I47" s="159"/>
      <c r="J47" s="2520">
        <v>2</v>
      </c>
      <c r="K47" s="3545" t="s">
        <v>1337</v>
      </c>
      <c r="L47" s="3545"/>
      <c r="M47" s="3547">
        <f>'数据-取费表'!B2</f>
        <v>45603</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45" t="s">
        <v>1340</v>
      </c>
      <c r="L48" s="3545"/>
      <c r="M48" s="3548">
        <f ca="1">H101</f>
        <v>28106</v>
      </c>
      <c r="N48" s="3548"/>
      <c r="O48" s="3548"/>
    </row>
    <row r="49" spans="1:35" ht="25.5" customHeight="1">
      <c r="A49" s="2333" t="s">
        <v>1341</v>
      </c>
      <c r="B49" s="3593" t="s">
        <v>1342</v>
      </c>
      <c r="C49" s="3593"/>
      <c r="D49" s="1590">
        <v>0</v>
      </c>
      <c r="E49" s="324" t="s">
        <v>1343</v>
      </c>
      <c r="F49" s="2423" t="s">
        <v>28</v>
      </c>
      <c r="G49" s="3576"/>
      <c r="H49" s="2310" t="s">
        <v>2134</v>
      </c>
      <c r="I49" s="2311"/>
      <c r="J49" s="2520">
        <v>4</v>
      </c>
      <c r="K49" s="3545" t="str">
        <f>IF(项目基本情况!E8="房地产抵押价值","房地产抵押价值","抵押担保权已注销时的房地产抵押价值")</f>
        <v>房地产抵押价值</v>
      </c>
      <c r="L49" s="3545"/>
      <c r="M49" s="3548">
        <f ca="1">IF(项目基本情况!E8="房地产抵押价值",H107,H109)</f>
        <v>28106</v>
      </c>
      <c r="N49" s="3548"/>
      <c r="O49" s="3548"/>
    </row>
    <row r="50" spans="1:35" ht="25.5" customHeight="1">
      <c r="A50" s="2548"/>
      <c r="B50" s="3593" t="s">
        <v>1344</v>
      </c>
      <c r="C50" s="3593"/>
      <c r="D50" s="2549"/>
      <c r="E50" s="332"/>
      <c r="F50" s="2423"/>
      <c r="G50" s="3577"/>
      <c r="H50" s="2312" t="s">
        <v>2135</v>
      </c>
      <c r="I50" s="2311"/>
      <c r="J50" s="3544" t="s">
        <v>1345</v>
      </c>
      <c r="K50" s="3544"/>
      <c r="L50" s="3544"/>
      <c r="M50" s="3544"/>
      <c r="N50" s="3544"/>
      <c r="O50" s="3544"/>
    </row>
    <row r="51" spans="1:35" ht="20.45" customHeight="1">
      <c r="A51" s="2550"/>
      <c r="B51" s="3593" t="s">
        <v>1346</v>
      </c>
      <c r="C51" s="3593"/>
      <c r="D51" s="1087"/>
      <c r="E51" s="327"/>
      <c r="F51" s="2423"/>
      <c r="G51" s="3578"/>
      <c r="H51" s="2312" t="s">
        <v>2136</v>
      </c>
      <c r="I51" s="2311"/>
      <c r="J51" s="2521" t="s">
        <v>1347</v>
      </c>
      <c r="K51" s="3545" t="s">
        <v>1348</v>
      </c>
      <c r="L51" s="3545"/>
      <c r="M51" s="2521" t="s">
        <v>1349</v>
      </c>
      <c r="N51" s="2521" t="s">
        <v>1350</v>
      </c>
      <c r="O51" s="2521" t="s">
        <v>1351</v>
      </c>
    </row>
    <row r="52" spans="1:35" ht="24" customHeight="1">
      <c r="A52" s="2335" t="s">
        <v>1352</v>
      </c>
      <c r="B52" s="3593" t="s">
        <v>1353</v>
      </c>
      <c r="C52" s="3593"/>
      <c r="D52" s="1087">
        <f ca="1">ROUND(D45*'数据-取费表'!B41/(1+'数据-取费表'!C42),0)</f>
        <v>1499</v>
      </c>
      <c r="E52" s="2334" t="s">
        <v>1354</v>
      </c>
      <c r="F52" s="2551">
        <f>'数据-取费表'!B41</f>
        <v>5.6000000000000001E-2</v>
      </c>
      <c r="G52" s="2552"/>
      <c r="H52" s="2541"/>
      <c r="I52" s="1807"/>
      <c r="J52" s="2520">
        <v>1</v>
      </c>
      <c r="K52" s="3570" t="s">
        <v>1355</v>
      </c>
      <c r="L52" s="3570"/>
      <c r="M52" s="2522" t="b">
        <f>D48</f>
        <v>0</v>
      </c>
      <c r="N52" s="2520" t="str">
        <f>E48</f>
        <v>销售额×税（费）率</v>
      </c>
      <c r="O52" s="2523">
        <f>F48</f>
        <v>5.6000000000000001E-2</v>
      </c>
    </row>
    <row r="53" spans="1:35" ht="12" customHeight="1">
      <c r="A53" s="2335" t="s">
        <v>1356</v>
      </c>
      <c r="B53" s="3594" t="s">
        <v>2287</v>
      </c>
      <c r="C53" s="3595"/>
      <c r="D53" s="1087">
        <f ca="1">ROUND(D45*'数据-取费表'!B41/(1+'数据-取费表'!C42),0)</f>
        <v>1499</v>
      </c>
      <c r="E53" s="2334" t="s">
        <v>1354</v>
      </c>
      <c r="F53" s="2551">
        <f>'数据-取费表'!B41</f>
        <v>5.6000000000000001E-2</v>
      </c>
      <c r="G53" s="2552"/>
      <c r="H53" s="2541"/>
      <c r="I53" s="1807"/>
      <c r="J53" s="2520">
        <v>2</v>
      </c>
      <c r="K53" s="3570" t="s">
        <v>1357</v>
      </c>
      <c r="L53" s="3570"/>
      <c r="M53" s="2522">
        <f t="shared" ref="M53:O54" ca="1" si="0">D55</f>
        <v>14</v>
      </c>
      <c r="N53" s="2520" t="str">
        <f t="shared" si="0"/>
        <v>销售额×税（费）率</v>
      </c>
      <c r="O53" s="2523" t="str">
        <f t="shared" si="0"/>
        <v>免征</v>
      </c>
    </row>
    <row r="54" spans="1:35" ht="12" customHeight="1">
      <c r="A54" s="2335" t="s">
        <v>1358</v>
      </c>
      <c r="B54" s="3594" t="s">
        <v>2288</v>
      </c>
      <c r="C54" s="3595"/>
      <c r="D54" s="1087">
        <f ca="1">C68</f>
        <v>1499</v>
      </c>
      <c r="E54" s="327" t="s">
        <v>1359</v>
      </c>
      <c r="F54" s="2551">
        <f>'数据-取费表'!B41</f>
        <v>5.6000000000000001E-2</v>
      </c>
      <c r="G54" s="2552"/>
      <c r="H54" s="2553"/>
      <c r="I54" s="1807"/>
      <c r="J54" s="2520">
        <v>3</v>
      </c>
      <c r="K54" s="3570" t="s">
        <v>1360</v>
      </c>
      <c r="L54" s="3570"/>
      <c r="M54" s="2522">
        <f t="shared" ca="1" si="0"/>
        <v>15908</v>
      </c>
      <c r="N54" s="2520" t="str">
        <f t="shared" si="0"/>
        <v>增值额×税（费）率</v>
      </c>
      <c r="O54" s="2524" t="str">
        <f t="shared" si="0"/>
        <v>免征</v>
      </c>
    </row>
    <row r="55" spans="1:35" ht="24" customHeight="1">
      <c r="A55" s="3630" t="s">
        <v>1361</v>
      </c>
      <c r="B55" s="3608"/>
      <c r="C55" s="3608"/>
      <c r="D55" s="2324">
        <f ca="1">IF(H55="个人住宅",0,ROUND(D45*I55,0))</f>
        <v>14</v>
      </c>
      <c r="E55" s="2334" t="s">
        <v>1362</v>
      </c>
      <c r="F55" s="2551" t="str">
        <f>IF(H55="正常",I55,"免征")</f>
        <v>免征</v>
      </c>
      <c r="G55" s="2552"/>
      <c r="H55" s="2547"/>
      <c r="I55" s="165">
        <f>'数据-取费表'!B49</f>
        <v>5.0000000000000001E-4</v>
      </c>
      <c r="J55" s="2520">
        <f>IF(H59="非个人房产","",4)</f>
        <v>4</v>
      </c>
      <c r="K55" s="3570" t="str">
        <f>IF(H59="非个人房产","——","个人所得税")</f>
        <v>个人所得税</v>
      </c>
      <c r="L55" s="3570"/>
      <c r="M55" s="2525">
        <f ca="1">D59</f>
        <v>268</v>
      </c>
      <c r="N55" s="2040" t="str">
        <f>E59</f>
        <v>差额计税</v>
      </c>
      <c r="O55" s="2526">
        <f>F59</f>
        <v>0.01</v>
      </c>
    </row>
    <row r="56" spans="1:35" ht="24.75">
      <c r="A56" s="3630" t="s">
        <v>1363</v>
      </c>
      <c r="B56" s="3608"/>
      <c r="C56" s="3608"/>
      <c r="D56" s="2324">
        <f ca="1">IF(H56="个人住宅",D57,D58)</f>
        <v>15908</v>
      </c>
      <c r="E56" s="2334" t="s">
        <v>1364</v>
      </c>
      <c r="F56" s="2551" t="str">
        <f>IF(H56="正常",F58,"免征")</f>
        <v>免征</v>
      </c>
      <c r="G56" s="2554" t="s">
        <v>1365</v>
      </c>
      <c r="H56" s="2555"/>
      <c r="I56" s="1808"/>
      <c r="J56" s="2520" t="str">
        <f>IF(项目基本情况!K6="上海银行",IF(J55="",4,J55+1),"")</f>
        <v/>
      </c>
      <c r="K56" s="3551" t="str">
        <f>IF(项目基本情况!K6="上海银行","其他处置费用","")</f>
        <v/>
      </c>
      <c r="L56" s="3552"/>
      <c r="M56" s="2522"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2"/>
      <c r="H57" s="2556"/>
      <c r="I57" s="1808"/>
      <c r="J57" s="3570">
        <f>IF(AND(J55="",J56=""),4,IF(项目基本情况!K6="上海银行",结果表!J56+1,结果表!J55+1))</f>
        <v>5</v>
      </c>
      <c r="K57" s="3570" t="s">
        <v>1367</v>
      </c>
      <c r="L57" s="2527" t="s">
        <v>1368</v>
      </c>
      <c r="M57" s="2528"/>
      <c r="N57" s="2529">
        <f ca="1">SUMIF(M52:M56,"&lt;9e307")</f>
        <v>16190</v>
      </c>
      <c r="O57" s="2530"/>
      <c r="P57" s="2687">
        <f ca="1">N57/M49</f>
        <v>0.57603358713441966</v>
      </c>
    </row>
    <row r="58" spans="1:35" ht="24.75">
      <c r="A58" s="2335" t="s">
        <v>1352</v>
      </c>
      <c r="B58" s="3594" t="s">
        <v>1369</v>
      </c>
      <c r="C58" s="3593"/>
      <c r="D58" s="2324">
        <f ca="1">IF(H58="转让取得",C81,C97)</f>
        <v>15908</v>
      </c>
      <c r="E58" s="2334" t="s">
        <v>1364</v>
      </c>
      <c r="F58" s="302" t="s">
        <v>28</v>
      </c>
      <c r="G58" s="2552"/>
      <c r="H58" s="2555"/>
      <c r="I58" s="1808"/>
      <c r="J58" s="3570"/>
      <c r="K58" s="3570"/>
      <c r="L58" s="2527" t="s">
        <v>1370</v>
      </c>
      <c r="M58" s="2531"/>
      <c r="N58" s="2532" t="str">
        <f ca="1">NUMBERSTRING(INT(N57*10000),2)&amp;"元整"</f>
        <v>壹亿陆仟壹佰玖拾万元整</v>
      </c>
      <c r="O58" s="2533"/>
    </row>
    <row r="59" spans="1:35" ht="24.75" thickBot="1">
      <c r="A59" s="3574" t="s">
        <v>1371</v>
      </c>
      <c r="B59" s="3575"/>
      <c r="C59" s="3575"/>
      <c r="D59" s="2557">
        <f ca="1">IF(H59="非个人房产","——",IF(H59="个人住宅（满五唯一有凭证）",0,IF(H59="个人其他（无凭证）",ROUND(D45*F59,0),ROUND(C67*F59,0))))</f>
        <v>268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72">
        <f>J57+1</f>
        <v>6</v>
      </c>
      <c r="K59" s="3570" t="s">
        <v>1372</v>
      </c>
      <c r="L59" s="2520" t="s">
        <v>1368</v>
      </c>
      <c r="M59" s="2534"/>
      <c r="N59" s="2535">
        <f ca="1">M49-N57</f>
        <v>11916</v>
      </c>
      <c r="O59" s="2536"/>
    </row>
    <row r="60" spans="1:35" ht="12" customHeight="1">
      <c r="A60" s="1809"/>
      <c r="B60" s="1747"/>
      <c r="C60" s="1747"/>
      <c r="D60" s="1747"/>
      <c r="E60" s="1578"/>
      <c r="F60" s="1808"/>
      <c r="G60" s="1808"/>
      <c r="H60" s="1810"/>
      <c r="I60" s="129"/>
      <c r="J60" s="3573"/>
      <c r="K60" s="3570"/>
      <c r="L60" s="2527" t="s">
        <v>1370</v>
      </c>
      <c r="M60" s="2531"/>
      <c r="N60" s="2532" t="str">
        <f ca="1">NUMBERSTRING(INT(N59*10000),2)&amp;"元整"</f>
        <v>壹亿壹仟玖佰壹拾陆万元整</v>
      </c>
      <c r="O60" s="2533"/>
    </row>
    <row r="61" spans="1:35" ht="13.5" thickBot="1">
      <c r="A61" s="3629" t="s">
        <v>1373</v>
      </c>
      <c r="B61" s="3629"/>
      <c r="C61" s="3629"/>
      <c r="D61" s="3629"/>
      <c r="E61" s="3629"/>
      <c r="F61" s="1808"/>
      <c r="G61" s="1808"/>
      <c r="H61" s="1810"/>
      <c r="I61" s="129"/>
      <c r="J61" s="2520">
        <f>J59+1</f>
        <v>7</v>
      </c>
      <c r="K61" s="3570" t="s">
        <v>1374</v>
      </c>
      <c r="L61" s="3570"/>
      <c r="M61" s="2537"/>
      <c r="N61" s="2538">
        <f ca="1">ROUND(N59*10000/'数据-汇总表'!E3,0)</f>
        <v>7313</v>
      </c>
      <c r="O61" s="2539"/>
    </row>
    <row r="62" spans="1:35" ht="12.75">
      <c r="A62" s="3589" t="s">
        <v>1375</v>
      </c>
      <c r="B62" s="3590"/>
      <c r="C62" s="2021"/>
      <c r="D62" s="2021" t="s">
        <v>1376</v>
      </c>
      <c r="E62" s="166" t="s">
        <v>1377</v>
      </c>
      <c r="F62" s="1808"/>
      <c r="G62" s="1808"/>
      <c r="H62" s="1810"/>
      <c r="I62" s="129"/>
    </row>
    <row r="63" spans="1:35" ht="12.75">
      <c r="A63" s="173" t="s">
        <v>330</v>
      </c>
      <c r="B63" s="167" t="s">
        <v>1378</v>
      </c>
      <c r="C63" s="2561">
        <f ca="1">ROUND((C64+C65)/(1+'数据-取费表'!C42),0)</f>
        <v>26768</v>
      </c>
      <c r="D63" s="167"/>
      <c r="E63" s="168"/>
      <c r="F63" s="1808"/>
      <c r="G63" s="1808"/>
      <c r="H63" s="1810"/>
      <c r="I63" s="129"/>
      <c r="J63" s="3553" t="s">
        <v>1379</v>
      </c>
      <c r="K63" s="1332" t="s">
        <v>1380</v>
      </c>
      <c r="L63" s="1332">
        <f ca="1">IF(M49&gt;10000,M49*0.5%,IF(AND(M49&gt;1000,M49&lt;=10000),M49*1%,IF(AND(M49&gt;100,M49&lt;=1000),M49*3%,IF(AND(M49&gt;10,M49&lt;=100),M49*5%,M49*8%))))</f>
        <v>140.53</v>
      </c>
      <c r="M63" s="302">
        <f ca="1">ROUND(L63,1)</f>
        <v>140.5</v>
      </c>
      <c r="N63" s="2540"/>
      <c r="Z63" s="1752"/>
      <c r="AI63" s="1753"/>
    </row>
    <row r="64" spans="1:35" ht="14.25" customHeight="1">
      <c r="A64" s="169" t="s">
        <v>325</v>
      </c>
      <c r="B64" s="170" t="s">
        <v>1381</v>
      </c>
      <c r="C64" s="2562">
        <f ca="1">D45</f>
        <v>28106</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140.53</v>
      </c>
      <c r="M64" s="302">
        <f t="shared" ref="M64:M65" ca="1" si="1">ROUND(L64,1)</f>
        <v>140.5</v>
      </c>
      <c r="N64" s="2541" t="s">
        <v>1383</v>
      </c>
      <c r="Z64" s="1752"/>
      <c r="AI64" s="1753"/>
    </row>
    <row r="65" spans="1:35" ht="14.25" customHeight="1">
      <c r="A65" s="169" t="s">
        <v>326</v>
      </c>
      <c r="B65" s="170" t="s">
        <v>1384</v>
      </c>
      <c r="C65" s="2563"/>
      <c r="D65" s="170"/>
      <c r="E65" s="172"/>
      <c r="F65" s="1808"/>
      <c r="G65" s="1808"/>
      <c r="H65" s="1810"/>
      <c r="I65" s="129"/>
      <c r="J65" s="3553"/>
      <c r="K65" s="1332" t="s">
        <v>1385</v>
      </c>
      <c r="L65" s="1332">
        <f ca="1">IF(M49&gt;1000,M49*0.1%,IF(AND(M49&gt;500,M49&lt;=1000),M49*0.5%,IF(AND(M49&gt;50,M49&lt;=500),M49*1%,IF(AND(M49&gt;1,M49&lt;=50),M49*1.5%))))</f>
        <v>28.106000000000002</v>
      </c>
      <c r="M65" s="302">
        <f t="shared" ca="1" si="1"/>
        <v>28.1</v>
      </c>
      <c r="N65" s="2541" t="s">
        <v>1383</v>
      </c>
      <c r="Z65" s="1752"/>
      <c r="AI65" s="1753"/>
    </row>
    <row r="66" spans="1:35" ht="14.25" customHeight="1">
      <c r="A66" s="173" t="s">
        <v>327</v>
      </c>
      <c r="B66" s="174" t="s">
        <v>1386</v>
      </c>
      <c r="C66" s="2564"/>
      <c r="D66" s="174" t="s">
        <v>26</v>
      </c>
      <c r="E66" s="1338" t="s">
        <v>671</v>
      </c>
      <c r="F66" s="1808"/>
      <c r="G66" s="1808"/>
      <c r="H66" s="1810"/>
      <c r="I66" s="129"/>
      <c r="J66" s="3553"/>
      <c r="K66" s="1332" t="s">
        <v>1387</v>
      </c>
      <c r="L66" s="1332">
        <f ca="1">M49*0.5%</f>
        <v>140.53</v>
      </c>
      <c r="M66" s="302">
        <f ca="1">IF(L66&gt;0.5,0.5,ROUND(L66,0))</f>
        <v>0.5</v>
      </c>
      <c r="N66" s="2541" t="s">
        <v>1388</v>
      </c>
      <c r="Z66" s="1752"/>
      <c r="AI66" s="1753"/>
    </row>
    <row r="67" spans="1:35" ht="14.25" customHeight="1">
      <c r="A67" s="173" t="s">
        <v>328</v>
      </c>
      <c r="B67" s="174" t="s">
        <v>1389</v>
      </c>
      <c r="C67" s="2565">
        <f ca="1">C63-C66</f>
        <v>26768</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10.060600000000001</v>
      </c>
      <c r="M67" s="302">
        <f ca="1">ROUND(L67*0.9,1)</f>
        <v>9.1</v>
      </c>
      <c r="N67" s="2540"/>
      <c r="Z67" s="1752"/>
      <c r="AI67" s="1753"/>
    </row>
    <row r="68" spans="1:35" ht="14.25" customHeight="1" thickBot="1">
      <c r="A68" s="176" t="s">
        <v>329</v>
      </c>
      <c r="B68" s="177" t="s">
        <v>1391</v>
      </c>
      <c r="C68" s="2566">
        <f ca="1">IF(C67&lt;=0,0,ROUND(C67*D68,0))</f>
        <v>1499</v>
      </c>
      <c r="D68" s="2567">
        <f>'数据-取费表'!B41</f>
        <v>5.6000000000000001E-2</v>
      </c>
      <c r="E68" s="178"/>
      <c r="F68" s="1808"/>
      <c r="G68" s="1808"/>
      <c r="H68" s="1810"/>
      <c r="I68" s="129"/>
      <c r="J68" s="3553"/>
      <c r="K68" s="1332" t="s">
        <v>1392</v>
      </c>
      <c r="L68" s="1332">
        <f ca="1">IF(M49&gt;10000,M49*0.5%,IF(AND(M49&gt;5000,M49&lt;=10000),M49*1%,IF(AND(M49&gt;1000,M49&lt;=5000),M49*2%,IF(AND(M49&gt;200,M49&lt;=1000),M49*3%,M49*5%))))</f>
        <v>140.53</v>
      </c>
      <c r="M68" s="302">
        <f ca="1">ROUND(L68,1)</f>
        <v>140.5</v>
      </c>
      <c r="N68" s="2540"/>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459</v>
      </c>
      <c r="N69" s="2542">
        <f ca="1">M69/M49</f>
        <v>1.6331032519746672E-2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26768</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161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161</v>
      </c>
      <c r="D78" s="2574">
        <f>'数据-取费表'!B43</f>
        <v>6.000000000000001E-3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26607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165.2608695652174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15908</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26768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161</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55" t="s">
        <v>2129</v>
      </c>
      <c r="H90" s="3556"/>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86" t="s">
        <v>1422</v>
      </c>
      <c r="F92" s="3587"/>
      <c r="G92" s="3587"/>
      <c r="H92" s="3588"/>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161</v>
      </c>
      <c r="D93" s="2574">
        <f>'数据-取费表'!B43</f>
        <v>6.000000000000001E-3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26607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165.2608695652174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15908</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2" t="str">
        <f>C4</f>
        <v>成本法</v>
      </c>
      <c r="D101" s="2583" t="str">
        <f>D4</f>
        <v>收益法</v>
      </c>
      <c r="E101" s="3549" t="s">
        <v>1431</v>
      </c>
      <c r="F101" s="3550"/>
      <c r="G101" s="1827" t="s">
        <v>1432</v>
      </c>
      <c r="H101" s="2592">
        <f ca="1">H118</f>
        <v>28106</v>
      </c>
      <c r="I101" s="129"/>
    </row>
    <row r="102" spans="1:35" ht="18.75" customHeight="1">
      <c r="A102" s="3581" t="s">
        <v>1433</v>
      </c>
      <c r="B102" s="2581" t="s">
        <v>1432</v>
      </c>
      <c r="C102" s="2582">
        <f ca="1">IF(D32="楼面单价",ROUND(C19,0),C19)</f>
        <v>23429</v>
      </c>
      <c r="D102" s="2583">
        <f ca="1">IF(D32="楼面单价",ROUND(D19,0),D19)</f>
        <v>31224</v>
      </c>
      <c r="E102" s="3549"/>
      <c r="F102" s="3550"/>
      <c r="G102" s="1827" t="s">
        <v>1434</v>
      </c>
      <c r="H102" s="2552">
        <f ca="1">I118</f>
        <v>17248</v>
      </c>
      <c r="I102" s="129"/>
    </row>
    <row r="103" spans="1:35" ht="42.75" customHeight="1">
      <c r="A103" s="3581"/>
      <c r="B103" s="2581" t="s">
        <v>1434</v>
      </c>
      <c r="C103" s="2584">
        <f ca="1">C20</f>
        <v>14378</v>
      </c>
      <c r="D103" s="2585">
        <f ca="1">D20</f>
        <v>19161</v>
      </c>
      <c r="E103" s="3542" t="s">
        <v>1435</v>
      </c>
      <c r="F103" s="3543"/>
      <c r="G103" s="1828" t="s">
        <v>1436</v>
      </c>
      <c r="H103" s="2592">
        <f>IF(D36="正常操作",H104+H105+H106,H105+H106)</f>
        <v>0</v>
      </c>
      <c r="I103" s="129"/>
    </row>
    <row r="104" spans="1:35" ht="18.75" customHeight="1">
      <c r="A104" s="3581" t="s">
        <v>1437</v>
      </c>
      <c r="B104" s="2586" t="s">
        <v>1432</v>
      </c>
      <c r="C104" s="2587">
        <f ca="1">H118</f>
        <v>28106</v>
      </c>
      <c r="D104" s="2588"/>
      <c r="E104" s="1674" t="s">
        <v>1438</v>
      </c>
      <c r="F104" s="1666"/>
      <c r="G104" s="1828" t="s">
        <v>1436</v>
      </c>
      <c r="H104" s="2593">
        <f>IF(D36="同一抵押权人同一抵押物续贷",C36&amp;"（续贷，未扣减，详见特别提示）",C36)</f>
        <v>0</v>
      </c>
      <c r="I104" s="129"/>
    </row>
    <row r="105" spans="1:35" ht="18.75" customHeight="1" thickBot="1">
      <c r="A105" s="3591"/>
      <c r="B105" s="2589" t="s">
        <v>1434</v>
      </c>
      <c r="C105" s="2590">
        <f ca="1">I118</f>
        <v>17248</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2" t="str">
        <f>IF(项目基本情况!E8="已注销","——","3.房地产抵押价值")</f>
        <v>3.房地产抵押价值</v>
      </c>
      <c r="F107" s="3550"/>
      <c r="G107" s="1827" t="s">
        <v>1432</v>
      </c>
      <c r="H107" s="2592">
        <f ca="1">IF(E107="——","——",H101-H103)</f>
        <v>28106</v>
      </c>
      <c r="I107" s="129"/>
    </row>
    <row r="108" spans="1:35" ht="18.75" customHeight="1">
      <c r="A108" s="129"/>
      <c r="B108" s="129"/>
      <c r="C108" s="129"/>
      <c r="D108" s="129"/>
      <c r="E108" s="3582"/>
      <c r="F108" s="3550"/>
      <c r="G108" s="1827" t="s">
        <v>1434</v>
      </c>
      <c r="H108" s="2552">
        <f ca="1">IF(H107=H101,H102,ROUND(H107*10000/'数据-汇总表'!E3,0))</f>
        <v>17248</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5" t="str">
        <f>IF(E109="——","——",H101-H105-H106)</f>
        <v>——</v>
      </c>
      <c r="I109" s="129"/>
    </row>
    <row r="110" spans="1:35" ht="18.75" customHeight="1">
      <c r="A110" s="129"/>
      <c r="B110" s="129"/>
      <c r="C110" s="129"/>
      <c r="D110" s="129"/>
      <c r="E110" s="3582"/>
      <c r="F110" s="3550"/>
      <c r="G110" s="1827" t="s">
        <v>1434</v>
      </c>
      <c r="H110" s="2552"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2" t="str">
        <f>IF(E111="——","——",N59)</f>
        <v>——</v>
      </c>
      <c r="I111" s="129"/>
    </row>
    <row r="112" spans="1:35" ht="18.75" customHeight="1" thickBot="1">
      <c r="A112" s="129"/>
      <c r="B112" s="129"/>
      <c r="C112" s="129"/>
      <c r="D112" s="129"/>
      <c r="E112" s="3584"/>
      <c r="F112" s="3585"/>
      <c r="G112" s="1830" t="s">
        <v>1434</v>
      </c>
      <c r="H112" s="2596"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597" t="str">
        <f>项目基本情况!S2</f>
        <v>北京市顺义区汇海南路6号院25号楼-2至10层101房地产</v>
      </c>
      <c r="B118" s="2329">
        <f>M18</f>
        <v>16295.3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28106</v>
      </c>
      <c r="I118" s="2329">
        <f ca="1">ROUND(IF(D32="楼面单价",C32,H118*10000/B118),0)</f>
        <v>17248</v>
      </c>
    </row>
    <row r="119" spans="1:27" ht="18.75" customHeight="1">
      <c r="A119" s="3557" t="s">
        <v>1452</v>
      </c>
      <c r="B119" s="3557"/>
      <c r="C119" s="3557"/>
      <c r="D119" s="3563" t="e">
        <f ca="1">NUMBERSTRING(INT(D118*10000),2)&amp;"元整"</f>
        <v>#REF!</v>
      </c>
      <c r="E119" s="3564"/>
      <c r="F119" s="3563" t="e">
        <f ca="1">NUMBERSTRING(INT(F118*10000),2)&amp;"元整"</f>
        <v>#REF!</v>
      </c>
      <c r="G119" s="3564"/>
      <c r="H119" s="3563" t="str">
        <f ca="1">NUMBERSTRING(INT(H118*10000),2)&amp;"元整"</f>
        <v>贰亿捌仟壹佰零陆万元整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28106</v>
      </c>
      <c r="E122" s="3559"/>
      <c r="F122" s="3559"/>
      <c r="G122" s="3559"/>
      <c r="H122" s="3559"/>
      <c r="I122" s="3560"/>
      <c r="AA122" s="725"/>
    </row>
    <row r="123" spans="1:27" ht="18.75" customHeight="1">
      <c r="A123" s="3557" t="s">
        <v>1452</v>
      </c>
      <c r="B123" s="3557"/>
      <c r="C123" s="3557"/>
      <c r="D123" s="3563" t="str">
        <f ca="1">NUMBERSTRING(INT(D122*10000),2)&amp;"元整"</f>
        <v>贰亿捌仟壹佰零陆万元整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38" sqref="K3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23429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14378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6591</v>
      </c>
      <c r="D5" s="211" t="s">
        <v>1469</v>
      </c>
      <c r="E5" s="212" t="s">
        <v>1470</v>
      </c>
      <c r="F5" s="212" t="s">
        <v>1471</v>
      </c>
      <c r="G5" s="213"/>
    </row>
    <row r="6" spans="1:9" s="214" customFormat="1" ht="13.5" customHeight="1">
      <c r="A6" s="778" t="s">
        <v>1472</v>
      </c>
      <c r="B6" s="215" t="s">
        <v>1473</v>
      </c>
      <c r="C6" s="216">
        <f>基准地价修正!B2</f>
        <v>6080</v>
      </c>
      <c r="D6" s="217"/>
      <c r="E6" s="218"/>
      <c r="F6" s="218"/>
      <c r="G6" s="219"/>
    </row>
    <row r="7" spans="1:9" s="214" customFormat="1" ht="13.5" customHeight="1">
      <c r="A7" s="778" t="s">
        <v>1474</v>
      </c>
      <c r="B7" s="215" t="s">
        <v>1475</v>
      </c>
      <c r="C7" s="220">
        <f>ROUND(C6*F7,0)</f>
        <v>185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326</v>
      </c>
      <c r="D8" s="222"/>
      <c r="E8" s="220"/>
      <c r="F8" s="221"/>
      <c r="G8" s="1856" t="s">
        <v>3423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326</v>
      </c>
      <c r="D10" s="845">
        <f ca="1">IF(B1="",'数据-汇总表'!E6,IF(INDIRECT("'数据-取费表'!c"&amp;$G$1)="住宅",INDIRECT("'数据-取费表'!s"&amp;$G$1),INDIRECT("'数据-取费表'!k"&amp;$G$1)+INDIRECT("'数据-取费表'!s"&amp;$G$1)))</f>
        <v>16295.3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16295.3</v>
      </c>
      <c r="E19" s="211">
        <f>'数据-取费表'!B31</f>
        <v>200</v>
      </c>
      <c r="F19" s="231"/>
      <c r="G19" s="1856" t="s">
        <v>3424</v>
      </c>
    </row>
    <row r="20" spans="1:7" s="214" customFormat="1" ht="13.5" customHeight="1">
      <c r="A20" s="255" t="s">
        <v>1493</v>
      </c>
      <c r="B20" s="210" t="s">
        <v>1494</v>
      </c>
      <c r="C20" s="232">
        <f ca="1">ROUND((C5+C19)*F20,0)</f>
        <v>198</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421</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415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1018</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1018</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9029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10788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9777</v>
      </c>
      <c r="D34" s="217"/>
      <c r="E34" s="220"/>
      <c r="F34" s="257">
        <f ca="1">IF('数据-取费表'!B24=0,1,IF(B1="",'数据-取费表'!N16,INDIRECT("'数据-取费表'!n"&amp;$G$1)))</f>
        <v>1</v>
      </c>
      <c r="G34" s="219" t="s">
        <v>1526</v>
      </c>
    </row>
    <row r="35" spans="1:7" ht="13.5" customHeight="1">
      <c r="A35" s="780" t="s">
        <v>351</v>
      </c>
      <c r="B35" s="215" t="s">
        <v>1527</v>
      </c>
      <c r="C35" s="220">
        <f ca="1">ROUND(C34*F35,0)</f>
        <v>489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326</v>
      </c>
      <c r="D37" s="217">
        <f ca="1">D19</f>
        <v>16295.3</v>
      </c>
      <c r="E37" s="249">
        <f>'数据-取费表'!B35</f>
        <v>200</v>
      </c>
      <c r="F37" s="259"/>
      <c r="G37" s="261" t="s">
        <v>1532</v>
      </c>
    </row>
    <row r="38" spans="1:7" ht="13.5" customHeight="1">
      <c r="A38" s="780" t="s">
        <v>354</v>
      </c>
      <c r="B38" s="215" t="s">
        <v>1533</v>
      </c>
      <c r="C38" s="220">
        <f ca="1">ROUND(C34*F38,0)</f>
        <v>196</v>
      </c>
      <c r="D38" s="220"/>
      <c r="E38" s="220"/>
      <c r="F38" s="259">
        <f>'数据-取费表'!B36</f>
        <v>0.02</v>
      </c>
      <c r="G38" s="219" t="s">
        <v>1528</v>
      </c>
    </row>
    <row r="39" spans="1:7" s="214" customFormat="1" ht="13.5" customHeight="1">
      <c r="A39" s="255" t="s">
        <v>1534</v>
      </c>
      <c r="B39" s="210" t="s">
        <v>1535</v>
      </c>
      <c r="C39" s="232">
        <f ca="1">ROUND(C33*F20,0)</f>
        <v>324</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344</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334</v>
      </c>
      <c r="D42" s="238"/>
      <c r="E42" s="238"/>
      <c r="F42" s="239"/>
      <c r="G42" s="3636" t="s">
        <v>1544</v>
      </c>
    </row>
    <row r="43" spans="1:7" ht="13.5" customHeight="1">
      <c r="A43" s="780" t="s">
        <v>347</v>
      </c>
      <c r="B43" s="215" t="s">
        <v>1545</v>
      </c>
      <c r="C43" s="238">
        <f ca="1">ROUND(IF('数据-取费表'!B22&lt;=1,C39*F22*'数据-取费表'!B21/2,C39*(POWER((1+F22),'数据-取费表'!B21/2)-1)),0)</f>
        <v>10</v>
      </c>
      <c r="D43" s="238"/>
      <c r="E43" s="238"/>
      <c r="F43" s="239"/>
      <c r="G43" s="3637"/>
    </row>
    <row r="44" spans="1:7" ht="13.5" customHeight="1">
      <c r="A44" s="780" t="s">
        <v>348</v>
      </c>
      <c r="B44" s="215" t="s">
        <v>1546</v>
      </c>
      <c r="C44" s="238">
        <f ca="1">ROUND(IF('数据-取费表'!B22&lt;=1,C40*F22*'数据-取费表'!B21/2,C40*(POWER((1+F22),'数据-取费表'!B21/2)-1)),4)</f>
        <v>8.9999999999999998E-4</v>
      </c>
      <c r="D44" s="238"/>
      <c r="E44" s="238"/>
      <c r="F44" s="239"/>
      <c r="G44" s="3638"/>
    </row>
    <row r="45" spans="1:7" s="214" customFormat="1" ht="13.5" customHeight="1">
      <c r="A45" s="255" t="s">
        <v>1547</v>
      </c>
      <c r="B45" s="244" t="s">
        <v>1513</v>
      </c>
      <c r="C45" s="245">
        <f ca="1">C46</f>
        <v>1667</v>
      </c>
      <c r="D45" s="235">
        <f ca="1">C47</f>
        <v>4.4999999999999997E-3</v>
      </c>
      <c r="E45" s="236" t="s">
        <v>1539</v>
      </c>
      <c r="F45" s="246">
        <f ca="1">F27</f>
        <v>0.15</v>
      </c>
      <c r="G45" s="247" t="s">
        <v>1548</v>
      </c>
    </row>
    <row r="46" spans="1:7" s="214" customFormat="1" ht="13.5" customHeight="1">
      <c r="A46" s="780" t="s">
        <v>346</v>
      </c>
      <c r="B46" s="248" t="s">
        <v>1549</v>
      </c>
      <c r="C46" s="249">
        <f ca="1">ROUND((C33+C39)*F27,0)</f>
        <v>1667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14400</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14400</v>
      </c>
      <c r="D51" s="232"/>
      <c r="E51" s="232"/>
      <c r="F51" s="264"/>
      <c r="G51" s="234" t="s">
        <v>1560</v>
      </c>
    </row>
    <row r="52" spans="1:7" s="208" customFormat="1" ht="16.5" thickBot="1">
      <c r="A52" s="265" t="s">
        <v>1561</v>
      </c>
      <c r="B52" s="266"/>
      <c r="C52" s="267">
        <f ca="1">C31+C51</f>
        <v>23429</v>
      </c>
      <c r="D52" s="266"/>
      <c r="E52" s="266"/>
      <c r="F52" s="266"/>
      <c r="G52" s="268"/>
    </row>
    <row r="55" spans="1:7" ht="15">
      <c r="B55" s="270" t="s">
        <v>1562</v>
      </c>
      <c r="C55" s="271"/>
    </row>
    <row r="56" spans="1:7">
      <c r="B56" s="273" t="s">
        <v>802</v>
      </c>
      <c r="C56" s="275">
        <f ca="1">1-C57</f>
        <v>0.38500000000000001</v>
      </c>
    </row>
    <row r="57" spans="1:7">
      <c r="B57" s="273" t="s">
        <v>803</v>
      </c>
      <c r="C57" s="274">
        <f ca="1">ROUND(C51/C52,3)</f>
        <v>0.61499999999999999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北京市顺义区汇海南路6号院25号楼-2至10层101房地产抵押价值预评估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15292.3748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9385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3259060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3259060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3259060</v>
      </c>
      <c r="D10" s="845">
        <f ca="1">IF(B1="",'数据-汇总表'!E6,IF(INDIRECT("'数据-取费表'!c"&amp;$G$1)="住宅",INDIRECT("'数据-取费表'!s"&amp;$G$1),INDIRECT("'数据-取费表'!k"&amp;$G$1)+INDIRECT("'数据-取费表'!s"&amp;$G$1)))</f>
        <v>16295.3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3259060</v>
      </c>
      <c r="D19" s="849">
        <f ca="1">D9+D10</f>
        <v>16295.3</v>
      </c>
      <c r="E19" s="211">
        <f>'数据-取费表'!B31</f>
        <v>200</v>
      </c>
      <c r="F19" s="231"/>
      <c r="G19" s="1856"/>
    </row>
    <row r="20" spans="1:7" s="214" customFormat="1" ht="13.5" customHeight="1">
      <c r="A20" s="255" t="s">
        <v>1574</v>
      </c>
      <c r="B20" s="210" t="s">
        <v>1575</v>
      </c>
      <c r="C20" s="232">
        <f ca="1">ROUND((C5+C19)*F20,0)</f>
        <v>195544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416450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205194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205194</v>
      </c>
      <c r="D24" s="238"/>
      <c r="E24" s="238"/>
      <c r="F24" s="239"/>
      <c r="G24" s="240" t="s">
        <v>1586</v>
      </c>
    </row>
    <row r="25" spans="1:7" s="214" customFormat="1" ht="24">
      <c r="A25" s="780" t="s">
        <v>1476</v>
      </c>
      <c r="B25" s="215" t="s">
        <v>1587</v>
      </c>
      <c r="C25" s="1128">
        <f ca="1">ROUND(IF('数据-取费表'!B22&lt;=1,C20*F22*'数据-取费表'!B22/2,C20*(POWER((1+F22),'数据-取费表'!B22/2)-1)),0)</f>
        <v>6062</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1007050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1007050</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8929182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107874886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97771800</v>
      </c>
      <c r="D34" s="217"/>
      <c r="E34" s="220"/>
      <c r="F34" s="257"/>
      <c r="G34" s="219"/>
    </row>
    <row r="35" spans="1:7" ht="13.5" customHeight="1">
      <c r="A35" s="780" t="s">
        <v>351</v>
      </c>
      <c r="B35" s="215" t="s">
        <v>1527</v>
      </c>
      <c r="C35" s="220">
        <f ca="1">ROUND(C34*F35,0)</f>
        <v>4888590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3259060</v>
      </c>
      <c r="D37" s="217">
        <f ca="1">D19</f>
        <v>16295.3</v>
      </c>
      <c r="E37" s="249">
        <f>'数据-取费表'!B35</f>
        <v>200</v>
      </c>
      <c r="F37" s="259"/>
      <c r="G37" s="261"/>
    </row>
    <row r="38" spans="1:7" ht="13.5" customHeight="1">
      <c r="A38" s="780" t="s">
        <v>354</v>
      </c>
      <c r="B38" s="215" t="s">
        <v>1533</v>
      </c>
      <c r="C38" s="220">
        <f ca="1">ROUND(C34*F38,0)</f>
        <v>1955436</v>
      </c>
      <c r="D38" s="220"/>
      <c r="E38" s="220"/>
      <c r="F38" s="259">
        <f>'数据-取费表'!B36</f>
        <v>0.02</v>
      </c>
      <c r="G38" s="219" t="s">
        <v>1528</v>
      </c>
    </row>
    <row r="39" spans="1:7" s="214" customFormat="1" ht="13.5" customHeight="1">
      <c r="A39" s="255" t="s">
        <v>1534</v>
      </c>
      <c r="B39" s="210" t="s">
        <v>1535</v>
      </c>
      <c r="C39" s="232">
        <f ca="1">ROUND(C33*F20,0)</f>
        <v>3236247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3444445</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3344121</v>
      </c>
      <c r="D42" s="238"/>
      <c r="E42" s="238"/>
      <c r="F42" s="239"/>
      <c r="G42" s="3636" t="s">
        <v>1591</v>
      </c>
    </row>
    <row r="43" spans="1:7" ht="13.5" customHeight="1">
      <c r="A43" s="780" t="s">
        <v>347</v>
      </c>
      <c r="B43" s="215" t="s">
        <v>1545</v>
      </c>
      <c r="C43" s="238">
        <f ca="1">ROUND(IF('数据-取费表'!B22&lt;=1,C39*F22*'数据-取费表'!B20/2,C39*(POWER((1+F22),'数据-取费表'!B20/2)-1)),0)</f>
        <v>100324</v>
      </c>
      <c r="D43" s="238"/>
      <c r="E43" s="238"/>
      <c r="F43" s="239"/>
      <c r="G43" s="3637"/>
    </row>
    <row r="44" spans="1:7" ht="13.5" customHeight="1">
      <c r="A44" s="780" t="s">
        <v>348</v>
      </c>
      <c r="B44" s="215" t="s">
        <v>1546</v>
      </c>
      <c r="C44" s="238">
        <f ca="1">ROUND(IF('数据-取费表'!B22&lt;=1,C40*F22*'数据-取费表'!B20/2,C40*(POWER((1+F22),'数据-取费表'!B20/2)-1)),4)</f>
        <v>8.9999999999999998E-4</v>
      </c>
      <c r="D44" s="238"/>
      <c r="E44" s="238"/>
      <c r="F44" s="239"/>
      <c r="G44" s="3638"/>
    </row>
    <row r="45" spans="1:7" s="214" customFormat="1" ht="13.5" customHeight="1">
      <c r="A45" s="255" t="s">
        <v>1547</v>
      </c>
      <c r="B45" s="244" t="s">
        <v>1513</v>
      </c>
      <c r="C45" s="245">
        <f ca="1">C46</f>
        <v>16666670</v>
      </c>
      <c r="D45" s="235">
        <f ca="1">C47</f>
        <v>4.4999999999999997E-3</v>
      </c>
      <c r="E45" s="236" t="s">
        <v>1539</v>
      </c>
      <c r="F45" s="246">
        <f ca="1">F27</f>
        <v>0.15</v>
      </c>
      <c r="G45" s="247" t="s">
        <v>1548</v>
      </c>
    </row>
    <row r="46" spans="1:7" s="214" customFormat="1" ht="13.5" customHeight="1">
      <c r="A46" s="780" t="s">
        <v>346</v>
      </c>
      <c r="B46" s="248" t="s">
        <v>1549</v>
      </c>
      <c r="C46" s="249">
        <f ca="1">ROUND((C33+C39)*F27,0)</f>
        <v>16666670</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143994566</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143994566</v>
      </c>
      <c r="D51" s="232"/>
      <c r="E51" s="232"/>
      <c r="F51" s="264"/>
      <c r="G51" s="234" t="s">
        <v>1560</v>
      </c>
    </row>
    <row r="52" spans="1:7" s="208" customFormat="1" ht="16.5" thickBot="1">
      <c r="A52" s="265" t="s">
        <v>1561</v>
      </c>
      <c r="B52" s="266"/>
      <c r="C52" s="267">
        <f ca="1">C31+C51</f>
        <v>152923748</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0" zoomScaleNormal="80" zoomScaleSheetLayoutView="100" workbookViewId="0">
      <selection activeCell="A90" sqref="A48:XFD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16295.3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6080</v>
      </c>
      <c r="C2" s="1999" t="s">
        <v>1935</v>
      </c>
      <c r="D2" s="2000" t="s">
        <v>1936</v>
      </c>
      <c r="E2" s="3419" t="s">
        <v>3401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6528</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3731</v>
      </c>
      <c r="C3" s="1999" t="s">
        <v>1941</v>
      </c>
      <c r="D3" s="2000" t="s">
        <v>1942</v>
      </c>
      <c r="E3" s="3417" t="s">
        <v>2456</v>
      </c>
      <c r="F3" s="2004" t="s">
        <v>3416</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5146</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46"/>
      <c r="B4" s="3647"/>
      <c r="C4" s="3647"/>
      <c r="D4" s="3648"/>
      <c r="E4" s="3648"/>
      <c r="F4" s="3648"/>
      <c r="G4" s="3648"/>
      <c r="H4" s="3648"/>
      <c r="I4" s="3648"/>
      <c r="J4" s="36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4349</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5445</v>
      </c>
      <c r="D5" s="1339">
        <f>ROUND(C6*C17+C20,0)</f>
        <v>5445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3835</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5490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3686</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5490</v>
      </c>
      <c r="N7" s="866">
        <f>SUMPRODUCT((因素修正幅度!B190:B233=I2)*(因素修正幅度!C3:G3=E2)*(因素修正幅度!C190:G233))</f>
        <v>0.13</v>
      </c>
      <c r="O7" s="1119"/>
      <c r="P7" s="1119"/>
      <c r="Q7" s="1119"/>
      <c r="R7" s="1212">
        <v>6</v>
      </c>
      <c r="S7" s="3416"/>
      <c r="T7" s="3358">
        <f t="shared" si="0"/>
        <v>0</v>
      </c>
      <c r="U7" s="1213"/>
      <c r="V7" s="3358">
        <f t="shared" si="1"/>
        <v>0</v>
      </c>
      <c r="W7" s="1358" t="s">
        <v>1955</v>
      </c>
      <c r="X7" s="1214" t="str">
        <f>G2</f>
        <v>七级</v>
      </c>
      <c r="Y7" s="1214" t="s">
        <v>1956</v>
      </c>
      <c r="Z7" s="1215">
        <f>G3</f>
        <v>2</v>
      </c>
      <c r="AA7" s="1216"/>
      <c r="AB7" s="1216"/>
      <c r="AC7" s="1217"/>
      <c r="AD7" s="1218"/>
      <c r="AE7" s="1218"/>
      <c r="AF7" s="1218"/>
      <c r="AG7" s="1218"/>
      <c r="AH7" s="1218"/>
      <c r="AI7" s="1218"/>
      <c r="AJ7" s="1219"/>
    </row>
    <row r="8" spans="1:36" ht="25.5">
      <c r="A8" s="3296"/>
      <c r="B8" s="170" t="s">
        <v>1957</v>
      </c>
      <c r="C8" s="2026" t="s">
        <v>3418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43" t="s">
        <v>1960</v>
      </c>
      <c r="X8" s="36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45"/>
      <c r="X9" s="3359" t="s">
        <v>3265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4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3236</v>
      </c>
      <c r="B12" s="3302" t="s">
        <v>3237</v>
      </c>
      <c r="C12" s="3303">
        <v>1</v>
      </c>
      <c r="D12" s="3304" t="s">
        <v>3238</v>
      </c>
      <c r="E12" s="3305" t="s">
        <v>3239</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3240</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3241</v>
      </c>
      <c r="G14" s="3309" t="s">
        <v>3241</v>
      </c>
      <c r="H14" s="3309" t="s">
        <v>3241</v>
      </c>
      <c r="I14" s="3309" t="s">
        <v>3241</v>
      </c>
      <c r="J14" s="3309" t="s">
        <v>3241</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3242</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0.93</v>
      </c>
      <c r="F17" s="3319" t="s">
        <v>3248</v>
      </c>
      <c r="G17" s="3328">
        <f>ROUND(E19/G19,2)</f>
        <v>1</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3246</v>
      </c>
      <c r="E18" s="3326">
        <f>I24</f>
        <v>38.83</v>
      </c>
      <c r="F18" s="3321" t="s">
        <v>3249</v>
      </c>
      <c r="G18" s="3325">
        <f>ROUND(1-(1/(POWER(1+G24,E18))),4)</f>
        <v>0.84960000000000002</v>
      </c>
      <c r="H18" s="3321" t="s">
        <v>3251</v>
      </c>
      <c r="I18" s="3325">
        <f>ROUND(1-(1/(POWER(1+G24,J24))),4)</f>
        <v>0.91279999999999994</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3247</v>
      </c>
      <c r="E19" s="3335">
        <f>D1</f>
        <v>16295.3</v>
      </c>
      <c r="F19" s="3336" t="s">
        <v>3250</v>
      </c>
      <c r="G19" s="3335">
        <f>D1</f>
        <v>16295.3</v>
      </c>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50" t="s">
        <v>3252</v>
      </c>
      <c r="B20" s="167" t="s">
        <v>1994</v>
      </c>
      <c r="C20" s="3322">
        <f>ROUND(IF(F21="与级别开发程度一致",0,(G21-E21)/C21),0)</f>
        <v>-45</v>
      </c>
      <c r="D20" s="3338" t="s">
        <v>1998</v>
      </c>
      <c r="E20" s="3339"/>
      <c r="F20" s="3656" t="s">
        <v>1995</v>
      </c>
      <c r="G20" s="3657"/>
      <c r="H20" s="3323" t="s">
        <v>3394</v>
      </c>
      <c r="I20" s="3323" t="s">
        <v>3395</v>
      </c>
      <c r="J20" s="3324" t="s">
        <v>3396</v>
      </c>
      <c r="K20" s="2047" t="s">
        <v>3397</v>
      </c>
      <c r="L20" s="2047" t="s">
        <v>3398</v>
      </c>
      <c r="M20" s="2047" t="s">
        <v>3419</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51"/>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3420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0.8</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4" t="s">
        <v>2002</v>
      </c>
      <c r="E23" s="761">
        <v>44197</v>
      </c>
      <c r="F23" s="2054" t="s">
        <v>2003</v>
      </c>
      <c r="G23" s="762">
        <f>'数据-取费表'!B2</f>
        <v>45603</v>
      </c>
      <c r="H23" s="3340" t="s">
        <v>3253</v>
      </c>
      <c r="I23" s="3341" t="str">
        <f>IF(H23="季度增幅（自定义）",SUMIF(N25:N28,E2,O25:O28),"")</f>
        <v/>
      </c>
      <c r="J23" s="3443" t="s">
        <v>3421</v>
      </c>
      <c r="K23" s="1125"/>
      <c r="L23" s="2055" t="s">
        <v>2004</v>
      </c>
      <c r="M23" s="1328">
        <f>ROUND(SUMIF(地价!B2:G2,E2,地价!B16:G16),0)</f>
        <v>0</v>
      </c>
      <c r="N23" s="2056" t="s">
        <v>2005</v>
      </c>
      <c r="O23" s="763">
        <f>ROUNDDOWN(DATEDIF(E23,G23,"M")/3,0)</f>
        <v>15</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0.93079999999999996</v>
      </c>
      <c r="D24" s="2060" t="s">
        <v>2007</v>
      </c>
      <c r="E24" s="1335">
        <f>存贷款利率!E27/100</f>
        <v>4.3499999999999997E-2</v>
      </c>
      <c r="F24" s="2060" t="s">
        <v>1999</v>
      </c>
      <c r="G24" s="768">
        <f>SUMIF(M30:Q30,E2,M33:Q33)</f>
        <v>0.05</v>
      </c>
      <c r="H24" s="2060" t="s">
        <v>2008</v>
      </c>
      <c r="I24" s="769">
        <f>SUMIF('数据-取费表'!C6:C15,E2,'数据-取费表'!F6:F15)/COUNTIF('数据-取费表'!C6:C15,E2)</f>
        <v>38.83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3332</v>
      </c>
      <c r="C25" s="771">
        <f>IF(B25="容积率修正",IF(G3&lt;10,D26,J26),C27)</f>
        <v>1</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3254</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3255</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1.0465</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6080</v>
      </c>
      <c r="D30" s="2083"/>
      <c r="E30" s="2046"/>
      <c r="F30" s="2084"/>
      <c r="G30" s="2046"/>
      <c r="H30" s="2046"/>
      <c r="I30" s="2046"/>
      <c r="J30" s="2085"/>
      <c r="K30" s="1119"/>
      <c r="L30" s="3348" t="s">
        <v>1936</v>
      </c>
      <c r="M30" s="3349" t="s">
        <v>1990</v>
      </c>
      <c r="N30" s="3349" t="s">
        <v>1991</v>
      </c>
      <c r="O30" s="3349" t="s">
        <v>1992</v>
      </c>
      <c r="P30" s="3349" t="s">
        <v>1993</v>
      </c>
      <c r="Q30" s="3352"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44</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4347</v>
      </c>
      <c r="D33" s="2098">
        <f>'数据-汇总表'!F19</f>
        <v>13579.42</v>
      </c>
      <c r="E33" s="773">
        <f>ROUND(C33*D33/10000,0)</f>
        <v>5903</v>
      </c>
      <c r="F33" s="3343" t="s">
        <v>3257</v>
      </c>
      <c r="G33" s="2099"/>
      <c r="H33" s="2099"/>
      <c r="I33" s="2099"/>
      <c r="J33" s="2100"/>
      <c r="K33" s="1119"/>
      <c r="L33" s="3346" t="s">
        <v>3260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1087</v>
      </c>
      <c r="D34" s="2103"/>
      <c r="E34" s="773">
        <f>ROUND(IF(B25="楼层修正",SUM(V2:V16)*M40,C34*D34/10000),0)</f>
        <v>0</v>
      </c>
      <c r="F34" s="2104" t="s">
        <v>2032</v>
      </c>
      <c r="G34" s="2105"/>
      <c r="H34" s="2105"/>
      <c r="I34" s="2105"/>
      <c r="J34" s="2106"/>
      <c r="K34" s="1119"/>
      <c r="L34" s="3346" t="s">
        <v>3261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3262</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4"/>
      <c r="B37" s="2113" t="s">
        <v>2036</v>
      </c>
      <c r="C37" s="175">
        <f>ROUND(D5*C22*C23*C24*C28*F37,0)</f>
        <v>2608</v>
      </c>
      <c r="D37" s="2098"/>
      <c r="E37" s="171">
        <f>ROUND(C37*D37/10000,0)</f>
        <v>0</v>
      </c>
      <c r="F37" s="171">
        <f>SUMIF(修正!A57:A68,G2,修正!B57:B68)</f>
        <v>0.6</v>
      </c>
      <c r="G37" s="171">
        <f>ROUND(IF(E2="工业",C37*$M$42,C37*$M$41),0)</f>
        <v>652</v>
      </c>
      <c r="H37" s="171">
        <f>D37</f>
        <v>0</v>
      </c>
      <c r="I37" s="171">
        <f>ROUND(G37*H37/10000,0)</f>
        <v>0</v>
      </c>
      <c r="J37" s="3009"/>
      <c r="K37" s="3356" t="s">
        <v>3263</v>
      </c>
      <c r="L37" s="3354">
        <f ca="1">L36+K38</f>
        <v>3.5999999999999997E-2</v>
      </c>
      <c r="M37" s="3355">
        <f ca="1">ROUND($L$37*(1+M31),3)</f>
        <v>4.4999999999999998E-2</v>
      </c>
      <c r="N37" s="3355">
        <f t="shared" ref="N37:Q37" ca="1" si="3">ROUND($L$37*(1+N31),3)</f>
        <v>4.2999999999999997E-2</v>
      </c>
      <c r="O37" s="3355">
        <f t="shared" ca="1" si="3"/>
        <v>4.1000000000000002E-2</v>
      </c>
      <c r="P37" s="3355">
        <f t="shared" ca="1" si="3"/>
        <v>0.04</v>
      </c>
      <c r="Q37" s="3355">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5"/>
      <c r="B38" s="2041" t="s">
        <v>2037</v>
      </c>
      <c r="C38" s="175">
        <f>ROUND(D5*C22*C23*C24*C28*F38,0)</f>
        <v>1304</v>
      </c>
      <c r="D38" s="2098"/>
      <c r="E38" s="171">
        <f t="shared" ref="E38:E42" si="4">ROUND(C38*D38/10000,0)</f>
        <v>0</v>
      </c>
      <c r="F38" s="171">
        <f>SUMIF(修正!A57:A68,G2,修正!C57:C68)</f>
        <v>0.3</v>
      </c>
      <c r="G38" s="171">
        <f>ROUND(IF(E2="工业",C38*$M$42,C38*$M$41),0)</f>
        <v>326</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55"/>
      <c r="B39" s="2041" t="s">
        <v>3256</v>
      </c>
      <c r="C39" s="175">
        <f>ROUND(D5*C22*C23*C24*C28*F39,0)</f>
        <v>1087</v>
      </c>
      <c r="D39" s="2098"/>
      <c r="E39" s="171">
        <f t="shared" si="4"/>
        <v>0</v>
      </c>
      <c r="F39" s="171">
        <f>SUMIF(修正!A57:A68,G2,修正!D57:D68)</f>
        <v>0.25</v>
      </c>
      <c r="G39" s="171">
        <f>ROUND(IF(E2="工业",C39*$M$42,C39*$M$41),0)</f>
        <v>272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1087</v>
      </c>
      <c r="D40" s="2098"/>
      <c r="E40" s="171">
        <f t="shared" si="4"/>
        <v>0</v>
      </c>
      <c r="F40" s="175">
        <f>SUMIF(修正!A57:A68,G2,修正!E57:E68)</f>
        <v>0.25</v>
      </c>
      <c r="G40" s="171">
        <f>ROUND(IF(E2="工业",C40*$M$42,C40*$M$41),0)</f>
        <v>272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1087</v>
      </c>
      <c r="D41" s="2098"/>
      <c r="E41" s="171">
        <f t="shared" si="4"/>
        <v>0</v>
      </c>
      <c r="F41" s="175">
        <f>SUMIF(修正!A57:A68,G2,修正!F57:F68)</f>
        <v>0.25</v>
      </c>
      <c r="G41" s="171">
        <f>ROUND(IF(E2="工业",C41*$M$42,C41*$M$41),0)</f>
        <v>272</v>
      </c>
      <c r="H41" s="171">
        <f t="shared" si="5"/>
        <v>0</v>
      </c>
      <c r="I41" s="171">
        <f t="shared" si="6"/>
        <v>0</v>
      </c>
      <c r="J41" s="2114"/>
      <c r="L41" s="3357"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652</v>
      </c>
      <c r="D42" s="2103">
        <f>'数据-汇总表'!G19</f>
        <v>2715.88</v>
      </c>
      <c r="E42" s="187">
        <f t="shared" si="4"/>
        <v>177</v>
      </c>
      <c r="F42" s="767">
        <f>SUMIF(修正!A57:A68,G2,修正!G57:G68)</f>
        <v>0.15</v>
      </c>
      <c r="G42" s="187">
        <f>ROUND(IF(E2="工业",C42*$M$42,C42*$M$41),0)</f>
        <v>163</v>
      </c>
      <c r="H42" s="187">
        <f t="shared" si="5"/>
        <v>2715.88</v>
      </c>
      <c r="I42" s="187">
        <f t="shared" si="6"/>
        <v>44</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0.93079999999999996</v>
      </c>
      <c r="D44" s="171" t="s">
        <v>1999</v>
      </c>
      <c r="E44" s="2153">
        <f>G24</f>
        <v>0.05</v>
      </c>
      <c r="F44" s="171" t="s">
        <v>2008</v>
      </c>
      <c r="G44" s="183">
        <f>项目基本情况!F15</f>
        <v>38.83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6" t="s">
        <v>3266</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一般</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较好</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hidden="1">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2053</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6" t="s">
        <v>3266</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2059</v>
      </c>
      <c r="B67" s="1326" t="str">
        <f>估价对象房地状况!C21</f>
        <v>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2060</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2061</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hidden="1">
      <c r="A72" s="2130" t="s">
        <v>2066</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2053</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6" t="s">
        <v>3266</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2059</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hidden="1">
      <c r="A85" s="3366" t="s">
        <v>3267</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1.0465</v>
      </c>
      <c r="C91" s="3368"/>
      <c r="D91" s="3369"/>
      <c r="E91" s="1814"/>
      <c r="F91" s="1814"/>
      <c r="G91" s="3370"/>
      <c r="H91" s="3371"/>
      <c r="I91" s="3372"/>
      <c r="J91" s="3373"/>
      <c r="K91" s="3373"/>
      <c r="L91" s="3373"/>
      <c r="M91" s="3373"/>
      <c r="N91" s="3373"/>
    </row>
    <row r="92" spans="1:37" ht="24.75">
      <c r="A92" s="3376" t="s">
        <v>3268</v>
      </c>
      <c r="B92" s="3363"/>
      <c r="C92" s="3363" t="s">
        <v>3277</v>
      </c>
      <c r="D92" s="3363" t="s">
        <v>3278</v>
      </c>
      <c r="E92" s="3345" t="s">
        <v>3279</v>
      </c>
      <c r="F92" s="3378" t="s">
        <v>3280</v>
      </c>
      <c r="G92" s="3363" t="s">
        <v>3281</v>
      </c>
      <c r="H92" s="3385" t="s">
        <v>3284</v>
      </c>
      <c r="I92" s="3363" t="s">
        <v>3285</v>
      </c>
      <c r="J92" s="3386" t="s">
        <v>3286</v>
      </c>
      <c r="K92" s="3386" t="s">
        <v>3287</v>
      </c>
      <c r="L92" s="3386" t="s">
        <v>3288</v>
      </c>
      <c r="M92" s="3386" t="s">
        <v>3289</v>
      </c>
      <c r="N92" s="3386" t="s">
        <v>3290</v>
      </c>
    </row>
    <row r="93" spans="1:37" ht="24">
      <c r="A93" s="3366" t="s">
        <v>3269</v>
      </c>
      <c r="B93" s="1306"/>
      <c r="C93" s="2044" t="s">
        <v>3414</v>
      </c>
      <c r="D93" s="3363">
        <f>SUMIF($J$92:$N$92,C93,J93:N93)</f>
        <v>1.6199999999999999E-2</v>
      </c>
      <c r="E93" s="3379">
        <f>ROUND(SUM(D93:D101),4)</f>
        <v>4.65E-2</v>
      </c>
      <c r="F93" s="1814">
        <f>IF(E2="公共服务",SUMIF(L1:L12,G2,N1:N12),"——")</f>
        <v>0.13</v>
      </c>
      <c r="G93" s="3370">
        <v>1.6199999999999999E-2</v>
      </c>
      <c r="H93" s="3418">
        <f>IFERROR(ROUNDDOWN($F$93*I93/2,4),"——")</f>
        <v>1.6199999999999999E-2</v>
      </c>
      <c r="I93" s="3364">
        <v>0.25</v>
      </c>
      <c r="J93" s="3342">
        <f t="shared" ref="J93:J101" si="27">K93+$G93</f>
        <v>3.2399999999999998E-2</v>
      </c>
      <c r="K93" s="3342">
        <f t="shared" ref="K93:K101" si="28">$L93+$G93</f>
        <v>1.6199999999999999E-2</v>
      </c>
      <c r="L93" s="3342">
        <v>0</v>
      </c>
      <c r="M93" s="3342">
        <f t="shared" ref="M93:N101" si="29">L93-$G93</f>
        <v>-1.6199999999999999E-2</v>
      </c>
      <c r="N93" s="3342">
        <f t="shared" si="29"/>
        <v>-3.2399999999999998E-2</v>
      </c>
    </row>
    <row r="94" spans="1:37" ht="14.25">
      <c r="A94" s="3376" t="s">
        <v>3270</v>
      </c>
      <c r="B94" s="3367" t="str">
        <f>估价对象房地状况!C18</f>
        <v>一般</v>
      </c>
      <c r="C94" s="2044" t="s">
        <v>3407</v>
      </c>
      <c r="D94" s="3363">
        <f t="shared" ref="D94:D101" si="30">SUMIF($J$60:$N$60,C94,J94:N94)</f>
        <v>0</v>
      </c>
      <c r="E94" s="3380"/>
      <c r="F94" s="1814"/>
      <c r="G94" s="3370">
        <v>1.6899999999999998E-2</v>
      </c>
      <c r="H94" s="3418">
        <f>IFERROR(ROUNDDOWN($F$93*I94/2,4),"——")</f>
        <v>1.6899999999999998E-2</v>
      </c>
      <c r="I94" s="3364">
        <v>0.26</v>
      </c>
      <c r="J94" s="3342">
        <f t="shared" si="27"/>
        <v>3.3799999999999997E-2</v>
      </c>
      <c r="K94" s="3342">
        <f t="shared" si="28"/>
        <v>1.6899999999999998E-2</v>
      </c>
      <c r="L94" s="3342">
        <v>0</v>
      </c>
      <c r="M94" s="3342">
        <f t="shared" si="29"/>
        <v>-1.6899999999999998E-2</v>
      </c>
      <c r="N94" s="3342">
        <f t="shared" si="29"/>
        <v>-3.3799999999999997E-2</v>
      </c>
    </row>
    <row r="95" spans="1:37" ht="36">
      <c r="A95" s="3366" t="s">
        <v>3266</v>
      </c>
      <c r="B95" s="3367">
        <f>估价对象房地状况!C19</f>
        <v>0</v>
      </c>
      <c r="C95" s="2044" t="s">
        <v>3414</v>
      </c>
      <c r="D95" s="3363">
        <f t="shared" si="30"/>
        <v>7.1000000000000004E-3</v>
      </c>
      <c r="E95" s="3380"/>
      <c r="F95" s="1814"/>
      <c r="G95" s="3370">
        <v>7.1000000000000004E-3</v>
      </c>
      <c r="H95" s="3418">
        <f t="shared" ref="H95:H101" si="31">IFERROR(ROUNDDOWN($F$93*I95/2,4),"——")</f>
        <v>7.1000000000000004E-3</v>
      </c>
      <c r="I95" s="3364">
        <v>0.11</v>
      </c>
      <c r="J95" s="3342">
        <f t="shared" si="27"/>
        <v>1.4200000000000001E-2</v>
      </c>
      <c r="K95" s="3342">
        <f t="shared" si="28"/>
        <v>7.1000000000000004E-3</v>
      </c>
      <c r="L95" s="3342">
        <v>0</v>
      </c>
      <c r="M95" s="3342">
        <f t="shared" si="29"/>
        <v>-7.1000000000000004E-3</v>
      </c>
      <c r="N95" s="3342">
        <f t="shared" si="29"/>
        <v>-1.4200000000000001E-2</v>
      </c>
    </row>
    <row r="96" spans="1:37" ht="36.75">
      <c r="A96" s="3376" t="s">
        <v>3271</v>
      </c>
      <c r="B96" s="3382" t="s">
        <v>3282</v>
      </c>
      <c r="C96" s="2044" t="s">
        <v>3414</v>
      </c>
      <c r="D96" s="3363">
        <f t="shared" si="30"/>
        <v>3.2000000000000002E-3</v>
      </c>
      <c r="E96" s="3380"/>
      <c r="F96" s="1814"/>
      <c r="G96" s="3370">
        <v>3.2000000000000002E-3</v>
      </c>
      <c r="H96" s="3418">
        <f t="shared" si="31"/>
        <v>3.2000000000000002E-3</v>
      </c>
      <c r="I96" s="3364">
        <v>0.05</v>
      </c>
      <c r="J96" s="3342">
        <f t="shared" si="27"/>
        <v>6.4000000000000003E-3</v>
      </c>
      <c r="K96" s="3342">
        <f t="shared" si="28"/>
        <v>3.2000000000000002E-3</v>
      </c>
      <c r="L96" s="3342">
        <v>0</v>
      </c>
      <c r="M96" s="3342">
        <f t="shared" si="29"/>
        <v>-3.2000000000000002E-3</v>
      </c>
      <c r="N96" s="3342">
        <f t="shared" si="29"/>
        <v>-6.4000000000000003E-3</v>
      </c>
    </row>
    <row r="97" spans="1:14" ht="24">
      <c r="A97" s="3376" t="s">
        <v>3272</v>
      </c>
      <c r="B97" s="3367">
        <f>估价对象房地状况!C24</f>
        <v>0</v>
      </c>
      <c r="C97" s="2044" t="s">
        <v>3407</v>
      </c>
      <c r="D97" s="3363">
        <f t="shared" si="30"/>
        <v>0</v>
      </c>
      <c r="E97" s="3380"/>
      <c r="F97" s="1814"/>
      <c r="G97" s="3370">
        <v>3.2000000000000002E-3</v>
      </c>
      <c r="H97" s="3418">
        <f t="shared" si="31"/>
        <v>3.2000000000000002E-3</v>
      </c>
      <c r="I97" s="3364">
        <v>0.05</v>
      </c>
      <c r="J97" s="3342">
        <f t="shared" si="27"/>
        <v>6.4000000000000003E-3</v>
      </c>
      <c r="K97" s="3342">
        <f t="shared" si="28"/>
        <v>3.2000000000000002E-3</v>
      </c>
      <c r="L97" s="3342">
        <v>0</v>
      </c>
      <c r="M97" s="3342">
        <f t="shared" si="29"/>
        <v>-3.2000000000000002E-3</v>
      </c>
      <c r="N97" s="3342">
        <f t="shared" si="29"/>
        <v>-6.4000000000000003E-3</v>
      </c>
    </row>
    <row r="98" spans="1:14" ht="24">
      <c r="A98" s="3376" t="s">
        <v>3273</v>
      </c>
      <c r="B98" s="3383" t="s">
        <v>3283</v>
      </c>
      <c r="C98" s="2044" t="s">
        <v>3414</v>
      </c>
      <c r="D98" s="3363">
        <f t="shared" si="30"/>
        <v>3.8999999999999998E-3</v>
      </c>
      <c r="E98" s="3380"/>
      <c r="F98" s="1814"/>
      <c r="G98" s="3370">
        <v>3.8999999999999998E-3</v>
      </c>
      <c r="H98" s="3418">
        <f t="shared" si="31"/>
        <v>3.8999999999999998E-3</v>
      </c>
      <c r="I98" s="3364">
        <v>0.06</v>
      </c>
      <c r="J98" s="3342">
        <f t="shared" si="27"/>
        <v>7.7999999999999996E-3</v>
      </c>
      <c r="K98" s="3342">
        <f t="shared" si="28"/>
        <v>3.8999999999999998E-3</v>
      </c>
      <c r="L98" s="3342">
        <v>0</v>
      </c>
      <c r="M98" s="3342">
        <f t="shared" si="29"/>
        <v>-3.8999999999999998E-3</v>
      </c>
      <c r="N98" s="3342">
        <f t="shared" si="29"/>
        <v>-7.7999999999999996E-3</v>
      </c>
    </row>
    <row r="99" spans="1:14" ht="24">
      <c r="A99" s="3376" t="s">
        <v>3274</v>
      </c>
      <c r="B99" s="3367" t="str">
        <f>估价对象房地状况!C21</f>
        <v>一般</v>
      </c>
      <c r="C99" s="2044" t="s">
        <v>3407</v>
      </c>
      <c r="D99" s="3363">
        <f t="shared" si="30"/>
        <v>0</v>
      </c>
      <c r="E99" s="3380"/>
      <c r="F99" s="1814"/>
      <c r="G99" s="3370">
        <v>3.8999999999999998E-3</v>
      </c>
      <c r="H99" s="3418">
        <f t="shared" si="31"/>
        <v>3.8999999999999998E-3</v>
      </c>
      <c r="I99" s="3364">
        <v>0.06</v>
      </c>
      <c r="J99" s="3342">
        <f t="shared" si="27"/>
        <v>7.7999999999999996E-3</v>
      </c>
      <c r="K99" s="3342">
        <f t="shared" si="28"/>
        <v>3.8999999999999998E-3</v>
      </c>
      <c r="L99" s="3342">
        <v>0</v>
      </c>
      <c r="M99" s="3342">
        <f t="shared" si="29"/>
        <v>-3.8999999999999998E-3</v>
      </c>
      <c r="N99" s="3342">
        <f t="shared" si="29"/>
        <v>-7.7999999999999996E-3</v>
      </c>
    </row>
    <row r="100" spans="1:14" ht="24">
      <c r="A100" s="3376" t="s">
        <v>3275</v>
      </c>
      <c r="B100" s="3367" t="str">
        <f>估价对象房地状况!C22</f>
        <v>七通</v>
      </c>
      <c r="C100" s="2044" t="s">
        <v>3422</v>
      </c>
      <c r="D100" s="3363">
        <f t="shared" si="30"/>
        <v>1.1599999999999999E-2</v>
      </c>
      <c r="E100" s="3380"/>
      <c r="F100" s="1814"/>
      <c r="G100" s="3370">
        <v>5.7999999999999996E-3</v>
      </c>
      <c r="H100" s="3418">
        <f t="shared" si="31"/>
        <v>5.7999999999999996E-3</v>
      </c>
      <c r="I100" s="3364">
        <v>0.09</v>
      </c>
      <c r="J100" s="3342">
        <f t="shared" si="27"/>
        <v>1.1599999999999999E-2</v>
      </c>
      <c r="K100" s="3342">
        <f t="shared" si="28"/>
        <v>5.7999999999999996E-3</v>
      </c>
      <c r="L100" s="3342">
        <v>0</v>
      </c>
      <c r="M100" s="3342">
        <f t="shared" si="29"/>
        <v>-5.7999999999999996E-3</v>
      </c>
      <c r="N100" s="3342">
        <f t="shared" si="29"/>
        <v>-1.1599999999999999E-2</v>
      </c>
    </row>
    <row r="101" spans="1:14" ht="24.75" thickBot="1">
      <c r="A101" s="3377" t="s">
        <v>3276</v>
      </c>
      <c r="B101" s="3384" t="str">
        <f>估价对象房地状况!C20</f>
        <v>较好</v>
      </c>
      <c r="C101" s="2044" t="s">
        <v>3414</v>
      </c>
      <c r="D101" s="3363">
        <f t="shared" si="30"/>
        <v>4.4999999999999997E-3</v>
      </c>
      <c r="E101" s="3381"/>
      <c r="F101" s="1814"/>
      <c r="G101" s="3370">
        <v>4.4999999999999997E-3</v>
      </c>
      <c r="H101" s="3418">
        <f t="shared" si="31"/>
        <v>4.4999999999999997E-3</v>
      </c>
      <c r="I101" s="3365">
        <v>7.0000000000000007E-2</v>
      </c>
      <c r="J101" s="3342">
        <f t="shared" si="27"/>
        <v>8.9999999999999993E-3</v>
      </c>
      <c r="K101" s="3342">
        <f t="shared" si="28"/>
        <v>4.4999999999999997E-3</v>
      </c>
      <c r="L101" s="3342">
        <v>0</v>
      </c>
      <c r="M101" s="3342">
        <f t="shared" si="29"/>
        <v>-4.4999999999999997E-3</v>
      </c>
      <c r="N101" s="3342">
        <f t="shared" si="29"/>
        <v>-8.9999999999999993E-3</v>
      </c>
    </row>
    <row r="103" spans="1:14">
      <c r="A103" s="3652" t="s">
        <v>3291</v>
      </c>
      <c r="B103" s="3652"/>
      <c r="C103" s="3652"/>
      <c r="D103" s="3652"/>
      <c r="E103" s="3652"/>
      <c r="F103" s="3652"/>
      <c r="G103" s="3652"/>
      <c r="H103" s="3652"/>
      <c r="I103" s="3652"/>
      <c r="J103" s="3652"/>
      <c r="K103" s="3387"/>
      <c r="L103" s="3387"/>
      <c r="M103" s="3387"/>
      <c r="N103" s="3387"/>
    </row>
    <row r="104" spans="1:14">
      <c r="A104" s="3653" t="s">
        <v>3292</v>
      </c>
      <c r="B104" s="3653" t="s">
        <v>3293</v>
      </c>
      <c r="C104" s="3388" t="s">
        <v>3294</v>
      </c>
      <c r="D104" s="3389"/>
      <c r="E104" s="3389"/>
      <c r="F104" s="3389"/>
      <c r="G104" s="3389"/>
      <c r="H104" s="3389"/>
      <c r="I104" s="3389"/>
      <c r="J104" s="3390"/>
      <c r="K104" s="3391"/>
      <c r="L104" s="3391"/>
      <c r="M104" s="3391"/>
      <c r="N104" s="3391"/>
    </row>
    <row r="105" spans="1:14">
      <c r="A105" s="3653"/>
      <c r="B105" s="3653"/>
      <c r="C105" s="3392" t="s">
        <v>3295</v>
      </c>
      <c r="D105" s="3392" t="s">
        <v>3296</v>
      </c>
      <c r="E105" s="3392" t="s">
        <v>3297</v>
      </c>
      <c r="F105" s="3392" t="s">
        <v>3298</v>
      </c>
      <c r="G105" s="3392" t="s">
        <v>3299</v>
      </c>
      <c r="H105" s="3392" t="s">
        <v>3300</v>
      </c>
      <c r="I105" s="3392" t="s">
        <v>3301</v>
      </c>
      <c r="J105" s="3392" t="s">
        <v>3302</v>
      </c>
      <c r="K105" s="3392" t="s">
        <v>3303</v>
      </c>
      <c r="L105" s="3392" t="s">
        <v>3304</v>
      </c>
      <c r="M105" s="3392" t="s">
        <v>3305</v>
      </c>
      <c r="N105" s="3392" t="s">
        <v>3306</v>
      </c>
    </row>
    <row r="106" spans="1:14">
      <c r="A106" s="3639" t="s">
        <v>3307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4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4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4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4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40"/>
      <c r="B111" s="3392" t="s">
        <v>3265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64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642" t="s">
        <v>3308</v>
      </c>
      <c r="B113" s="3642"/>
      <c r="C113" s="3642"/>
      <c r="D113" s="3642"/>
      <c r="E113" s="3642"/>
      <c r="F113" s="3642"/>
      <c r="G113" s="3642"/>
      <c r="H113" s="3642"/>
      <c r="I113" s="3642"/>
      <c r="J113" s="364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3309</v>
      </c>
      <c r="B116" s="3413">
        <f>G3</f>
        <v>2</v>
      </c>
      <c r="C116" s="3397" t="s">
        <v>3310</v>
      </c>
      <c r="D116" s="3398">
        <f>SUMPRODUCT((A118:A122=F116)*(B117:M117=H116)*B118:M122)</f>
        <v>0.86850000000000005</v>
      </c>
      <c r="E116" s="2000" t="s">
        <v>3311</v>
      </c>
      <c r="F116" s="3399" t="str">
        <f>E2</f>
        <v>公共服务</v>
      </c>
      <c r="G116" s="2000" t="s">
        <v>3312</v>
      </c>
      <c r="H116" s="3399" t="str">
        <f>G2</f>
        <v>七级</v>
      </c>
      <c r="I116" s="2000"/>
      <c r="J116" s="3400"/>
      <c r="K116" s="3400"/>
      <c r="L116" s="3400"/>
      <c r="M116" s="3400"/>
      <c r="N116" s="3395"/>
    </row>
    <row r="117" spans="1:14">
      <c r="A117" s="3401"/>
      <c r="B117" s="3402" t="s">
        <v>3313</v>
      </c>
      <c r="C117" s="3402" t="s">
        <v>3314</v>
      </c>
      <c r="D117" s="3402" t="s">
        <v>3315</v>
      </c>
      <c r="E117" s="3403" t="s">
        <v>3316</v>
      </c>
      <c r="F117" s="3403" t="s">
        <v>3317</v>
      </c>
      <c r="G117" s="3403" t="s">
        <v>3318</v>
      </c>
      <c r="H117" s="3404" t="s">
        <v>3319</v>
      </c>
      <c r="I117" s="3404" t="s">
        <v>3320</v>
      </c>
      <c r="J117" s="3405" t="s">
        <v>3321</v>
      </c>
      <c r="K117" s="3405" t="s">
        <v>3322</v>
      </c>
      <c r="L117" s="3405" t="s">
        <v>3323</v>
      </c>
      <c r="M117" s="3406" t="s">
        <v>3324</v>
      </c>
      <c r="N117" s="3395"/>
    </row>
    <row r="118" spans="1:14">
      <c r="A118" s="3407" t="s">
        <v>3325</v>
      </c>
      <c r="B118" s="3385">
        <f>ROUND(0.9968-0.011*B116,4)</f>
        <v>0.9748</v>
      </c>
      <c r="C118" s="3385">
        <f>B118</f>
        <v>0.9748</v>
      </c>
      <c r="D118" s="3385">
        <f>ROUND(0.949-0.014*B116,4)</f>
        <v>0.92100000000000004</v>
      </c>
      <c r="E118" s="3385">
        <f>D118</f>
        <v>0.92100000000000004</v>
      </c>
      <c r="F118" s="3385">
        <f>E118</f>
        <v>0.92100000000000004</v>
      </c>
      <c r="G118" s="3385">
        <f>F118</f>
        <v>0.92100000000000004</v>
      </c>
      <c r="H118" s="3385">
        <f>G118</f>
        <v>0.92100000000000004</v>
      </c>
      <c r="I118" s="3385">
        <f>ROUND(0.8486-0.018*B116,4)</f>
        <v>0.81259999999999999</v>
      </c>
      <c r="J118" s="3385">
        <f t="shared" ref="J118:M122" si="35">I118</f>
        <v>0.81259999999999999</v>
      </c>
      <c r="K118" s="3385">
        <f t="shared" si="35"/>
        <v>0.81259999999999999</v>
      </c>
      <c r="L118" s="3385">
        <f t="shared" si="35"/>
        <v>0.81259999999999999</v>
      </c>
      <c r="M118" s="3408">
        <f t="shared" si="35"/>
        <v>0.81259999999999999</v>
      </c>
      <c r="N118" s="3395"/>
    </row>
    <row r="119" spans="1:14">
      <c r="A119" s="3407" t="s">
        <v>3326</v>
      </c>
      <c r="B119" s="3385">
        <f>ROUND(0.993-0.0112*B116,4)</f>
        <v>0.97060000000000002</v>
      </c>
      <c r="C119" s="3385">
        <f>B119</f>
        <v>0.97060000000000002</v>
      </c>
      <c r="D119" s="3385">
        <f>ROUND(0.9415-0.0142*B116,4)</f>
        <v>0.91310000000000002</v>
      </c>
      <c r="E119" s="3385">
        <f t="shared" ref="E119:H120" si="36">D119</f>
        <v>0.91310000000000002</v>
      </c>
      <c r="F119" s="3385">
        <f t="shared" si="36"/>
        <v>0.91310000000000002</v>
      </c>
      <c r="G119" s="3385">
        <f t="shared" si="36"/>
        <v>0.91310000000000002</v>
      </c>
      <c r="H119" s="3385">
        <f t="shared" si="36"/>
        <v>0.91310000000000002</v>
      </c>
      <c r="I119" s="3385">
        <f>ROUND(0.838-0.0182*B116,4)</f>
        <v>0.80159999999999998</v>
      </c>
      <c r="J119" s="3385">
        <f t="shared" si="35"/>
        <v>0.80159999999999998</v>
      </c>
      <c r="K119" s="3385">
        <f t="shared" si="35"/>
        <v>0.80159999999999998</v>
      </c>
      <c r="L119" s="3385">
        <f t="shared" si="35"/>
        <v>0.80159999999999998</v>
      </c>
      <c r="M119" s="3408">
        <f t="shared" si="35"/>
        <v>0.80159999999999998</v>
      </c>
      <c r="N119" s="3395"/>
    </row>
    <row r="120" spans="1:14">
      <c r="A120" s="3407" t="s">
        <v>3327</v>
      </c>
      <c r="B120" s="3385">
        <f>ROUND(0.9448-0.0115*B116,4)</f>
        <v>0.92179999999999995</v>
      </c>
      <c r="C120" s="3385">
        <f>B120</f>
        <v>0.92179999999999995</v>
      </c>
      <c r="D120" s="3385">
        <f>ROUND(0.937-0.0145*B116,4)</f>
        <v>0.90800000000000003</v>
      </c>
      <c r="E120" s="3385">
        <f t="shared" si="36"/>
        <v>0.90800000000000003</v>
      </c>
      <c r="F120" s="3385">
        <f t="shared" si="36"/>
        <v>0.90800000000000003</v>
      </c>
      <c r="G120" s="3385">
        <f t="shared" si="36"/>
        <v>0.90800000000000003</v>
      </c>
      <c r="H120" s="3385">
        <f t="shared" si="36"/>
        <v>0.90800000000000003</v>
      </c>
      <c r="I120" s="3385">
        <f>ROUND(0.7965-0.0185*B116,4)</f>
        <v>0.75949999999999995</v>
      </c>
      <c r="J120" s="3385">
        <f t="shared" si="35"/>
        <v>0.75949999999999995</v>
      </c>
      <c r="K120" s="3385">
        <f t="shared" si="35"/>
        <v>0.75949999999999995</v>
      </c>
      <c r="L120" s="3385">
        <f t="shared" si="35"/>
        <v>0.75949999999999995</v>
      </c>
      <c r="M120" s="3408">
        <f t="shared" si="35"/>
        <v>0.75949999999999995</v>
      </c>
      <c r="N120" s="3395"/>
    </row>
    <row r="121" spans="1:14" ht="13.5" thickBot="1">
      <c r="A121" s="3409" t="s">
        <v>3328</v>
      </c>
      <c r="B121" s="3410">
        <f>ROUND(0.7836-0.012*B116,4)</f>
        <v>0.75960000000000005</v>
      </c>
      <c r="C121" s="3410">
        <f>B121</f>
        <v>0.75960000000000005</v>
      </c>
      <c r="D121" s="3410">
        <f>ROUND(0.753-0.015*B116,4)</f>
        <v>0.72299999999999998</v>
      </c>
      <c r="E121" s="3410">
        <f>D121</f>
        <v>0.72299999999999998</v>
      </c>
      <c r="F121" s="3410">
        <f>E121</f>
        <v>0.72299999999999998</v>
      </c>
      <c r="G121" s="3410">
        <f>ROUND(0.6612-0.018*B116,4)</f>
        <v>0.62519999999999998</v>
      </c>
      <c r="H121" s="3410">
        <f>G121</f>
        <v>0.62519999999999998</v>
      </c>
      <c r="I121" s="3410">
        <f>ROUND(0.5905-0.019*B116,4)</f>
        <v>0.55249999999999999</v>
      </c>
      <c r="J121" s="3410">
        <f t="shared" si="35"/>
        <v>0.55249999999999999</v>
      </c>
      <c r="K121" s="3410">
        <f t="shared" si="35"/>
        <v>0.55249999999999999</v>
      </c>
      <c r="L121" s="3410">
        <f t="shared" si="35"/>
        <v>0.55249999999999999</v>
      </c>
      <c r="M121" s="3411">
        <f t="shared" si="35"/>
        <v>0.55249999999999999</v>
      </c>
      <c r="N121" s="3395"/>
    </row>
    <row r="122" spans="1:14">
      <c r="A122" s="3412" t="s">
        <v>2610</v>
      </c>
      <c r="B122" s="3385">
        <f>ROUND(0.9404-0.0106*B116,4)</f>
        <v>0.91920000000000002</v>
      </c>
      <c r="C122" s="3385">
        <f>B122</f>
        <v>0.91920000000000002</v>
      </c>
      <c r="D122" s="3385">
        <f>ROUND(0.8955-0.0135*B116,4)</f>
        <v>0.86850000000000005</v>
      </c>
      <c r="E122" s="3385">
        <f t="shared" ref="E122:H122" si="37">D122</f>
        <v>0.86850000000000005</v>
      </c>
      <c r="F122" s="3385">
        <f t="shared" si="37"/>
        <v>0.86850000000000005</v>
      </c>
      <c r="G122" s="3385">
        <f t="shared" si="37"/>
        <v>0.86850000000000005</v>
      </c>
      <c r="H122" s="3385">
        <f t="shared" si="37"/>
        <v>0.86850000000000005</v>
      </c>
      <c r="I122" s="3385">
        <f>ROUND(0.7632-0.0166*B116,4)</f>
        <v>0.73</v>
      </c>
      <c r="J122" s="3385">
        <f t="shared" si="35"/>
        <v>0.73</v>
      </c>
      <c r="K122" s="3385">
        <f t="shared" si="35"/>
        <v>0.73</v>
      </c>
      <c r="L122" s="3385">
        <f t="shared" si="35"/>
        <v>0.73</v>
      </c>
      <c r="M122" s="3408">
        <f t="shared" si="35"/>
        <v>0.73</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16295.3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16295.3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326</v>
      </c>
      <c r="D20" s="846">
        <f ca="1">IF(C1="",'数据-汇总表'!E6,IF(INDIRECT("'数据-取费表'!c"&amp;$K$1)="住宅",INDIRECT("'数据-取费表'!s"&amp;$K$1),INDIRECT("'数据-取费表'!k"&amp;$K$1)+INDIRECT("'数据-取费表'!s"&amp;$K$1)))</f>
        <v>16295.3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7" zoomScale="90" zoomScaleNormal="70" zoomScaleSheetLayoutView="9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3403</v>
      </c>
      <c r="D1" s="1362" t="s">
        <v>43</v>
      </c>
      <c r="E1" s="1363" t="s">
        <v>678</v>
      </c>
      <c r="F1" s="1062">
        <f ca="1">J53</f>
        <v>38.83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31224</v>
      </c>
      <c r="C2" s="1387" t="s">
        <v>805</v>
      </c>
      <c r="D2" s="1387"/>
      <c r="E2" s="1388"/>
      <c r="F2" s="1389"/>
      <c r="G2" s="2703"/>
      <c r="H2" s="2692"/>
      <c r="I2" s="2692"/>
      <c r="J2" s="2692"/>
      <c r="K2" s="2693"/>
      <c r="L2" s="2692"/>
      <c r="M2" s="2692"/>
    </row>
    <row r="3" spans="1:37" ht="18" customHeight="1" thickBot="1">
      <c r="A3" s="1390" t="s">
        <v>806</v>
      </c>
      <c r="B3" s="1391">
        <f ca="1">IF(ISERROR(B2*10000/F43),0,ROUND(B2*10000/F43,0))</f>
        <v>19161</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1876</v>
      </c>
      <c r="D5" s="1364" t="s">
        <v>693</v>
      </c>
      <c r="E5" s="1071"/>
      <c r="F5" s="1072"/>
      <c r="G5" s="1384"/>
      <c r="H5" s="299">
        <v>1</v>
      </c>
      <c r="I5" s="300" t="s">
        <v>692</v>
      </c>
      <c r="J5" s="1070">
        <f ca="1">J6+J10+J12</f>
        <v>0</v>
      </c>
      <c r="K5" s="1364" t="s">
        <v>693</v>
      </c>
      <c r="L5" s="1071"/>
      <c r="M5" s="1072"/>
    </row>
    <row r="6" spans="1:37" ht="18" customHeight="1">
      <c r="A6" s="1069" t="s">
        <v>398</v>
      </c>
      <c r="B6" s="3660" t="s">
        <v>694</v>
      </c>
      <c r="C6" s="1074">
        <f ca="1">ROUND(F6*F8*F7*(1-F9)/10000,0)</f>
        <v>1874</v>
      </c>
      <c r="D6" s="155" t="s">
        <v>2109</v>
      </c>
      <c r="E6" s="302" t="s">
        <v>696</v>
      </c>
      <c r="F6" s="303">
        <f ca="1">INDIRECT("'数据-取费表'!u"&amp;$G$1)</f>
        <v>3.5</v>
      </c>
      <c r="G6" s="1384"/>
      <c r="H6" s="1069" t="s">
        <v>398</v>
      </c>
      <c r="I6" s="3660" t="s">
        <v>694</v>
      </c>
      <c r="J6" s="301">
        <f ca="1">ROUND(M6*M8*M7*(1-M9)/10000,0)</f>
        <v>0</v>
      </c>
      <c r="K6" s="155" t="s">
        <v>2108</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16295.3</v>
      </c>
      <c r="G7" s="1384"/>
      <c r="H7" s="304"/>
      <c r="I7" s="3661"/>
      <c r="J7" s="306"/>
      <c r="K7" s="307"/>
      <c r="L7" s="302" t="s">
        <v>697</v>
      </c>
      <c r="M7" s="303">
        <f ca="1">F7</f>
        <v>16295.3</v>
      </c>
    </row>
    <row r="8" spans="1:37" ht="18" customHeight="1">
      <c r="A8" s="304"/>
      <c r="B8" s="3661"/>
      <c r="C8" s="306"/>
      <c r="D8" s="307"/>
      <c r="E8" s="302" t="s">
        <v>698</v>
      </c>
      <c r="F8" s="303">
        <f ca="1">INDIRECT("'数据-取费表'!ai"&amp;$G$1)</f>
        <v>365</v>
      </c>
      <c r="G8" s="1384"/>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3425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14400</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9777</v>
      </c>
      <c r="D14" s="1345" t="s">
        <v>708</v>
      </c>
      <c r="E14" s="1342"/>
      <c r="F14" s="319"/>
      <c r="G14" s="1384"/>
      <c r="H14" s="982" t="s">
        <v>398</v>
      </c>
      <c r="I14" s="302" t="s">
        <v>709</v>
      </c>
      <c r="J14" s="21">
        <f ca="1">C29</f>
        <v>14400</v>
      </c>
      <c r="K14" s="12"/>
      <c r="L14" s="807"/>
      <c r="M14" s="808"/>
    </row>
    <row r="15" spans="1:37" s="1397" customFormat="1" ht="18" customHeight="1" thickBot="1">
      <c r="A15" s="982" t="s">
        <v>399</v>
      </c>
      <c r="B15" s="302" t="s">
        <v>710</v>
      </c>
      <c r="C15" s="21">
        <f ca="1">ROUND(C14*F15,0)</f>
        <v>489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58</v>
      </c>
      <c r="K16" s="1087" t="s">
        <v>715</v>
      </c>
      <c r="L16" s="1088"/>
      <c r="M16" s="1072"/>
    </row>
    <row r="17" spans="1:37" s="1397" customFormat="1" ht="18" customHeight="1">
      <c r="A17" s="982" t="s">
        <v>681</v>
      </c>
      <c r="B17" s="302" t="s">
        <v>716</v>
      </c>
      <c r="C17" s="21">
        <f ca="1">ROUND(F17*(F43+INDIRECT("'数据-取费表'!S"&amp;$G$1))/10000,0)</f>
        <v>326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10788</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324</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57.6</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344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-58</v>
      </c>
      <c r="K25" s="1095" t="s">
        <v>753</v>
      </c>
      <c r="L25" s="1096"/>
      <c r="M25" s="1097"/>
    </row>
    <row r="26" spans="1:37">
      <c r="A26" s="982" t="s">
        <v>397</v>
      </c>
      <c r="B26" s="302" t="s">
        <v>754</v>
      </c>
      <c r="C26" s="21">
        <f ca="1">ROUND((C19+C20)*F26,0)</f>
        <v>1667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14400</v>
      </c>
      <c r="D29" s="1092"/>
      <c r="E29" s="1090"/>
      <c r="F29" s="1093"/>
      <c r="G29" s="1396"/>
      <c r="H29" s="334" t="s">
        <v>396</v>
      </c>
      <c r="I29" s="335" t="s">
        <v>768</v>
      </c>
      <c r="J29" s="336">
        <f ca="1">ROUND(J26/(1+F40)^F41,0)</f>
        <v>0</v>
      </c>
      <c r="K29" s="337" t="s">
        <v>769</v>
      </c>
      <c r="L29" s="338"/>
      <c r="M29" s="339">
        <f ca="1">INDIRECT("'数据-取费表'!k"&amp;$G$1)</f>
        <v>16295.3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396</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314.12</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IF(项目基本情况!B11="自然人","——",ROUND(C6*F32/(1+'数据-取费表'!C42),2))</f>
        <v>99.95</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214.17</v>
      </c>
      <c r="D33" s="1370" t="s">
        <v>3333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57.6</v>
      </c>
      <c r="D36" s="1344" t="s">
        <v>771</v>
      </c>
      <c r="E36" s="302" t="s">
        <v>712</v>
      </c>
      <c r="F36" s="328">
        <f ca="1">INDIRECT("'数据-取费表'!Ak"&amp;$G$1)</f>
        <v>4.0000000000000001E-3</v>
      </c>
      <c r="G36" s="1384"/>
      <c r="H36" s="2697"/>
      <c r="I36" s="1398"/>
      <c r="J36" s="1399"/>
      <c r="K36" s="2541"/>
      <c r="L36" s="2697"/>
      <c r="M36" s="2697"/>
    </row>
    <row r="37" spans="1:18" ht="18" customHeight="1">
      <c r="A37" s="982" t="s">
        <v>437</v>
      </c>
      <c r="B37" s="302" t="s">
        <v>742</v>
      </c>
      <c r="C37" s="21">
        <f ca="1">ROUND(C13*F37,2)</f>
        <v>14.4</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ROUND(C5*F38,2)</f>
        <v>9.3800000000000008</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772</v>
      </c>
      <c r="C39" s="310">
        <f ca="1">C5-C30</f>
        <v>1480</v>
      </c>
      <c r="D39" s="1095" t="s">
        <v>773</v>
      </c>
      <c r="E39" s="1096"/>
      <c r="F39" s="1097"/>
      <c r="G39" s="1384"/>
      <c r="H39" s="2697">
        <f ca="1">C39/C5</f>
        <v>0.78891257995735609</v>
      </c>
      <c r="I39" s="1398"/>
      <c r="J39" s="1399"/>
      <c r="K39" s="2701"/>
      <c r="L39" s="2697"/>
      <c r="M39" s="2697"/>
    </row>
    <row r="40" spans="1:18" ht="18" customHeight="1">
      <c r="A40" s="299" t="s">
        <v>395</v>
      </c>
      <c r="B40" s="300" t="s">
        <v>774</v>
      </c>
      <c r="C40" s="301">
        <f ca="1">ROUND(C39*(1-((1+F42)/(1+F40))^F41)/(F40-F42),0)</f>
        <v>30877</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38.83</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18948</v>
      </c>
      <c r="D43" s="337" t="s">
        <v>777</v>
      </c>
      <c r="E43" s="338" t="s">
        <v>778</v>
      </c>
      <c r="F43" s="339">
        <f ca="1">INDIRECT("'数据-取费表'!k"&amp;$G$1)</f>
        <v>16295.3</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-32022</v>
      </c>
      <c r="D46" s="1406" t="str">
        <f>C2</f>
        <v>万元</v>
      </c>
      <c r="E46" s="1400"/>
      <c r="F46" s="1400"/>
      <c r="I46" s="1407" t="s">
        <v>810</v>
      </c>
      <c r="J46" s="1408"/>
      <c r="K46" s="1409"/>
      <c r="L46" s="1410">
        <f ca="1">IF(M47="住宅",0,IF(L48&gt;J51,L60,J60))</f>
        <v>347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30877</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38.83</v>
      </c>
      <c r="O48" s="1418" t="s">
        <v>404</v>
      </c>
      <c r="P48" s="1419" t="s">
        <v>821</v>
      </c>
      <c r="Q48" s="1420">
        <f ca="1">J60</f>
        <v>347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2024</v>
      </c>
      <c r="K49" s="1423" t="s">
        <v>824</v>
      </c>
      <c r="L49" s="1427"/>
      <c r="O49" s="1428" t="s">
        <v>405</v>
      </c>
      <c r="P49" s="1419" t="s">
        <v>825</v>
      </c>
      <c r="Q49" s="1420">
        <f ca="1">C29</f>
        <v>14400</v>
      </c>
      <c r="R49" s="1420" t="s">
        <v>818</v>
      </c>
    </row>
    <row r="50" spans="1:18" s="1384" customFormat="1" ht="13.5" thickBot="1">
      <c r="A50" s="976"/>
      <c r="B50" s="979"/>
      <c r="C50" s="1118"/>
      <c r="D50" s="953"/>
      <c r="E50" s="1056" t="s">
        <v>697</v>
      </c>
      <c r="F50" s="1057">
        <f ca="1">F7</f>
        <v>16295.3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8935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38.83</v>
      </c>
      <c r="K53" s="3658" t="s">
        <v>837</v>
      </c>
      <c r="L53" s="3659"/>
      <c r="O53" s="1418" t="s">
        <v>409</v>
      </c>
      <c r="P53" s="1419" t="s">
        <v>838</v>
      </c>
      <c r="Q53" s="1420">
        <f ca="1">Q47+Q48</f>
        <v>31224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0.35299999999999998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14400</v>
      </c>
      <c r="D56" s="1447"/>
      <c r="E56" s="1448"/>
      <c r="F56" s="1440"/>
      <c r="I56" s="1449" t="s">
        <v>842</v>
      </c>
      <c r="J56" s="1450" t="s">
        <v>3428</v>
      </c>
      <c r="K56" s="1421" t="s">
        <v>843</v>
      </c>
      <c r="L56" s="1424" t="str">
        <f ca="1">IF(L48&lt;J51,"——",L48-J53)</f>
        <v>——</v>
      </c>
      <c r="O56" s="1418" t="s">
        <v>403</v>
      </c>
      <c r="P56" s="1419" t="s">
        <v>817</v>
      </c>
      <c r="Q56" s="1420">
        <f ca="1">C40+J29</f>
        <v>30877</v>
      </c>
      <c r="R56" s="1420" t="s">
        <v>818</v>
      </c>
    </row>
    <row r="57" spans="1:18" s="1384" customFormat="1" ht="24.75" thickBot="1">
      <c r="A57" s="1451"/>
      <c r="B57" s="950" t="s">
        <v>767</v>
      </c>
      <c r="C57" s="238">
        <f ca="1">C29</f>
        <v>14400</v>
      </c>
      <c r="D57" s="1452"/>
      <c r="E57" s="1453"/>
      <c r="F57" s="1454"/>
      <c r="I57" s="1455" t="s">
        <v>844</v>
      </c>
      <c r="J57" s="1456">
        <f ca="1">IF(OR(M47="住宅",J51&lt;L48,J56="是"),"——",J51-L48)</f>
        <v>21.17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5760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30877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57.6</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14.4</v>
      </c>
      <c r="D65" s="964" t="s">
        <v>743</v>
      </c>
      <c r="E65" s="950" t="s">
        <v>744</v>
      </c>
      <c r="F65" s="330">
        <f t="shared" ca="1" si="0"/>
        <v>1E-3</v>
      </c>
      <c r="I65" s="1462" t="s">
        <v>867</v>
      </c>
      <c r="J65" s="1463">
        <v>40</v>
      </c>
      <c r="K65" s="1463">
        <v>30</v>
      </c>
      <c r="L65" s="1463">
        <v>50</v>
      </c>
      <c r="M65" s="1465">
        <v>0.02</v>
      </c>
      <c r="O65" s="1418" t="s">
        <v>403</v>
      </c>
      <c r="P65" s="1419" t="s">
        <v>868</v>
      </c>
      <c r="Q65" s="1420">
        <f ca="1">C40+J29</f>
        <v>30877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-72</v>
      </c>
      <c r="D67" s="963" t="s">
        <v>753</v>
      </c>
      <c r="E67" s="968"/>
      <c r="F67" s="969"/>
      <c r="O67" s="1428" t="s">
        <v>405</v>
      </c>
      <c r="P67" s="1419" t="s">
        <v>850</v>
      </c>
      <c r="Q67" s="1466">
        <f ca="1">L51</f>
        <v>8935</v>
      </c>
      <c r="R67" s="1420" t="s">
        <v>870</v>
      </c>
    </row>
    <row r="68" spans="1:18" s="1384" customFormat="1" ht="16.5" thickBot="1">
      <c r="A68" s="947" t="s">
        <v>395</v>
      </c>
      <c r="B68" s="948" t="s">
        <v>774</v>
      </c>
      <c r="C68" s="301">
        <f ca="1">ROUND(C67*(1-((1+F70)/(1+F68))^F69)/(F68-F70),0)</f>
        <v>-1145</v>
      </c>
      <c r="D68" s="965" t="s">
        <v>758</v>
      </c>
      <c r="E68" s="950" t="s">
        <v>759</v>
      </c>
      <c r="F68" s="312">
        <f ca="1">F40</f>
        <v>5.5E-2</v>
      </c>
      <c r="O68" s="1428" t="s">
        <v>406</v>
      </c>
      <c r="P68" s="1467" t="s">
        <v>871</v>
      </c>
      <c r="Q68" s="1420">
        <f ca="1">ROUND(Q69-Q70*Q71,0)</f>
        <v>472</v>
      </c>
      <c r="R68" s="1420" t="s">
        <v>414</v>
      </c>
    </row>
    <row r="69" spans="1:18" s="1384" customFormat="1" ht="13.5" thickBot="1">
      <c r="A69" s="951"/>
      <c r="B69" s="952"/>
      <c r="C69" s="306"/>
      <c r="D69" s="970" t="s">
        <v>762</v>
      </c>
      <c r="E69" s="950" t="s">
        <v>763</v>
      </c>
      <c r="F69" s="333">
        <f ca="1">F41</f>
        <v>38.83</v>
      </c>
      <c r="O69" s="1428" t="s">
        <v>411</v>
      </c>
      <c r="P69" s="1467" t="s">
        <v>872</v>
      </c>
      <c r="Q69" s="1420">
        <f ca="1">C39</f>
        <v>1480</v>
      </c>
      <c r="R69" s="1420" t="s">
        <v>818</v>
      </c>
    </row>
    <row r="70" spans="1:18" s="1384" customFormat="1" ht="13.5" thickBot="1">
      <c r="A70" s="954"/>
      <c r="B70" s="955"/>
      <c r="C70" s="310"/>
      <c r="D70" s="966"/>
      <c r="E70" s="950" t="s">
        <v>766</v>
      </c>
      <c r="F70" s="1054"/>
      <c r="O70" s="1428" t="s">
        <v>412</v>
      </c>
      <c r="P70" s="1467" t="s">
        <v>873</v>
      </c>
      <c r="Q70" s="1420">
        <f ca="1">C13</f>
        <v>14400</v>
      </c>
      <c r="R70" s="1420" t="s">
        <v>818</v>
      </c>
    </row>
    <row r="71" spans="1:18" s="1384" customFormat="1" ht="13.5" thickBot="1">
      <c r="A71" s="971" t="s">
        <v>396</v>
      </c>
      <c r="B71" s="972" t="s">
        <v>776</v>
      </c>
      <c r="C71" s="336">
        <f ca="1">ROUND(C68*10000/F71,0)</f>
        <v>-703</v>
      </c>
      <c r="D71" s="973" t="s">
        <v>777</v>
      </c>
      <c r="E71" s="974" t="s">
        <v>778</v>
      </c>
      <c r="F71" s="339">
        <f ca="1">F43</f>
        <v>16295.3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1008</v>
      </c>
      <c r="D75" s="1384"/>
      <c r="E75" s="1384"/>
      <c r="F75" s="1384"/>
      <c r="K75" s="1402"/>
      <c r="L75" s="1384"/>
      <c r="O75" s="1418" t="s">
        <v>409</v>
      </c>
      <c r="P75" s="1419" t="s">
        <v>838</v>
      </c>
      <c r="Q75" s="1420">
        <f ca="1">Q65+Q66</f>
        <v>30877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0.31899999999999995</v>
      </c>
    </row>
    <row r="80" spans="1:18">
      <c r="B80" s="340" t="s">
        <v>800</v>
      </c>
      <c r="C80" s="274">
        <f ca="1">ROUND(C75/C39,3)</f>
        <v>0.68100000000000005</v>
      </c>
    </row>
    <row r="81" spans="2:3">
      <c r="B81" s="270" t="s">
        <v>801</v>
      </c>
      <c r="C81" s="238"/>
    </row>
    <row r="82" spans="2:3">
      <c r="B82" s="273" t="s">
        <v>802</v>
      </c>
      <c r="C82" s="275">
        <f ca="1">1-C83</f>
        <v>0.53400000000000003</v>
      </c>
    </row>
    <row r="83" spans="2:3">
      <c r="B83" s="273" t="s">
        <v>803</v>
      </c>
      <c r="C83" s="274">
        <f ca="1">ROUND(C13/C40,3)</f>
        <v>0.46600000000000003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zoomScale="95" zoomScaleNormal="95" workbookViewId="0">
      <selection activeCell="L28" sqref="L28"/>
    </sheetView>
  </sheetViews>
  <sheetFormatPr defaultRowHeight="13.5"/>
  <sheetData>
    <row r="1" spans="1:4">
      <c r="A1" s="3451" t="s">
        <v>3433</v>
      </c>
      <c r="D1">
        <v>4.5</v>
      </c>
    </row>
    <row r="2" spans="1:4">
      <c r="A2" s="3451" t="s">
        <v>3434</v>
      </c>
      <c r="D2">
        <v>4.2</v>
      </c>
    </row>
    <row r="3" spans="1:4">
      <c r="D3">
        <v>3</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0" t="s">
        <v>694</v>
      </c>
      <c r="C6" s="1074">
        <f ca="1">ROUND(F6*F8*F7*(1-F9),0)</f>
        <v>0</v>
      </c>
      <c r="D6" s="155" t="s">
        <v>2106</v>
      </c>
      <c r="E6" s="302" t="s">
        <v>696</v>
      </c>
      <c r="F6" s="303">
        <f ca="1">INDIRECT("'数据-取费表'!u"&amp;$G$1)</f>
        <v>0</v>
      </c>
      <c r="G6" s="1384"/>
      <c r="H6" s="1069" t="s">
        <v>398</v>
      </c>
      <c r="I6" s="3660" t="s">
        <v>694</v>
      </c>
      <c r="J6" s="301">
        <f ca="1">ROUND(M6*M8*M7*(1-M9),0)</f>
        <v>0</v>
      </c>
      <c r="K6" s="1376" t="s">
        <v>2107</v>
      </c>
      <c r="L6" s="302" t="s">
        <v>696</v>
      </c>
      <c r="M6" s="303">
        <f ca="1">INDIRECT("'数据-取费表'!z"&amp;$G$1)</f>
        <v>0</v>
      </c>
    </row>
    <row r="7" spans="1:37" ht="18" customHeight="1">
      <c r="A7" s="1073"/>
      <c r="B7" s="3661"/>
      <c r="C7" s="1075"/>
      <c r="D7" s="307"/>
      <c r="E7" s="1076" t="s">
        <v>697</v>
      </c>
      <c r="F7" s="303">
        <f ca="1">IF(INDIRECT("'数据-取费表'!ah"&amp;$G$1)="",INDIRECT("'数据-取费表'!k"&amp;$G$1),INDIRECT("'数据-取费表'!ah"&amp;$G$1))</f>
        <v>0</v>
      </c>
      <c r="G7" s="1384"/>
      <c r="H7" s="304"/>
      <c r="I7" s="3661"/>
      <c r="J7" s="306"/>
      <c r="K7" s="307"/>
      <c r="L7" s="302" t="s">
        <v>697</v>
      </c>
      <c r="M7" s="303">
        <f ca="1">F7</f>
        <v>0</v>
      </c>
    </row>
    <row r="8" spans="1:37" ht="18" customHeight="1">
      <c r="A8" s="304"/>
      <c r="B8" s="3661"/>
      <c r="C8" s="306"/>
      <c r="D8" s="307"/>
      <c r="E8" s="302" t="s">
        <v>698</v>
      </c>
      <c r="F8" s="303">
        <f ca="1">INDIRECT("'数据-取费表'!ai"&amp;$G$1)</f>
        <v>0</v>
      </c>
      <c r="G8" s="1384"/>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4"/>
      <c r="H9" s="304"/>
      <c r="I9" s="366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2304</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3349</v>
      </c>
      <c r="B45" s="1400"/>
      <c r="C45" s="1472" t="e">
        <f ca="1">ROUND((C68-C40)/10000,4)</f>
        <v>#DIV/0!</v>
      </c>
      <c r="D45" s="3429" t="s">
        <v>3350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8" t="s">
        <v>837</v>
      </c>
      <c r="L53" s="365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3356</v>
      </c>
      <c r="E2" s="3441"/>
      <c r="F2" s="2843"/>
      <c r="G2" s="2844"/>
      <c r="H2" s="2845"/>
      <c r="I2" s="2846"/>
      <c r="J2" s="3663" t="s">
        <v>2315</v>
      </c>
      <c r="K2" s="3664"/>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65" t="s">
        <v>2325</v>
      </c>
      <c r="K3" s="3666"/>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65" t="s">
        <v>2327</v>
      </c>
      <c r="K4" s="3666"/>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67" t="s">
        <v>2331</v>
      </c>
      <c r="B6" s="3668"/>
      <c r="C6" s="3669"/>
      <c r="D6" s="2867"/>
      <c r="E6" s="2868"/>
      <c r="F6" s="2869"/>
      <c r="G6" s="2870"/>
      <c r="H6" s="2845"/>
      <c r="I6" s="2846"/>
      <c r="J6" s="3670">
        <v>1</v>
      </c>
      <c r="K6" s="3671"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70"/>
      <c r="K7" s="3672"/>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74" t="s">
        <v>2345</v>
      </c>
      <c r="C8" s="3675"/>
      <c r="D8" s="2886" t="s">
        <v>2346</v>
      </c>
      <c r="E8" s="2887" t="s">
        <v>2347</v>
      </c>
      <c r="F8" s="2888" t="s">
        <v>2348</v>
      </c>
      <c r="G8" s="2889"/>
      <c r="H8" s="2845"/>
      <c r="I8" s="2846"/>
      <c r="J8" s="3670"/>
      <c r="K8" s="3672"/>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74" t="s">
        <v>2351</v>
      </c>
      <c r="C9" s="3675"/>
      <c r="D9" s="2886">
        <f>ROUND(D6*E9,0)</f>
        <v>0</v>
      </c>
      <c r="E9" s="2890"/>
      <c r="F9" s="2891" t="s">
        <v>2352</v>
      </c>
      <c r="G9" s="2870"/>
      <c r="H9" s="2845"/>
      <c r="I9" s="2846"/>
      <c r="J9" s="3670"/>
      <c r="K9" s="3672"/>
      <c r="L9" s="2880" t="s">
        <v>2353</v>
      </c>
      <c r="M9" s="2881"/>
      <c r="N9" s="2857"/>
      <c r="O9" s="2882"/>
      <c r="P9" s="2882"/>
      <c r="Q9" s="2883">
        <v>365</v>
      </c>
      <c r="R9" s="2884">
        <f t="shared" si="0"/>
        <v>0</v>
      </c>
      <c r="S9" s="2838"/>
      <c r="T9" s="2838"/>
      <c r="U9" s="2838"/>
      <c r="V9" s="2846"/>
    </row>
    <row r="10" spans="1:22" s="2850" customFormat="1" ht="13.15" customHeight="1">
      <c r="A10" s="2885">
        <v>2</v>
      </c>
      <c r="B10" s="3674" t="s">
        <v>2354</v>
      </c>
      <c r="C10" s="3675"/>
      <c r="D10" s="2886">
        <f>ROUND(D6*E10,0)</f>
        <v>0</v>
      </c>
      <c r="E10" s="2890"/>
      <c r="F10" s="2891" t="s">
        <v>2355</v>
      </c>
      <c r="G10" s="2870"/>
      <c r="H10" s="2845"/>
      <c r="I10" s="2846"/>
      <c r="J10" s="3670"/>
      <c r="K10" s="3672"/>
      <c r="L10" s="2880" t="s">
        <v>2356</v>
      </c>
      <c r="M10" s="2881"/>
      <c r="N10" s="2857"/>
      <c r="O10" s="2882"/>
      <c r="P10" s="2882"/>
      <c r="Q10" s="2883">
        <v>365</v>
      </c>
      <c r="R10" s="2884">
        <f t="shared" si="0"/>
        <v>0</v>
      </c>
      <c r="S10" s="2838"/>
      <c r="T10" s="2838"/>
      <c r="U10" s="2838"/>
      <c r="V10" s="2846"/>
    </row>
    <row r="11" spans="1:22" s="2850" customFormat="1" ht="13.15" customHeight="1">
      <c r="A11" s="2885">
        <v>3</v>
      </c>
      <c r="B11" s="3674" t="s">
        <v>2357</v>
      </c>
      <c r="C11" s="3675"/>
      <c r="D11" s="2886">
        <f>D12+D14+D15+D16</f>
        <v>0</v>
      </c>
      <c r="E11" s="2892" t="e">
        <f>D11/D6</f>
        <v>#DIV/0!</v>
      </c>
      <c r="F11" s="2888"/>
      <c r="G11" s="2889"/>
      <c r="H11" s="2845"/>
      <c r="I11" s="2846"/>
      <c r="J11" s="3670"/>
      <c r="K11" s="3672"/>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76" t="s">
        <v>2360</v>
      </c>
      <c r="C12" s="3677"/>
      <c r="D12" s="2894">
        <f>ROUND(D13*1.2%*(1-30%),0)</f>
        <v>0</v>
      </c>
      <c r="E12" s="2895">
        <v>1.2E-2</v>
      </c>
      <c r="F12" s="2888" t="s">
        <v>2361</v>
      </c>
      <c r="G12" s="2889"/>
      <c r="H12" s="2845"/>
      <c r="I12" s="2846"/>
      <c r="J12" s="3670"/>
      <c r="K12" s="3672"/>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70"/>
      <c r="K13" s="3672"/>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76" t="s">
        <v>2366</v>
      </c>
      <c r="C14" s="3677"/>
      <c r="D14" s="2894">
        <f>ROUND(E14*B5/10000,0)</f>
        <v>0</v>
      </c>
      <c r="E14" s="2883"/>
      <c r="F14" s="2888" t="s">
        <v>2367</v>
      </c>
      <c r="G14" s="2889"/>
      <c r="H14" s="2845"/>
      <c r="I14" s="2846"/>
      <c r="J14" s="3670"/>
      <c r="K14" s="3673"/>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76" t="s">
        <v>2370</v>
      </c>
      <c r="C15" s="3677"/>
      <c r="D15" s="2894">
        <f>ROUND(D6*E15,0)</f>
        <v>0</v>
      </c>
      <c r="E15" s="2895">
        <v>5.5E-2</v>
      </c>
      <c r="F15" s="2888" t="s">
        <v>2371</v>
      </c>
      <c r="G15" s="2870"/>
      <c r="H15" s="2845"/>
      <c r="I15" s="2846"/>
      <c r="J15" s="3670">
        <v>2</v>
      </c>
      <c r="K15" s="3671"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76" t="s">
        <v>2379</v>
      </c>
      <c r="C16" s="3677"/>
      <c r="D16" s="2905">
        <f>D6*E16</f>
        <v>0</v>
      </c>
      <c r="E16" s="2906"/>
      <c r="F16" s="2891" t="s">
        <v>2380</v>
      </c>
      <c r="G16" s="2870"/>
      <c r="H16" s="2845"/>
      <c r="I16" s="2846"/>
      <c r="J16" s="3670"/>
      <c r="K16" s="3672"/>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78" t="s">
        <v>2382</v>
      </c>
      <c r="C17" s="3679"/>
      <c r="D17" s="2908">
        <f>ROUND(D6*E17,0)</f>
        <v>0</v>
      </c>
      <c r="E17" s="2909"/>
      <c r="F17" s="2910" t="s">
        <v>2383</v>
      </c>
      <c r="G17" s="2870"/>
      <c r="H17" s="2845"/>
      <c r="I17" s="2846"/>
      <c r="J17" s="3670"/>
      <c r="K17" s="3672"/>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70"/>
      <c r="K18" s="3672"/>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70"/>
      <c r="K19" s="3673"/>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70">
        <v>3</v>
      </c>
      <c r="K20" s="3671"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70"/>
      <c r="K21" s="3672"/>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70"/>
      <c r="K22" s="3672"/>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70"/>
      <c r="K23" s="3672"/>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70"/>
      <c r="K24" s="3673"/>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80">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8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63" t="s">
        <v>2315</v>
      </c>
      <c r="K32" s="3664"/>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65" t="s">
        <v>2325</v>
      </c>
      <c r="K33" s="3666"/>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65" t="s">
        <v>2327</v>
      </c>
      <c r="K34" s="366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70">
        <v>1</v>
      </c>
      <c r="K36" s="3671"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70"/>
      <c r="K37" s="3672"/>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70"/>
      <c r="K38" s="3672"/>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70"/>
      <c r="K39" s="3672"/>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70"/>
      <c r="K40" s="3673"/>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80">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8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31224</v>
      </c>
      <c r="C2" s="1872" t="s">
        <v>1651</v>
      </c>
      <c r="D2" s="1873" t="s">
        <v>1652</v>
      </c>
      <c r="E2" s="2604">
        <f>SUM(E6:E13)</f>
        <v>16295.3</v>
      </c>
      <c r="F2" s="2704"/>
      <c r="G2" s="1489"/>
      <c r="H2" s="1489"/>
      <c r="I2" s="1489"/>
      <c r="J2" s="1489"/>
      <c r="K2" s="1489"/>
      <c r="L2" s="1489"/>
      <c r="M2" s="1489"/>
      <c r="N2" s="1489"/>
      <c r="O2" s="1489"/>
      <c r="P2" s="1489"/>
      <c r="Q2" s="1489"/>
      <c r="R2" s="1489"/>
      <c r="S2" s="1489"/>
    </row>
    <row r="3" spans="1:22" ht="15.75">
      <c r="A3" s="1870" t="s">
        <v>686</v>
      </c>
      <c r="B3" s="2598">
        <f ca="1">ROUND(B2*10000/E2,0)</f>
        <v>19161</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82" t="s">
        <v>1654</v>
      </c>
      <c r="C5" s="3683"/>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31224</v>
      </c>
      <c r="C6" s="1872" t="s">
        <v>1651</v>
      </c>
      <c r="D6" s="2706"/>
      <c r="E6" s="2603">
        <f>IF(OR(A6=0,F6="否"),0,'数据-取费表'!K6+'数据-取费表'!S6)</f>
        <v>16295.3</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16295.3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02" t="s">
        <v>1667</v>
      </c>
      <c r="D4" s="3703"/>
      <c r="E4" s="3704" t="s">
        <v>1668</v>
      </c>
      <c r="F4" s="3705"/>
      <c r="G4" s="3702" t="s">
        <v>1669</v>
      </c>
      <c r="H4" s="3703"/>
      <c r="I4" s="3702" t="s">
        <v>1670</v>
      </c>
      <c r="J4" s="3703"/>
      <c r="K4" s="1889" t="s">
        <v>1671</v>
      </c>
      <c r="L4" s="2712"/>
      <c r="M4" s="2713"/>
      <c r="N4" s="2713"/>
      <c r="O4" s="2713"/>
      <c r="P4" s="3706" t="s">
        <v>1672</v>
      </c>
      <c r="Q4" s="3707"/>
      <c r="R4" s="3689" t="s">
        <v>1668</v>
      </c>
      <c r="S4" s="3690"/>
      <c r="T4" s="3689" t="s">
        <v>1669</v>
      </c>
      <c r="U4" s="3690"/>
      <c r="V4" s="3714" t="s">
        <v>1670</v>
      </c>
      <c r="W4" s="3714"/>
      <c r="X4" s="1355"/>
      <c r="Y4" s="3689" t="s">
        <v>1672</v>
      </c>
      <c r="Z4" s="3690"/>
      <c r="AA4" s="3684" t="s">
        <v>1668</v>
      </c>
      <c r="AB4" s="3684" t="s">
        <v>1669</v>
      </c>
      <c r="AC4" s="3684" t="s">
        <v>1670</v>
      </c>
    </row>
    <row r="5" spans="1:29" ht="15">
      <c r="A5" s="358"/>
      <c r="B5" s="359"/>
      <c r="C5" s="3695" t="s">
        <v>1673</v>
      </c>
      <c r="D5" s="3696"/>
      <c r="E5" s="3693" t="s">
        <v>1674</v>
      </c>
      <c r="F5" s="3694"/>
      <c r="G5" s="3695" t="s">
        <v>1675</v>
      </c>
      <c r="H5" s="3696"/>
      <c r="I5" s="3695" t="s">
        <v>1676</v>
      </c>
      <c r="J5" s="3696"/>
      <c r="K5" s="1890"/>
      <c r="L5" s="2712"/>
      <c r="M5" s="2713"/>
      <c r="N5" s="2713"/>
      <c r="O5" s="2713"/>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1890" t="s">
        <v>1678</v>
      </c>
      <c r="L6" s="2712"/>
      <c r="M6" s="2713"/>
      <c r="N6" s="2713"/>
      <c r="O6" s="2713"/>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45603</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87" t="s">
        <v>1680</v>
      </c>
      <c r="Q7" s="3715"/>
      <c r="R7" s="701" t="s">
        <v>20</v>
      </c>
      <c r="S7" s="702">
        <f t="shared" ref="S7:S15" si="0">F7</f>
        <v>0</v>
      </c>
      <c r="T7" s="701" t="s">
        <v>20</v>
      </c>
      <c r="U7" s="702">
        <f t="shared" ref="U7:U15" si="1">H7</f>
        <v>0</v>
      </c>
      <c r="V7" s="701" t="s">
        <v>20</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87" t="s">
        <v>1683</v>
      </c>
      <c r="Q8" s="3688"/>
      <c r="R8" s="701" t="s">
        <v>20</v>
      </c>
      <c r="S8" s="702">
        <f t="shared" si="0"/>
        <v>100</v>
      </c>
      <c r="T8" s="701" t="s">
        <v>20</v>
      </c>
      <c r="U8" s="702">
        <f t="shared" si="1"/>
        <v>100</v>
      </c>
      <c r="V8" s="701" t="s">
        <v>20</v>
      </c>
      <c r="W8" s="702">
        <f t="shared" si="2"/>
        <v>100</v>
      </c>
      <c r="X8" s="703"/>
      <c r="Y8" s="3687" t="s">
        <v>1683</v>
      </c>
      <c r="Z8" s="368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01"/>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01"/>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01"/>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01"/>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15">
      <c r="A15" s="391" t="s">
        <v>1690</v>
      </c>
      <c r="B15" s="61" t="s">
        <v>1257</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28" t="s">
        <v>1691</v>
      </c>
      <c r="Q15" s="1352" t="str">
        <f t="shared" si="6"/>
        <v>居住社区成熟度</v>
      </c>
      <c r="R15" s="705" t="s">
        <v>18</v>
      </c>
      <c r="S15" s="706">
        <f t="shared" si="0"/>
        <v>100</v>
      </c>
      <c r="T15" s="705" t="s">
        <v>18</v>
      </c>
      <c r="U15" s="706">
        <f t="shared" si="1"/>
        <v>100</v>
      </c>
      <c r="V15" s="705" t="s">
        <v>18</v>
      </c>
      <c r="W15" s="706">
        <f t="shared" si="2"/>
        <v>100</v>
      </c>
      <c r="X15" s="1355"/>
      <c r="Y15" s="372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29"/>
      <c r="Q16" s="1352"/>
      <c r="R16" s="705"/>
      <c r="S16" s="706"/>
      <c r="T16" s="705"/>
      <c r="U16" s="706"/>
      <c r="V16" s="705"/>
      <c r="W16" s="706"/>
      <c r="X16" s="1355"/>
      <c r="Y16" s="3722"/>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9"/>
      <c r="Q17" s="1352" t="str">
        <f>B17</f>
        <v>交通便捷度</v>
      </c>
      <c r="R17" s="705" t="s">
        <v>18</v>
      </c>
      <c r="S17" s="706">
        <f>F17</f>
        <v>100</v>
      </c>
      <c r="T17" s="705" t="s">
        <v>18</v>
      </c>
      <c r="U17" s="706">
        <f>H17</f>
        <v>100</v>
      </c>
      <c r="V17" s="705" t="s">
        <v>18</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29"/>
      <c r="Q18" s="1352"/>
      <c r="R18" s="705"/>
      <c r="S18" s="706"/>
      <c r="T18" s="705"/>
      <c r="U18" s="706"/>
      <c r="V18" s="705"/>
      <c r="W18" s="706"/>
      <c r="X18" s="1355"/>
      <c r="Y18" s="3722"/>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9"/>
      <c r="Q19" s="1352" t="str">
        <f>B19</f>
        <v>公共配套设施</v>
      </c>
      <c r="R19" s="705" t="s">
        <v>18</v>
      </c>
      <c r="S19" s="706">
        <f>F19</f>
        <v>100</v>
      </c>
      <c r="T19" s="705" t="s">
        <v>18</v>
      </c>
      <c r="U19" s="706">
        <f>H19</f>
        <v>100</v>
      </c>
      <c r="V19" s="705" t="s">
        <v>18</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29"/>
      <c r="Q20" s="1352"/>
      <c r="R20" s="705"/>
      <c r="S20" s="706"/>
      <c r="T20" s="705"/>
      <c r="U20" s="706"/>
      <c r="V20" s="705"/>
      <c r="W20" s="706"/>
      <c r="X20" s="1355"/>
      <c r="Y20" s="3722"/>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29"/>
      <c r="Q22" s="1352"/>
      <c r="R22" s="705"/>
      <c r="S22" s="706"/>
      <c r="T22" s="705"/>
      <c r="U22" s="706"/>
      <c r="V22" s="705"/>
      <c r="W22" s="706"/>
      <c r="X22" s="1355"/>
      <c r="Y22" s="3722"/>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9"/>
      <c r="Q23" s="1352" t="str">
        <f>B23</f>
        <v>自然及人文环境</v>
      </c>
      <c r="R23" s="705" t="s">
        <v>18</v>
      </c>
      <c r="S23" s="706">
        <f>F23</f>
        <v>100</v>
      </c>
      <c r="T23" s="705" t="s">
        <v>18</v>
      </c>
      <c r="U23" s="706">
        <f>H23</f>
        <v>100</v>
      </c>
      <c r="V23" s="705" t="s">
        <v>18</v>
      </c>
      <c r="W23" s="706">
        <f>J23</f>
        <v>100</v>
      </c>
      <c r="X23" s="1355"/>
      <c r="Y23" s="372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29"/>
      <c r="Q24" s="1352"/>
      <c r="R24" s="705"/>
      <c r="S24" s="706"/>
      <c r="T24" s="705"/>
      <c r="U24" s="706"/>
      <c r="V24" s="705"/>
      <c r="W24" s="706"/>
      <c r="X24" s="1355"/>
      <c r="Y24" s="372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2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29"/>
      <c r="Q26" s="1352" t="str">
        <f t="shared" si="11"/>
        <v>朝向</v>
      </c>
      <c r="R26" s="705" t="s">
        <v>18</v>
      </c>
      <c r="S26" s="706">
        <f t="shared" si="12"/>
        <v>100</v>
      </c>
      <c r="T26" s="705" t="s">
        <v>18</v>
      </c>
      <c r="U26" s="706">
        <f t="shared" si="13"/>
        <v>100</v>
      </c>
      <c r="V26" s="705" t="s">
        <v>18</v>
      </c>
      <c r="W26" s="706">
        <f t="shared" si="14"/>
        <v>100</v>
      </c>
      <c r="X26" s="1355"/>
      <c r="Y26" s="372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29"/>
      <c r="Q27" s="1343">
        <f t="shared" si="11"/>
        <v>111</v>
      </c>
      <c r="R27" s="701" t="s">
        <v>18</v>
      </c>
      <c r="S27" s="702">
        <f t="shared" si="12"/>
        <v>100</v>
      </c>
      <c r="T27" s="701" t="s">
        <v>18</v>
      </c>
      <c r="U27" s="702">
        <f t="shared" si="13"/>
        <v>100</v>
      </c>
      <c r="V27" s="701" t="s">
        <v>18</v>
      </c>
      <c r="W27" s="702">
        <f t="shared" si="14"/>
        <v>100</v>
      </c>
      <c r="X27" s="703"/>
      <c r="Y27" s="372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29"/>
      <c r="Q28" s="1352">
        <f t="shared" si="11"/>
        <v>111</v>
      </c>
      <c r="R28" s="705" t="s">
        <v>18</v>
      </c>
      <c r="S28" s="706">
        <f t="shared" si="12"/>
        <v>100</v>
      </c>
      <c r="T28" s="705" t="s">
        <v>18</v>
      </c>
      <c r="U28" s="706">
        <f t="shared" si="13"/>
        <v>100</v>
      </c>
      <c r="V28" s="705" t="s">
        <v>18</v>
      </c>
      <c r="W28" s="706">
        <f t="shared" si="14"/>
        <v>100</v>
      </c>
      <c r="X28" s="1355"/>
      <c r="Y28" s="372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29"/>
      <c r="Q29" s="1352">
        <f t="shared" si="11"/>
        <v>111</v>
      </c>
      <c r="R29" s="705" t="s">
        <v>18</v>
      </c>
      <c r="S29" s="706">
        <f t="shared" si="12"/>
        <v>100</v>
      </c>
      <c r="T29" s="705" t="s">
        <v>18</v>
      </c>
      <c r="U29" s="706">
        <f t="shared" si="13"/>
        <v>100</v>
      </c>
      <c r="V29" s="705" t="s">
        <v>18</v>
      </c>
      <c r="W29" s="706">
        <f t="shared" si="14"/>
        <v>100</v>
      </c>
      <c r="X29" s="1355"/>
      <c r="Y29" s="372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29"/>
      <c r="Q30" s="1352">
        <f t="shared" si="11"/>
        <v>111</v>
      </c>
      <c r="R30" s="705" t="s">
        <v>18</v>
      </c>
      <c r="S30" s="706">
        <f t="shared" si="12"/>
        <v>100</v>
      </c>
      <c r="T30" s="705" t="s">
        <v>18</v>
      </c>
      <c r="U30" s="706">
        <f t="shared" si="13"/>
        <v>100</v>
      </c>
      <c r="V30" s="705" t="s">
        <v>18</v>
      </c>
      <c r="W30" s="706">
        <f t="shared" si="14"/>
        <v>100</v>
      </c>
      <c r="X30" s="1355"/>
      <c r="Y30" s="372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29"/>
      <c r="Q31" s="1352">
        <f t="shared" si="11"/>
        <v>111</v>
      </c>
      <c r="R31" s="705" t="s">
        <v>18</v>
      </c>
      <c r="S31" s="706">
        <f t="shared" si="12"/>
        <v>100</v>
      </c>
      <c r="T31" s="705" t="s">
        <v>18</v>
      </c>
      <c r="U31" s="706">
        <f t="shared" si="13"/>
        <v>100</v>
      </c>
      <c r="V31" s="705" t="s">
        <v>18</v>
      </c>
      <c r="W31" s="706">
        <f t="shared" si="14"/>
        <v>100</v>
      </c>
      <c r="X31" s="1355"/>
      <c r="Y31" s="372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23" t="s">
        <v>1696</v>
      </c>
      <c r="Q32" s="1352" t="str">
        <f t="shared" si="11"/>
        <v>建筑类型</v>
      </c>
      <c r="R32" s="705" t="s">
        <v>18</v>
      </c>
      <c r="S32" s="706">
        <f t="shared" si="12"/>
        <v>100</v>
      </c>
      <c r="T32" s="705" t="s">
        <v>18</v>
      </c>
      <c r="U32" s="706">
        <f t="shared" si="13"/>
        <v>100</v>
      </c>
      <c r="V32" s="705" t="s">
        <v>18</v>
      </c>
      <c r="W32" s="706">
        <f t="shared" si="14"/>
        <v>100</v>
      </c>
      <c r="X32" s="1355"/>
      <c r="Y32" s="372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24"/>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24"/>
      <c r="Q34" s="1352" t="str">
        <f t="shared" si="11"/>
        <v>建筑结构</v>
      </c>
      <c r="R34" s="705" t="s">
        <v>18</v>
      </c>
      <c r="S34" s="706">
        <f t="shared" si="12"/>
        <v>100</v>
      </c>
      <c r="T34" s="705" t="s">
        <v>18</v>
      </c>
      <c r="U34" s="706">
        <f t="shared" si="13"/>
        <v>100</v>
      </c>
      <c r="V34" s="705" t="s">
        <v>18</v>
      </c>
      <c r="W34" s="706">
        <f t="shared" si="14"/>
        <v>100</v>
      </c>
      <c r="X34" s="1355"/>
      <c r="Y34" s="372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24"/>
      <c r="Q35" s="1352" t="str">
        <f t="shared" si="11"/>
        <v>建筑品质</v>
      </c>
      <c r="R35" s="705" t="s">
        <v>18</v>
      </c>
      <c r="S35" s="706">
        <f t="shared" si="12"/>
        <v>100</v>
      </c>
      <c r="T35" s="705" t="s">
        <v>18</v>
      </c>
      <c r="U35" s="706">
        <f t="shared" si="13"/>
        <v>100</v>
      </c>
      <c r="V35" s="705" t="s">
        <v>18</v>
      </c>
      <c r="W35" s="706">
        <f t="shared" si="14"/>
        <v>100</v>
      </c>
      <c r="X35" s="1355"/>
      <c r="Y35" s="372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24"/>
      <c r="Q36" s="1352" t="str">
        <f t="shared" si="11"/>
        <v>公共部分装修</v>
      </c>
      <c r="R36" s="705" t="s">
        <v>18</v>
      </c>
      <c r="S36" s="706">
        <f t="shared" si="12"/>
        <v>100</v>
      </c>
      <c r="T36" s="705" t="s">
        <v>18</v>
      </c>
      <c r="U36" s="706">
        <f t="shared" si="13"/>
        <v>100</v>
      </c>
      <c r="V36" s="705" t="s">
        <v>18</v>
      </c>
      <c r="W36" s="706">
        <f t="shared" si="14"/>
        <v>100</v>
      </c>
      <c r="X36" s="1355"/>
      <c r="Y36" s="372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4"/>
      <c r="Q37" s="1343"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24" t="s">
        <v>1696</v>
      </c>
      <c r="Q38" s="1352" t="str">
        <f t="shared" si="11"/>
        <v>物业管理</v>
      </c>
      <c r="R38" s="705" t="s">
        <v>18</v>
      </c>
      <c r="S38" s="706">
        <f t="shared" si="12"/>
        <v>100</v>
      </c>
      <c r="T38" s="705" t="s">
        <v>18</v>
      </c>
      <c r="U38" s="706">
        <f t="shared" si="13"/>
        <v>100</v>
      </c>
      <c r="V38" s="705" t="s">
        <v>18</v>
      </c>
      <c r="W38" s="706">
        <f t="shared" si="14"/>
        <v>100</v>
      </c>
      <c r="X38" s="1355"/>
      <c r="Y38" s="372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24"/>
      <c r="Q39" s="1352" t="str">
        <f t="shared" si="11"/>
        <v>市政基础设施</v>
      </c>
      <c r="R39" s="705" t="s">
        <v>18</v>
      </c>
      <c r="S39" s="706">
        <f t="shared" si="12"/>
        <v>100</v>
      </c>
      <c r="T39" s="705" t="s">
        <v>18</v>
      </c>
      <c r="U39" s="706">
        <f t="shared" si="13"/>
        <v>100</v>
      </c>
      <c r="V39" s="705" t="s">
        <v>18</v>
      </c>
      <c r="W39" s="706">
        <f t="shared" si="14"/>
        <v>100</v>
      </c>
      <c r="X39" s="1355"/>
      <c r="Y39" s="372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24"/>
      <c r="Q40" s="1352" t="str">
        <f t="shared" si="11"/>
        <v>房型</v>
      </c>
      <c r="R40" s="705" t="s">
        <v>18</v>
      </c>
      <c r="S40" s="706">
        <f t="shared" si="12"/>
        <v>100</v>
      </c>
      <c r="T40" s="705" t="s">
        <v>18</v>
      </c>
      <c r="U40" s="706">
        <f t="shared" si="13"/>
        <v>100</v>
      </c>
      <c r="V40" s="705" t="s">
        <v>18</v>
      </c>
      <c r="W40" s="706">
        <f t="shared" si="14"/>
        <v>100</v>
      </c>
      <c r="X40" s="1355"/>
      <c r="Y40" s="372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24"/>
      <c r="Q42" s="1352" t="str">
        <f t="shared" si="11"/>
        <v>内部装修</v>
      </c>
      <c r="R42" s="705" t="s">
        <v>18</v>
      </c>
      <c r="S42" s="706">
        <f t="shared" si="12"/>
        <v>100</v>
      </c>
      <c r="T42" s="705" t="s">
        <v>18</v>
      </c>
      <c r="U42" s="706">
        <f t="shared" si="13"/>
        <v>100</v>
      </c>
      <c r="V42" s="705" t="s">
        <v>18</v>
      </c>
      <c r="W42" s="706">
        <f t="shared" si="14"/>
        <v>100</v>
      </c>
      <c r="X42" s="1355"/>
      <c r="Y42" s="372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24"/>
      <c r="Q43" s="1352" t="str">
        <f t="shared" si="11"/>
        <v>内部装修维护情况</v>
      </c>
      <c r="R43" s="705" t="s">
        <v>18</v>
      </c>
      <c r="S43" s="706">
        <f t="shared" si="12"/>
        <v>100</v>
      </c>
      <c r="T43" s="705" t="s">
        <v>18</v>
      </c>
      <c r="U43" s="706">
        <f t="shared" si="13"/>
        <v>100</v>
      </c>
      <c r="V43" s="705" t="s">
        <v>18</v>
      </c>
      <c r="W43" s="706">
        <f t="shared" si="14"/>
        <v>100</v>
      </c>
      <c r="X43" s="1355"/>
      <c r="Y43" s="372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24"/>
      <c r="Q44" s="1343">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24"/>
      <c r="Q45" s="1352">
        <f t="shared" si="11"/>
        <v>111</v>
      </c>
      <c r="R45" s="705" t="s">
        <v>18</v>
      </c>
      <c r="S45" s="706">
        <f t="shared" si="12"/>
        <v>100</v>
      </c>
      <c r="T45" s="705" t="s">
        <v>18</v>
      </c>
      <c r="U45" s="706">
        <f t="shared" si="13"/>
        <v>100</v>
      </c>
      <c r="V45" s="705" t="s">
        <v>18</v>
      </c>
      <c r="W45" s="706">
        <f t="shared" si="14"/>
        <v>100</v>
      </c>
      <c r="X45" s="1355"/>
      <c r="Y45" s="372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25"/>
      <c r="Q46" s="1352">
        <f t="shared" si="11"/>
        <v>111</v>
      </c>
      <c r="R46" s="705" t="s">
        <v>17</v>
      </c>
      <c r="S46" s="706">
        <f t="shared" si="12"/>
        <v>100</v>
      </c>
      <c r="T46" s="705" t="s">
        <v>17</v>
      </c>
      <c r="U46" s="706">
        <f t="shared" si="13"/>
        <v>100</v>
      </c>
      <c r="V46" s="705" t="s">
        <v>17</v>
      </c>
      <c r="W46" s="706">
        <f t="shared" si="14"/>
        <v>100</v>
      </c>
      <c r="X46" s="1355"/>
      <c r="Y46" s="372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19" t="str">
        <f>A47</f>
        <v>成交单价（元/平方米）</v>
      </c>
      <c r="Q47" s="3719"/>
      <c r="R47" s="3720">
        <f>E47</f>
        <v>0</v>
      </c>
      <c r="S47" s="3720"/>
      <c r="T47" s="3720">
        <f>G47</f>
        <v>0</v>
      </c>
      <c r="U47" s="3720"/>
      <c r="V47" s="3720">
        <f>I47</f>
        <v>0</v>
      </c>
      <c r="W47" s="372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16295.3</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5"/>
      <c r="Y4" s="3689" t="s">
        <v>1775</v>
      </c>
      <c r="Z4" s="3690"/>
      <c r="AA4" s="3684" t="s">
        <v>1771</v>
      </c>
      <c r="AB4" s="3714"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5"/>
      <c r="Y5" s="3691"/>
      <c r="Z5" s="3692"/>
      <c r="AA5" s="3685"/>
      <c r="AB5" s="3714"/>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5"/>
      <c r="Y6" s="3712"/>
      <c r="Z6" s="3713"/>
      <c r="AA6" s="3686"/>
      <c r="AB6" s="3714"/>
      <c r="AC6" s="3686"/>
    </row>
    <row r="7" spans="1:29" s="108" customFormat="1" ht="15.75" thickBot="1">
      <c r="A7" s="362" t="s">
        <v>1679</v>
      </c>
      <c r="B7" s="363"/>
      <c r="C7" s="364">
        <f>'数据-取费表'!B2</f>
        <v>45603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01"/>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0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28" t="s">
        <v>1691</v>
      </c>
      <c r="Q15" s="1352" t="str">
        <f t="shared" si="6"/>
        <v>商业繁华度</v>
      </c>
      <c r="R15" s="705" t="s">
        <v>14</v>
      </c>
      <c r="S15" s="706">
        <f t="shared" si="0"/>
        <v>100</v>
      </c>
      <c r="T15" s="705" t="s">
        <v>14</v>
      </c>
      <c r="U15" s="706">
        <f t="shared" si="1"/>
        <v>100</v>
      </c>
      <c r="V15" s="705" t="s">
        <v>14</v>
      </c>
      <c r="W15" s="706">
        <f t="shared" si="2"/>
        <v>100</v>
      </c>
      <c r="X15" s="1355"/>
      <c r="Y15" s="372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29"/>
      <c r="Q16" s="1352"/>
      <c r="R16" s="705"/>
      <c r="S16" s="706"/>
      <c r="T16" s="705"/>
      <c r="U16" s="706"/>
      <c r="V16" s="705"/>
      <c r="W16" s="706"/>
      <c r="X16" s="1355"/>
      <c r="Y16" s="3722"/>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29"/>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29"/>
      <c r="Q18" s="1352"/>
      <c r="R18" s="705"/>
      <c r="S18" s="706"/>
      <c r="T18" s="705"/>
      <c r="U18" s="706"/>
      <c r="V18" s="705"/>
      <c r="W18" s="706"/>
      <c r="X18" s="1355"/>
      <c r="Y18" s="3722"/>
      <c r="Z18" s="1356"/>
      <c r="AA18" s="1353">
        <v>1</v>
      </c>
      <c r="AB18" s="1353">
        <v>1</v>
      </c>
      <c r="AC18" s="1353">
        <v>1</v>
      </c>
    </row>
    <row r="19" spans="1:29" ht="1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9"/>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29"/>
      <c r="Q20" s="1352"/>
      <c r="R20" s="705"/>
      <c r="S20" s="706"/>
      <c r="T20" s="705"/>
      <c r="U20" s="706"/>
      <c r="V20" s="705"/>
      <c r="W20" s="706"/>
      <c r="X20" s="1355"/>
      <c r="Y20" s="3722"/>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29"/>
      <c r="Q22" s="1352"/>
      <c r="R22" s="705"/>
      <c r="S22" s="706"/>
      <c r="T22" s="705"/>
      <c r="U22" s="706"/>
      <c r="V22" s="705"/>
      <c r="W22" s="706"/>
      <c r="X22" s="1355"/>
      <c r="Y22" s="3722"/>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9"/>
      <c r="Q23" s="1352" t="str">
        <f>B23</f>
        <v>自然及人文环境</v>
      </c>
      <c r="R23" s="705" t="s">
        <v>14</v>
      </c>
      <c r="S23" s="706">
        <f>F23</f>
        <v>100</v>
      </c>
      <c r="T23" s="705" t="s">
        <v>14</v>
      </c>
      <c r="U23" s="706">
        <f>H23</f>
        <v>100</v>
      </c>
      <c r="V23" s="705" t="s">
        <v>14</v>
      </c>
      <c r="W23" s="706">
        <f>J23</f>
        <v>100</v>
      </c>
      <c r="X23" s="1355"/>
      <c r="Y23" s="372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29"/>
      <c r="Q24" s="1352"/>
      <c r="R24" s="705"/>
      <c r="S24" s="706"/>
      <c r="T24" s="705"/>
      <c r="U24" s="706"/>
      <c r="V24" s="705"/>
      <c r="W24" s="706"/>
      <c r="X24" s="1355"/>
      <c r="Y24" s="372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29"/>
      <c r="Q25" s="1352" t="str">
        <f t="shared" ref="Q25:Q46" si="11">B25</f>
        <v>临街状况</v>
      </c>
      <c r="R25" s="705" t="s">
        <v>14</v>
      </c>
      <c r="S25" s="706">
        <f>F25</f>
        <v>100</v>
      </c>
      <c r="T25" s="705" t="s">
        <v>14</v>
      </c>
      <c r="U25" s="706">
        <f>H25</f>
        <v>100</v>
      </c>
      <c r="V25" s="705" t="s">
        <v>14</v>
      </c>
      <c r="W25" s="706">
        <f>J25</f>
        <v>100</v>
      </c>
      <c r="X25" s="1355"/>
      <c r="Y25" s="372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9"/>
      <c r="Q26" s="1352" t="str">
        <f t="shared" si="11"/>
        <v>平面位置/可视性</v>
      </c>
      <c r="R26" s="705" t="s">
        <v>14</v>
      </c>
      <c r="S26" s="706">
        <f>F26</f>
        <v>100</v>
      </c>
      <c r="T26" s="705" t="s">
        <v>14</v>
      </c>
      <c r="U26" s="706">
        <f>H26</f>
        <v>100</v>
      </c>
      <c r="V26" s="705" t="s">
        <v>14</v>
      </c>
      <c r="W26" s="706">
        <f>J26</f>
        <v>100</v>
      </c>
      <c r="X26" s="1355"/>
      <c r="Y26" s="372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29"/>
      <c r="Q27" s="1343" t="str">
        <f t="shared" si="11"/>
        <v>人流量</v>
      </c>
      <c r="R27" s="701" t="s">
        <v>14</v>
      </c>
      <c r="S27" s="702">
        <f>F27</f>
        <v>100</v>
      </c>
      <c r="T27" s="701" t="s">
        <v>14</v>
      </c>
      <c r="U27" s="702">
        <f>H27</f>
        <v>100</v>
      </c>
      <c r="V27" s="701" t="s">
        <v>14</v>
      </c>
      <c r="W27" s="702">
        <f>J27</f>
        <v>100</v>
      </c>
      <c r="X27" s="703"/>
      <c r="Y27" s="372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2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9"/>
      <c r="Q29" s="1352">
        <f t="shared" si="11"/>
        <v>111</v>
      </c>
      <c r="R29" s="705" t="s">
        <v>14</v>
      </c>
      <c r="S29" s="706">
        <f t="shared" si="12"/>
        <v>100</v>
      </c>
      <c r="T29" s="705" t="s">
        <v>14</v>
      </c>
      <c r="U29" s="706">
        <f t="shared" si="13"/>
        <v>100</v>
      </c>
      <c r="V29" s="705" t="s">
        <v>14</v>
      </c>
      <c r="W29" s="706">
        <f t="shared" si="14"/>
        <v>100</v>
      </c>
      <c r="X29" s="1355"/>
      <c r="Y29" s="372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9"/>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9"/>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23" t="s">
        <v>1696</v>
      </c>
      <c r="Q32" s="1352" t="str">
        <f t="shared" si="11"/>
        <v>商业类型</v>
      </c>
      <c r="R32" s="705" t="s">
        <v>14</v>
      </c>
      <c r="S32" s="706">
        <f t="shared" si="12"/>
        <v>100</v>
      </c>
      <c r="T32" s="705" t="s">
        <v>14</v>
      </c>
      <c r="U32" s="706">
        <f t="shared" si="13"/>
        <v>100</v>
      </c>
      <c r="V32" s="705" t="s">
        <v>14</v>
      </c>
      <c r="W32" s="706">
        <f t="shared" si="14"/>
        <v>100</v>
      </c>
      <c r="X32" s="1355"/>
      <c r="Y32" s="372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24"/>
      <c r="Q34" s="1352" t="str">
        <f t="shared" si="11"/>
        <v>建筑结构</v>
      </c>
      <c r="R34" s="705" t="s">
        <v>14</v>
      </c>
      <c r="S34" s="706">
        <f t="shared" si="12"/>
        <v>100</v>
      </c>
      <c r="T34" s="705" t="s">
        <v>14</v>
      </c>
      <c r="U34" s="706">
        <f t="shared" si="13"/>
        <v>100</v>
      </c>
      <c r="V34" s="705" t="s">
        <v>14</v>
      </c>
      <c r="W34" s="706">
        <f t="shared" si="14"/>
        <v>100</v>
      </c>
      <c r="X34" s="1355"/>
      <c r="Y34" s="372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24"/>
      <c r="Q35" s="1352" t="str">
        <f t="shared" si="11"/>
        <v>公共部分装修</v>
      </c>
      <c r="R35" s="705" t="s">
        <v>14</v>
      </c>
      <c r="S35" s="706">
        <f t="shared" si="12"/>
        <v>100</v>
      </c>
      <c r="T35" s="705" t="s">
        <v>14</v>
      </c>
      <c r="U35" s="706">
        <f t="shared" si="13"/>
        <v>100</v>
      </c>
      <c r="V35" s="705" t="s">
        <v>14</v>
      </c>
      <c r="W35" s="706">
        <f t="shared" si="14"/>
        <v>100</v>
      </c>
      <c r="X35" s="1355"/>
      <c r="Y35" s="372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24"/>
      <c r="Q36" s="1352" t="str">
        <f t="shared" si="11"/>
        <v>成新度</v>
      </c>
      <c r="R36" s="705" t="s">
        <v>14</v>
      </c>
      <c r="S36" s="706" t="e">
        <f t="shared" si="12"/>
        <v>#N/A</v>
      </c>
      <c r="T36" s="705" t="s">
        <v>14</v>
      </c>
      <c r="U36" s="706" t="e">
        <f t="shared" si="13"/>
        <v>#N/A</v>
      </c>
      <c r="V36" s="705" t="s">
        <v>14</v>
      </c>
      <c r="W36" s="706" t="e">
        <f t="shared" si="14"/>
        <v>#N/A</v>
      </c>
      <c r="X36" s="1355"/>
      <c r="Y36" s="372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24"/>
      <c r="Q37" s="1343"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24" t="s">
        <v>1696</v>
      </c>
      <c r="Q38" s="1352" t="str">
        <f t="shared" si="11"/>
        <v>业态</v>
      </c>
      <c r="R38" s="705" t="s">
        <v>14</v>
      </c>
      <c r="S38" s="706">
        <f t="shared" si="12"/>
        <v>100</v>
      </c>
      <c r="T38" s="705" t="s">
        <v>14</v>
      </c>
      <c r="U38" s="706">
        <f t="shared" si="13"/>
        <v>100</v>
      </c>
      <c r="V38" s="705" t="s">
        <v>14</v>
      </c>
      <c r="W38" s="706">
        <f t="shared" si="14"/>
        <v>100</v>
      </c>
      <c r="X38" s="1355"/>
      <c r="Y38" s="372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24"/>
      <c r="Q39" s="1352" t="str">
        <f t="shared" si="11"/>
        <v>层高</v>
      </c>
      <c r="R39" s="705" t="s">
        <v>14</v>
      </c>
      <c r="S39" s="706">
        <f t="shared" si="12"/>
        <v>100</v>
      </c>
      <c r="T39" s="705" t="s">
        <v>14</v>
      </c>
      <c r="U39" s="706">
        <f t="shared" si="13"/>
        <v>100</v>
      </c>
      <c r="V39" s="705" t="s">
        <v>14</v>
      </c>
      <c r="W39" s="706">
        <f t="shared" si="14"/>
        <v>100</v>
      </c>
      <c r="X39" s="1355"/>
      <c r="Y39" s="372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4"/>
      <c r="Q40" s="1352" t="str">
        <f t="shared" si="11"/>
        <v>单套建筑面积</v>
      </c>
      <c r="R40" s="705" t="s">
        <v>14</v>
      </c>
      <c r="S40" s="706">
        <f t="shared" si="12"/>
        <v>100</v>
      </c>
      <c r="T40" s="705" t="s">
        <v>14</v>
      </c>
      <c r="U40" s="706">
        <f t="shared" si="13"/>
        <v>100</v>
      </c>
      <c r="V40" s="705" t="s">
        <v>14</v>
      </c>
      <c r="W40" s="706">
        <f t="shared" si="14"/>
        <v>100</v>
      </c>
      <c r="X40" s="1355"/>
      <c r="Y40" s="372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24"/>
      <c r="Q42" s="1352" t="str">
        <f t="shared" si="11"/>
        <v>内部装修</v>
      </c>
      <c r="R42" s="705" t="s">
        <v>14</v>
      </c>
      <c r="S42" s="706">
        <f t="shared" si="12"/>
        <v>100</v>
      </c>
      <c r="T42" s="705" t="s">
        <v>14</v>
      </c>
      <c r="U42" s="706">
        <f t="shared" si="13"/>
        <v>100</v>
      </c>
      <c r="V42" s="705" t="s">
        <v>14</v>
      </c>
      <c r="W42" s="706">
        <f t="shared" si="14"/>
        <v>100</v>
      </c>
      <c r="X42" s="1355"/>
      <c r="Y42" s="372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24"/>
      <c r="Q43" s="1352" t="str">
        <f t="shared" si="11"/>
        <v>内部装修维护情况</v>
      </c>
      <c r="R43" s="705" t="s">
        <v>14</v>
      </c>
      <c r="S43" s="706">
        <f t="shared" si="12"/>
        <v>100</v>
      </c>
      <c r="T43" s="705" t="s">
        <v>14</v>
      </c>
      <c r="U43" s="706">
        <f t="shared" si="13"/>
        <v>100</v>
      </c>
      <c r="V43" s="705" t="s">
        <v>14</v>
      </c>
      <c r="W43" s="706">
        <f t="shared" si="14"/>
        <v>100</v>
      </c>
      <c r="X43" s="1355"/>
      <c r="Y43" s="372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4"/>
      <c r="Q44" s="1343">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4"/>
      <c r="Q45" s="1352">
        <f t="shared" si="11"/>
        <v>111</v>
      </c>
      <c r="R45" s="705" t="s">
        <v>14</v>
      </c>
      <c r="S45" s="706">
        <f t="shared" si="12"/>
        <v>100</v>
      </c>
      <c r="T45" s="705" t="s">
        <v>14</v>
      </c>
      <c r="U45" s="706">
        <f t="shared" si="13"/>
        <v>100</v>
      </c>
      <c r="V45" s="705" t="s">
        <v>14</v>
      </c>
      <c r="W45" s="706">
        <f t="shared" si="14"/>
        <v>100</v>
      </c>
      <c r="X45" s="1355"/>
      <c r="Y45" s="372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719" t="str">
        <f>A47</f>
        <v>成交单价（元/平方米）</v>
      </c>
      <c r="Q47" s="3719"/>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受贵公司委托，我公司对北京市顺义区汇海南路6号院25号楼-2至10层101房地产抵押价值进行了预评估。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汇海南路6号院25号楼-2至10层101房地产，为国测地理信息科技产业园集团有限公司所有。根据《国有土地使用证》[]，估价对象（分摊）出让国有建设用地使用权面积为0平方米，建筑面积为16295.3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汇海南路6号院25号楼-2至10层101房地产,属国测地理信息科技产业园集团有限公司开发建设的办公项目，该项目尚在开发建设中。根据《国有土地使用证》[]，估价对象（分摊）出让国有建设用地使用权面积为0平方米，规划建筑面积为16295.3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顺义区汇海南路6号院25号楼-2至10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2024年11月7日（评估专业人员实地查勘之日）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16295.3</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36" t="s">
        <v>1775</v>
      </c>
      <c r="Q4" s="3737"/>
      <c r="R4" s="3731" t="s">
        <v>1771</v>
      </c>
      <c r="S4" s="3732"/>
      <c r="T4" s="3731" t="s">
        <v>1772</v>
      </c>
      <c r="U4" s="3732"/>
      <c r="V4" s="3740" t="s">
        <v>1773</v>
      </c>
      <c r="W4" s="3740"/>
      <c r="X4" s="1958"/>
      <c r="Y4" s="3731" t="s">
        <v>1775</v>
      </c>
      <c r="Z4" s="3732"/>
      <c r="AA4" s="3730" t="s">
        <v>1771</v>
      </c>
      <c r="AB4" s="3730" t="s">
        <v>1772</v>
      </c>
      <c r="AC4" s="3733" t="s">
        <v>1773</v>
      </c>
    </row>
    <row r="5" spans="1:29" ht="15">
      <c r="A5" s="358"/>
      <c r="B5" s="359"/>
      <c r="C5" s="3695" t="s">
        <v>1673</v>
      </c>
      <c r="D5" s="3696"/>
      <c r="E5" s="3693" t="s">
        <v>1674</v>
      </c>
      <c r="F5" s="3694"/>
      <c r="G5" s="3695" t="s">
        <v>1675</v>
      </c>
      <c r="H5" s="3696"/>
      <c r="I5" s="3695" t="s">
        <v>1676</v>
      </c>
      <c r="J5" s="3696"/>
      <c r="K5" s="559"/>
      <c r="L5" s="2712"/>
      <c r="M5" s="2713"/>
      <c r="N5" s="2713"/>
      <c r="O5" s="2713"/>
      <c r="P5" s="3738"/>
      <c r="Q5" s="3709"/>
      <c r="R5" s="3691"/>
      <c r="S5" s="3692"/>
      <c r="T5" s="3691"/>
      <c r="U5" s="3692"/>
      <c r="V5" s="3714"/>
      <c r="W5" s="3714"/>
      <c r="X5" s="1355"/>
      <c r="Y5" s="3691"/>
      <c r="Z5" s="3692"/>
      <c r="AA5" s="3685"/>
      <c r="AB5" s="3685"/>
      <c r="AC5" s="3734"/>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39"/>
      <c r="Q6" s="3711"/>
      <c r="R6" s="3691"/>
      <c r="S6" s="3692"/>
      <c r="T6" s="3712"/>
      <c r="U6" s="3713"/>
      <c r="V6" s="3714"/>
      <c r="W6" s="3714"/>
      <c r="X6" s="1355"/>
      <c r="Y6" s="3712"/>
      <c r="Z6" s="3713"/>
      <c r="AA6" s="3686"/>
      <c r="AB6" s="3686"/>
      <c r="AC6" s="3735"/>
    </row>
    <row r="7" spans="1:29" s="108" customFormat="1" ht="15.75" thickBot="1">
      <c r="A7" s="362" t="s">
        <v>1679</v>
      </c>
      <c r="B7" s="363"/>
      <c r="C7" s="364">
        <f>'数据-取费表'!B2</f>
        <v>45603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1"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1" t="s">
        <v>1683</v>
      </c>
      <c r="Q8" s="3688"/>
      <c r="R8" s="701" t="s">
        <v>14</v>
      </c>
      <c r="S8" s="702">
        <f t="shared" si="0"/>
        <v>100</v>
      </c>
      <c r="T8" s="701" t="s">
        <v>14</v>
      </c>
      <c r="U8" s="702">
        <f t="shared" si="1"/>
        <v>100</v>
      </c>
      <c r="V8" s="701" t="s">
        <v>14</v>
      </c>
      <c r="W8" s="702">
        <f t="shared" si="2"/>
        <v>100</v>
      </c>
      <c r="X8" s="703"/>
      <c r="Y8" s="3687" t="s">
        <v>1683</v>
      </c>
      <c r="Z8" s="368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01"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01"/>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01"/>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01"/>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01"/>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01"/>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28" t="s">
        <v>1691</v>
      </c>
      <c r="Q15" s="1352" t="str">
        <f t="shared" si="6"/>
        <v>办公集聚程度</v>
      </c>
      <c r="R15" s="705" t="s">
        <v>14</v>
      </c>
      <c r="S15" s="706">
        <f t="shared" si="0"/>
        <v>100</v>
      </c>
      <c r="T15" s="705" t="s">
        <v>14</v>
      </c>
      <c r="U15" s="706">
        <f t="shared" si="1"/>
        <v>100</v>
      </c>
      <c r="V15" s="705" t="s">
        <v>14</v>
      </c>
      <c r="W15" s="706">
        <f t="shared" si="2"/>
        <v>100</v>
      </c>
      <c r="X15" s="1355"/>
      <c r="Y15" s="372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29"/>
      <c r="Q16" s="1352"/>
      <c r="R16" s="705"/>
      <c r="S16" s="706"/>
      <c r="T16" s="705"/>
      <c r="U16" s="706"/>
      <c r="V16" s="705"/>
      <c r="W16" s="706"/>
      <c r="X16" s="1355"/>
      <c r="Y16" s="3722"/>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9"/>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29"/>
      <c r="Q18" s="1352"/>
      <c r="R18" s="705"/>
      <c r="S18" s="706"/>
      <c r="T18" s="705"/>
      <c r="U18" s="706"/>
      <c r="V18" s="705"/>
      <c r="W18" s="706"/>
      <c r="X18" s="1355"/>
      <c r="Y18" s="3722"/>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9"/>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29"/>
      <c r="Q20" s="1352"/>
      <c r="R20" s="705"/>
      <c r="S20" s="706"/>
      <c r="T20" s="705"/>
      <c r="U20" s="706"/>
      <c r="V20" s="705"/>
      <c r="W20" s="706"/>
      <c r="X20" s="1355"/>
      <c r="Y20" s="3722"/>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29"/>
      <c r="Q22" s="1352"/>
      <c r="R22" s="705"/>
      <c r="S22" s="706"/>
      <c r="T22" s="705"/>
      <c r="U22" s="706"/>
      <c r="V22" s="705"/>
      <c r="W22" s="706"/>
      <c r="X22" s="1355"/>
      <c r="Y22" s="3722"/>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9"/>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29"/>
      <c r="Q24" s="1352"/>
      <c r="R24" s="705"/>
      <c r="S24" s="706"/>
      <c r="T24" s="705"/>
      <c r="U24" s="706"/>
      <c r="V24" s="705"/>
      <c r="W24" s="706"/>
      <c r="X24" s="1355"/>
      <c r="Y24" s="372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29"/>
      <c r="Q25" s="1352" t="str">
        <f>B25</f>
        <v>毗邻道路的类型与等级</v>
      </c>
      <c r="R25" s="705" t="s">
        <v>14</v>
      </c>
      <c r="S25" s="706">
        <f>F25</f>
        <v>100</v>
      </c>
      <c r="T25" s="705" t="s">
        <v>14</v>
      </c>
      <c r="U25" s="706">
        <f>H25</f>
        <v>100</v>
      </c>
      <c r="V25" s="705" t="s">
        <v>14</v>
      </c>
      <c r="W25" s="706">
        <f>J25</f>
        <v>100</v>
      </c>
      <c r="X25" s="1355"/>
      <c r="Y25" s="372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29"/>
      <c r="Q26" s="1352"/>
      <c r="R26" s="705"/>
      <c r="S26" s="706"/>
      <c r="T26" s="705"/>
      <c r="U26" s="706"/>
      <c r="V26" s="705"/>
      <c r="W26" s="706"/>
      <c r="X26" s="1355"/>
      <c r="Y26" s="372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9"/>
      <c r="Q27" s="1352" t="str">
        <f t="shared" ref="Q27:Q47" si="11">B27</f>
        <v>楼层</v>
      </c>
      <c r="R27" s="705" t="s">
        <v>14</v>
      </c>
      <c r="S27" s="706">
        <f>F27</f>
        <v>100</v>
      </c>
      <c r="T27" s="705" t="s">
        <v>14</v>
      </c>
      <c r="U27" s="706">
        <f>H27</f>
        <v>100</v>
      </c>
      <c r="V27" s="705" t="s">
        <v>14</v>
      </c>
      <c r="W27" s="706">
        <f>J27</f>
        <v>100</v>
      </c>
      <c r="X27" s="1355"/>
      <c r="Y27" s="372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29"/>
      <c r="Q28" s="1343" t="str">
        <f t="shared" si="11"/>
        <v>朝向</v>
      </c>
      <c r="R28" s="701" t="s">
        <v>14</v>
      </c>
      <c r="S28" s="702">
        <f>F28</f>
        <v>100</v>
      </c>
      <c r="T28" s="701" t="s">
        <v>14</v>
      </c>
      <c r="U28" s="702">
        <f>H28</f>
        <v>100</v>
      </c>
      <c r="V28" s="701" t="s">
        <v>14</v>
      </c>
      <c r="W28" s="702">
        <f>J28</f>
        <v>100</v>
      </c>
      <c r="X28" s="703"/>
      <c r="Y28" s="372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29"/>
      <c r="Q29" s="1352">
        <f t="shared" si="11"/>
        <v>111</v>
      </c>
      <c r="R29" s="705" t="s">
        <v>14</v>
      </c>
      <c r="S29" s="706">
        <f t="shared" ref="S29:S47" si="12">F29</f>
        <v>100</v>
      </c>
      <c r="T29" s="705" t="s">
        <v>14</v>
      </c>
      <c r="U29" s="706">
        <f t="shared" ref="U29:U47" si="13">H29</f>
        <v>100</v>
      </c>
      <c r="V29" s="705" t="s">
        <v>14</v>
      </c>
      <c r="W29" s="706">
        <f t="shared" ref="W29:W47" si="14">J29</f>
        <v>100</v>
      </c>
      <c r="X29" s="1355"/>
      <c r="Y29" s="372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29"/>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29"/>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29"/>
      <c r="Q32" s="1352">
        <f t="shared" si="11"/>
        <v>111</v>
      </c>
      <c r="R32" s="705" t="s">
        <v>14</v>
      </c>
      <c r="S32" s="706">
        <f t="shared" si="12"/>
        <v>100</v>
      </c>
      <c r="T32" s="705" t="s">
        <v>14</v>
      </c>
      <c r="U32" s="706">
        <f t="shared" si="13"/>
        <v>100</v>
      </c>
      <c r="V32" s="705" t="s">
        <v>14</v>
      </c>
      <c r="W32" s="706">
        <f t="shared" si="14"/>
        <v>100</v>
      </c>
      <c r="X32" s="1355"/>
      <c r="Y32" s="372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23" t="s">
        <v>1696</v>
      </c>
      <c r="Q33" s="1352" t="str">
        <f t="shared" si="11"/>
        <v>建筑类型</v>
      </c>
      <c r="R33" s="705" t="s">
        <v>14</v>
      </c>
      <c r="S33" s="706">
        <f t="shared" si="12"/>
        <v>100</v>
      </c>
      <c r="T33" s="705" t="s">
        <v>14</v>
      </c>
      <c r="U33" s="706">
        <f t="shared" si="13"/>
        <v>100</v>
      </c>
      <c r="V33" s="705" t="s">
        <v>14</v>
      </c>
      <c r="W33" s="706">
        <f t="shared" si="14"/>
        <v>100</v>
      </c>
      <c r="X33" s="1355"/>
      <c r="Y33" s="372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4"/>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4"/>
      <c r="Q35" s="1352" t="str">
        <f t="shared" si="11"/>
        <v>建筑结构</v>
      </c>
      <c r="R35" s="705" t="s">
        <v>14</v>
      </c>
      <c r="S35" s="706">
        <f t="shared" si="12"/>
        <v>100</v>
      </c>
      <c r="T35" s="705" t="s">
        <v>14</v>
      </c>
      <c r="U35" s="706">
        <f t="shared" si="13"/>
        <v>100</v>
      </c>
      <c r="V35" s="705" t="s">
        <v>14</v>
      </c>
      <c r="W35" s="706">
        <f t="shared" si="14"/>
        <v>100</v>
      </c>
      <c r="X35" s="1355"/>
      <c r="Y35" s="372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4"/>
      <c r="Q36" s="1352" t="str">
        <f t="shared" si="11"/>
        <v>公共部分装修</v>
      </c>
      <c r="R36" s="705" t="s">
        <v>14</v>
      </c>
      <c r="S36" s="706">
        <f t="shared" si="12"/>
        <v>100</v>
      </c>
      <c r="T36" s="705" t="s">
        <v>14</v>
      </c>
      <c r="U36" s="706">
        <f t="shared" si="13"/>
        <v>100</v>
      </c>
      <c r="V36" s="705" t="s">
        <v>14</v>
      </c>
      <c r="W36" s="706">
        <f t="shared" si="14"/>
        <v>100</v>
      </c>
      <c r="X36" s="1355"/>
      <c r="Y36" s="372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4"/>
      <c r="Q37" s="1352" t="str">
        <f t="shared" si="11"/>
        <v>成新度</v>
      </c>
      <c r="R37" s="705" t="s">
        <v>14</v>
      </c>
      <c r="S37" s="706" t="e">
        <f t="shared" si="12"/>
        <v>#N/A</v>
      </c>
      <c r="T37" s="705" t="s">
        <v>14</v>
      </c>
      <c r="U37" s="706" t="e">
        <f t="shared" si="13"/>
        <v>#N/A</v>
      </c>
      <c r="V37" s="705" t="s">
        <v>14</v>
      </c>
      <c r="W37" s="706" t="e">
        <f t="shared" si="14"/>
        <v>#N/A</v>
      </c>
      <c r="X37" s="1355"/>
      <c r="Y37" s="372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4"/>
      <c r="Q38" s="1343"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4" t="s">
        <v>1696</v>
      </c>
      <c r="Q39" s="1352" t="str">
        <f t="shared" si="11"/>
        <v>物业管理</v>
      </c>
      <c r="R39" s="705" t="s">
        <v>14</v>
      </c>
      <c r="S39" s="706">
        <f t="shared" si="12"/>
        <v>100</v>
      </c>
      <c r="T39" s="705" t="s">
        <v>14</v>
      </c>
      <c r="U39" s="706">
        <f t="shared" si="13"/>
        <v>100</v>
      </c>
      <c r="V39" s="705" t="s">
        <v>14</v>
      </c>
      <c r="W39" s="706">
        <f t="shared" si="14"/>
        <v>100</v>
      </c>
      <c r="X39" s="1355"/>
      <c r="Y39" s="372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4"/>
      <c r="Q40" s="1352" t="str">
        <f t="shared" si="11"/>
        <v>市政基础设施</v>
      </c>
      <c r="R40" s="705" t="s">
        <v>14</v>
      </c>
      <c r="S40" s="706">
        <f t="shared" si="12"/>
        <v>100</v>
      </c>
      <c r="T40" s="705" t="s">
        <v>14</v>
      </c>
      <c r="U40" s="706">
        <f t="shared" si="13"/>
        <v>100</v>
      </c>
      <c r="V40" s="705" t="s">
        <v>14</v>
      </c>
      <c r="W40" s="706">
        <f t="shared" si="14"/>
        <v>100</v>
      </c>
      <c r="X40" s="1355"/>
      <c r="Y40" s="372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4"/>
      <c r="Q41" s="1352" t="str">
        <f t="shared" si="11"/>
        <v>层高</v>
      </c>
      <c r="R41" s="705" t="s">
        <v>14</v>
      </c>
      <c r="S41" s="706">
        <f t="shared" si="12"/>
        <v>100</v>
      </c>
      <c r="T41" s="705" t="s">
        <v>14</v>
      </c>
      <c r="U41" s="706">
        <f t="shared" si="13"/>
        <v>100</v>
      </c>
      <c r="V41" s="705" t="s">
        <v>14</v>
      </c>
      <c r="W41" s="706">
        <f t="shared" si="14"/>
        <v>100</v>
      </c>
      <c r="X41" s="1355"/>
      <c r="Y41" s="372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4"/>
      <c r="Q43" s="1352" t="str">
        <f t="shared" si="11"/>
        <v>内部装修</v>
      </c>
      <c r="R43" s="705" t="s">
        <v>14</v>
      </c>
      <c r="S43" s="706">
        <f t="shared" si="12"/>
        <v>100</v>
      </c>
      <c r="T43" s="705" t="s">
        <v>14</v>
      </c>
      <c r="U43" s="706">
        <f t="shared" si="13"/>
        <v>100</v>
      </c>
      <c r="V43" s="705" t="s">
        <v>14</v>
      </c>
      <c r="W43" s="706">
        <f t="shared" si="14"/>
        <v>100</v>
      </c>
      <c r="X43" s="1355"/>
      <c r="Y43" s="372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24"/>
      <c r="Q44" s="1352" t="str">
        <f t="shared" si="11"/>
        <v>内部装修维护情况</v>
      </c>
      <c r="R44" s="705" t="s">
        <v>14</v>
      </c>
      <c r="S44" s="706">
        <f t="shared" si="12"/>
        <v>100</v>
      </c>
      <c r="T44" s="705" t="s">
        <v>14</v>
      </c>
      <c r="U44" s="706">
        <f t="shared" si="13"/>
        <v>100</v>
      </c>
      <c r="V44" s="705" t="s">
        <v>14</v>
      </c>
      <c r="W44" s="706">
        <f t="shared" si="14"/>
        <v>100</v>
      </c>
      <c r="X44" s="1355"/>
      <c r="Y44" s="372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4"/>
      <c r="Q45" s="1343">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5"/>
      <c r="Q47" s="1352">
        <f t="shared" si="11"/>
        <v>111</v>
      </c>
      <c r="R47" s="705" t="s">
        <v>14</v>
      </c>
      <c r="S47" s="706">
        <f t="shared" si="12"/>
        <v>100</v>
      </c>
      <c r="T47" s="705" t="s">
        <v>14</v>
      </c>
      <c r="U47" s="706">
        <f t="shared" si="13"/>
        <v>100</v>
      </c>
      <c r="V47" s="705" t="s">
        <v>14</v>
      </c>
      <c r="W47" s="706">
        <f t="shared" si="14"/>
        <v>100</v>
      </c>
      <c r="X47" s="1355"/>
      <c r="Y47" s="372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01"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16295.3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913"/>
      <c r="M4" s="914"/>
      <c r="N4" s="914"/>
      <c r="O4" s="914"/>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913"/>
      <c r="M5" s="914"/>
      <c r="N5" s="914"/>
      <c r="O5" s="914"/>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913"/>
      <c r="M6" s="914"/>
      <c r="N6" s="914"/>
      <c r="O6" s="914"/>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45603</v>
      </c>
      <c r="D7" s="365">
        <v>100</v>
      </c>
      <c r="E7" s="366"/>
      <c r="F7" s="367">
        <f>SUMIF(52:52,YEAR(E7)&amp;"-"&amp;MONTH(E7),53:53)</f>
        <v>0</v>
      </c>
      <c r="G7" s="366"/>
      <c r="H7" s="365">
        <f>SUMIF(52:52,YEAR(G7)&amp;"-"&amp;MONTH(G7),53:53)</f>
        <v>0</v>
      </c>
      <c r="I7" s="366"/>
      <c r="J7" s="365">
        <f>SUMIF(52:52,YEAR(I7)&amp;"-"&amp;MONTH(I7),53:53)</f>
        <v>0</v>
      </c>
      <c r="K7" s="560"/>
      <c r="L7" s="915"/>
      <c r="M7" s="916"/>
      <c r="N7" s="916"/>
      <c r="O7" s="916"/>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7" t="s">
        <v>1683</v>
      </c>
      <c r="Q8" s="3688"/>
      <c r="R8" s="701" t="s">
        <v>14</v>
      </c>
      <c r="S8" s="702">
        <f t="shared" si="0"/>
        <v>100</v>
      </c>
      <c r="T8" s="701" t="s">
        <v>14</v>
      </c>
      <c r="U8" s="702">
        <f t="shared" si="1"/>
        <v>100</v>
      </c>
      <c r="V8" s="701" t="s">
        <v>14</v>
      </c>
      <c r="W8" s="702">
        <f t="shared" si="2"/>
        <v>100</v>
      </c>
      <c r="X8" s="703"/>
      <c r="Y8" s="3687" t="s">
        <v>1683</v>
      </c>
      <c r="Z8" s="36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9"/>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2"/>
      <c r="Q16" s="1352"/>
      <c r="R16" s="705"/>
      <c r="S16" s="706"/>
      <c r="T16" s="705"/>
      <c r="U16" s="706"/>
      <c r="V16" s="705"/>
      <c r="W16" s="706"/>
      <c r="X16" s="1355"/>
      <c r="Y16" s="372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2"/>
      <c r="Q18" s="1352"/>
      <c r="R18" s="705"/>
      <c r="S18" s="706"/>
      <c r="T18" s="705"/>
      <c r="U18" s="706"/>
      <c r="V18" s="705"/>
      <c r="W18" s="706"/>
      <c r="X18" s="1355"/>
      <c r="Y18" s="372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2"/>
      <c r="Q20" s="1352"/>
      <c r="R20" s="705"/>
      <c r="S20" s="706"/>
      <c r="T20" s="705"/>
      <c r="U20" s="706"/>
      <c r="V20" s="705"/>
      <c r="W20" s="706"/>
      <c r="X20" s="1355"/>
      <c r="Y20" s="372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2"/>
      <c r="Q22" s="1352"/>
      <c r="R22" s="705"/>
      <c r="S22" s="706"/>
      <c r="T22" s="705"/>
      <c r="U22" s="706"/>
      <c r="V22" s="705"/>
      <c r="W22" s="706"/>
      <c r="X22" s="1355"/>
      <c r="Y22" s="372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2"/>
      <c r="Q24" s="1352"/>
      <c r="R24" s="705"/>
      <c r="S24" s="706"/>
      <c r="T24" s="705"/>
      <c r="U24" s="706"/>
      <c r="V24" s="705"/>
      <c r="W24" s="706"/>
      <c r="X24" s="1355"/>
      <c r="Y24" s="372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2">
        <f>B25</f>
        <v>111</v>
      </c>
      <c r="R25" s="705" t="s">
        <v>14</v>
      </c>
      <c r="S25" s="706">
        <f>F25</f>
        <v>100</v>
      </c>
      <c r="T25" s="705" t="s">
        <v>14</v>
      </c>
      <c r="U25" s="706">
        <f>H25</f>
        <v>100</v>
      </c>
      <c r="V25" s="705" t="s">
        <v>14</v>
      </c>
      <c r="W25" s="706">
        <f>J25</f>
        <v>100</v>
      </c>
      <c r="X25" s="1355"/>
      <c r="Y25" s="372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2">
        <f t="shared" ref="Q26:Q40" si="11">B26</f>
        <v>111</v>
      </c>
      <c r="R26" s="705" t="s">
        <v>14</v>
      </c>
      <c r="S26" s="706">
        <f>F26</f>
        <v>100</v>
      </c>
      <c r="T26" s="705" t="s">
        <v>14</v>
      </c>
      <c r="U26" s="706">
        <f>H26</f>
        <v>100</v>
      </c>
      <c r="V26" s="705" t="s">
        <v>14</v>
      </c>
      <c r="W26" s="706">
        <f>J26</f>
        <v>100</v>
      </c>
      <c r="X26" s="1355"/>
      <c r="Y26" s="372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3">
        <f t="shared" si="11"/>
        <v>111</v>
      </c>
      <c r="R27" s="701" t="s">
        <v>14</v>
      </c>
      <c r="S27" s="702">
        <f>F27</f>
        <v>100</v>
      </c>
      <c r="T27" s="701" t="s">
        <v>14</v>
      </c>
      <c r="U27" s="702">
        <f>H27</f>
        <v>100</v>
      </c>
      <c r="V27" s="701" t="s">
        <v>14</v>
      </c>
      <c r="W27" s="702">
        <f>J27</f>
        <v>100</v>
      </c>
      <c r="X27" s="703"/>
      <c r="Y27" s="372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2">
        <f t="shared" si="11"/>
        <v>111</v>
      </c>
      <c r="R28" s="705" t="s">
        <v>14</v>
      </c>
      <c r="S28" s="706">
        <f t="shared" ref="S28:S40" si="12">F28</f>
        <v>100</v>
      </c>
      <c r="T28" s="705" t="s">
        <v>14</v>
      </c>
      <c r="U28" s="706">
        <f t="shared" ref="U28:U40" si="13">H28</f>
        <v>100</v>
      </c>
      <c r="V28" s="705" t="s">
        <v>14</v>
      </c>
      <c r="W28" s="706">
        <f t="shared" ref="W28:W40" si="14">J28</f>
        <v>100</v>
      </c>
      <c r="X28" s="1355"/>
      <c r="Y28" s="3722"/>
      <c r="Z28" s="1356">
        <f t="shared" ref="Z28:Z40" si="15">Q28</f>
        <v>111</v>
      </c>
      <c r="AA28" s="1353">
        <f t="shared" si="3"/>
        <v>1</v>
      </c>
      <c r="AB28" s="1353">
        <f t="shared" si="4"/>
        <v>1</v>
      </c>
      <c r="AC28" s="1353">
        <f t="shared" si="5"/>
        <v>1</v>
      </c>
    </row>
    <row r="29" spans="1:29" ht="27.7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1696</v>
      </c>
      <c r="Q29" s="1352" t="str">
        <f t="shared" si="11"/>
        <v>建筑类型</v>
      </c>
      <c r="R29" s="705" t="s">
        <v>14</v>
      </c>
      <c r="S29" s="706">
        <f t="shared" si="12"/>
        <v>100</v>
      </c>
      <c r="T29" s="705" t="s">
        <v>14</v>
      </c>
      <c r="U29" s="706">
        <f t="shared" si="13"/>
        <v>100</v>
      </c>
      <c r="V29" s="705" t="s">
        <v>14</v>
      </c>
      <c r="W29" s="706">
        <f t="shared" si="14"/>
        <v>100</v>
      </c>
      <c r="X29" s="1355"/>
      <c r="Y29" s="372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2" t="str">
        <f t="shared" si="11"/>
        <v>建筑结构</v>
      </c>
      <c r="R31" s="705" t="s">
        <v>14</v>
      </c>
      <c r="S31" s="706">
        <f t="shared" si="12"/>
        <v>100</v>
      </c>
      <c r="T31" s="705" t="s">
        <v>14</v>
      </c>
      <c r="U31" s="706">
        <f t="shared" si="13"/>
        <v>100</v>
      </c>
      <c r="V31" s="705" t="s">
        <v>14</v>
      </c>
      <c r="W31" s="706">
        <f t="shared" si="14"/>
        <v>100</v>
      </c>
      <c r="X31" s="1355"/>
      <c r="Y31" s="372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2" t="str">
        <f t="shared" si="11"/>
        <v>公共部分装修</v>
      </c>
      <c r="R32" s="705" t="s">
        <v>14</v>
      </c>
      <c r="S32" s="706">
        <f t="shared" si="12"/>
        <v>100</v>
      </c>
      <c r="T32" s="705" t="s">
        <v>14</v>
      </c>
      <c r="U32" s="706">
        <f t="shared" si="13"/>
        <v>100</v>
      </c>
      <c r="V32" s="705" t="s">
        <v>14</v>
      </c>
      <c r="W32" s="706">
        <f t="shared" si="14"/>
        <v>100</v>
      </c>
      <c r="X32" s="1355"/>
      <c r="Y32" s="372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2" t="str">
        <f t="shared" si="11"/>
        <v>成新度</v>
      </c>
      <c r="R33" s="705" t="s">
        <v>14</v>
      </c>
      <c r="S33" s="706" t="e">
        <f t="shared" si="12"/>
        <v>#N/A</v>
      </c>
      <c r="T33" s="705" t="s">
        <v>14</v>
      </c>
      <c r="U33" s="706" t="e">
        <f t="shared" si="13"/>
        <v>#N/A</v>
      </c>
      <c r="V33" s="705" t="s">
        <v>14</v>
      </c>
      <c r="W33" s="706" t="e">
        <f t="shared" si="14"/>
        <v>#N/A</v>
      </c>
      <c r="X33" s="1355"/>
      <c r="Y33" s="372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3"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2" t="str">
        <f t="shared" si="11"/>
        <v>市政基础设施</v>
      </c>
      <c r="R35" s="705" t="s">
        <v>14</v>
      </c>
      <c r="S35" s="706">
        <f t="shared" si="12"/>
        <v>100</v>
      </c>
      <c r="T35" s="705" t="s">
        <v>14</v>
      </c>
      <c r="U35" s="706">
        <f t="shared" si="13"/>
        <v>100</v>
      </c>
      <c r="V35" s="705" t="s">
        <v>14</v>
      </c>
      <c r="W35" s="706">
        <f t="shared" si="14"/>
        <v>100</v>
      </c>
      <c r="X35" s="1355"/>
      <c r="Y35" s="372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2" t="str">
        <f t="shared" si="11"/>
        <v>内部装修</v>
      </c>
      <c r="R36" s="705" t="s">
        <v>14</v>
      </c>
      <c r="S36" s="706">
        <f t="shared" si="12"/>
        <v>100</v>
      </c>
      <c r="T36" s="705" t="s">
        <v>14</v>
      </c>
      <c r="U36" s="706">
        <f t="shared" si="13"/>
        <v>100</v>
      </c>
      <c r="V36" s="705" t="s">
        <v>14</v>
      </c>
      <c r="W36" s="706">
        <f t="shared" si="14"/>
        <v>100</v>
      </c>
      <c r="X36" s="1355"/>
      <c r="Y36" s="372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2" t="str">
        <f t="shared" si="11"/>
        <v>内部装修状况</v>
      </c>
      <c r="R37" s="705" t="s">
        <v>14</v>
      </c>
      <c r="S37" s="706">
        <f t="shared" si="12"/>
        <v>100</v>
      </c>
      <c r="T37" s="705" t="s">
        <v>14</v>
      </c>
      <c r="U37" s="706">
        <f t="shared" si="13"/>
        <v>100</v>
      </c>
      <c r="V37" s="705" t="s">
        <v>14</v>
      </c>
      <c r="W37" s="706">
        <f t="shared" si="14"/>
        <v>100</v>
      </c>
      <c r="X37" s="1355"/>
      <c r="Y37" s="372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2">
        <f t="shared" si="11"/>
        <v>111</v>
      </c>
      <c r="R39" s="705" t="s">
        <v>14</v>
      </c>
      <c r="S39" s="706">
        <f t="shared" si="12"/>
        <v>100</v>
      </c>
      <c r="T39" s="705" t="s">
        <v>14</v>
      </c>
      <c r="U39" s="706">
        <f t="shared" si="13"/>
        <v>100</v>
      </c>
      <c r="V39" s="705" t="s">
        <v>14</v>
      </c>
      <c r="W39" s="706">
        <f t="shared" si="14"/>
        <v>100</v>
      </c>
      <c r="X39" s="1355"/>
      <c r="Y39" s="372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7"/>
      <c r="Q40" s="1352">
        <f t="shared" si="11"/>
        <v>111</v>
      </c>
      <c r="R40" s="705" t="s">
        <v>14</v>
      </c>
      <c r="S40" s="706">
        <f t="shared" si="12"/>
        <v>100</v>
      </c>
      <c r="T40" s="705" t="s">
        <v>14</v>
      </c>
      <c r="U40" s="706">
        <f t="shared" si="13"/>
        <v>100</v>
      </c>
      <c r="V40" s="705" t="s">
        <v>14</v>
      </c>
      <c r="W40" s="706">
        <f t="shared" si="14"/>
        <v>100</v>
      </c>
      <c r="X40" s="1355"/>
      <c r="Y40" s="372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45603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9"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9"/>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22"/>
      <c r="Q15" s="1352"/>
      <c r="R15" s="705"/>
      <c r="S15" s="706"/>
      <c r="T15" s="705"/>
      <c r="U15" s="706"/>
      <c r="V15" s="705"/>
      <c r="W15" s="706"/>
      <c r="X15" s="1355"/>
      <c r="Y15" s="3722"/>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22"/>
      <c r="Q17" s="1352"/>
      <c r="R17" s="705"/>
      <c r="S17" s="706"/>
      <c r="T17" s="705"/>
      <c r="U17" s="706"/>
      <c r="V17" s="705"/>
      <c r="W17" s="706"/>
      <c r="X17" s="1355"/>
      <c r="Y17" s="3722"/>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22"/>
      <c r="Q19" s="1352"/>
      <c r="R19" s="705"/>
      <c r="S19" s="706"/>
      <c r="T19" s="705"/>
      <c r="U19" s="706"/>
      <c r="V19" s="705"/>
      <c r="W19" s="706"/>
      <c r="X19" s="1355"/>
      <c r="Y19" s="3722"/>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22"/>
      <c r="Q21" s="1352"/>
      <c r="R21" s="705"/>
      <c r="S21" s="706"/>
      <c r="T21" s="705"/>
      <c r="U21" s="706"/>
      <c r="V21" s="705"/>
      <c r="W21" s="706"/>
      <c r="X21" s="1355"/>
      <c r="Y21" s="372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2"/>
      <c r="Q24" s="1352">
        <f t="shared" ref="Q24:Q36"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7.7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6"/>
      <c r="Q28" s="1352" t="str">
        <f t="shared" si="11"/>
        <v>公共部分装修</v>
      </c>
      <c r="R28" s="705" t="s">
        <v>14</v>
      </c>
      <c r="S28" s="706">
        <f t="shared" si="12"/>
        <v>100</v>
      </c>
      <c r="T28" s="705" t="s">
        <v>14</v>
      </c>
      <c r="U28" s="706">
        <f t="shared" si="13"/>
        <v>100</v>
      </c>
      <c r="V28" s="705" t="s">
        <v>14</v>
      </c>
      <c r="W28" s="706">
        <f t="shared" si="14"/>
        <v>100</v>
      </c>
      <c r="X28" s="1355"/>
      <c r="Y28" s="372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6"/>
      <c r="Q29" s="1352" t="str">
        <f t="shared" si="11"/>
        <v>成新率</v>
      </c>
      <c r="R29" s="705" t="s">
        <v>14</v>
      </c>
      <c r="S29" s="706" t="e">
        <f t="shared" si="12"/>
        <v>#N/A</v>
      </c>
      <c r="T29" s="705" t="s">
        <v>14</v>
      </c>
      <c r="U29" s="706" t="e">
        <f t="shared" si="13"/>
        <v>#N/A</v>
      </c>
      <c r="V29" s="705" t="s">
        <v>14</v>
      </c>
      <c r="W29" s="706" t="e">
        <f t="shared" si="14"/>
        <v>#N/A</v>
      </c>
      <c r="X29" s="1355"/>
      <c r="Y29" s="372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6"/>
      <c r="Q30" s="1352" t="str">
        <f t="shared" si="11"/>
        <v>物业等级</v>
      </c>
      <c r="R30" s="705" t="s">
        <v>14</v>
      </c>
      <c r="S30" s="706">
        <f t="shared" si="12"/>
        <v>100</v>
      </c>
      <c r="T30" s="705" t="s">
        <v>14</v>
      </c>
      <c r="U30" s="706">
        <f t="shared" si="13"/>
        <v>100</v>
      </c>
      <c r="V30" s="705" t="s">
        <v>14</v>
      </c>
      <c r="W30" s="706">
        <f t="shared" si="14"/>
        <v>100</v>
      </c>
      <c r="X30" s="1355"/>
      <c r="Y30" s="372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6"/>
      <c r="Q31" s="1343"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6" t="s">
        <v>1696</v>
      </c>
      <c r="Q32" s="1352" t="str">
        <f t="shared" si="11"/>
        <v>车位类型</v>
      </c>
      <c r="R32" s="705" t="s">
        <v>14</v>
      </c>
      <c r="S32" s="706">
        <f t="shared" si="12"/>
        <v>100</v>
      </c>
      <c r="T32" s="705" t="s">
        <v>14</v>
      </c>
      <c r="U32" s="706">
        <f t="shared" si="13"/>
        <v>100</v>
      </c>
      <c r="V32" s="705" t="s">
        <v>14</v>
      </c>
      <c r="W32" s="706">
        <f t="shared" si="14"/>
        <v>100</v>
      </c>
      <c r="X32" s="1355"/>
      <c r="Y32" s="372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6"/>
      <c r="Q33" s="1352" t="str">
        <f t="shared" si="11"/>
        <v>是否直接入户</v>
      </c>
      <c r="R33" s="705" t="s">
        <v>14</v>
      </c>
      <c r="S33" s="706">
        <f t="shared" si="12"/>
        <v>100</v>
      </c>
      <c r="T33" s="705" t="s">
        <v>14</v>
      </c>
      <c r="U33" s="706">
        <f t="shared" si="13"/>
        <v>100</v>
      </c>
      <c r="V33" s="705" t="s">
        <v>14</v>
      </c>
      <c r="W33" s="706">
        <f t="shared" si="14"/>
        <v>100</v>
      </c>
      <c r="X33" s="1355"/>
      <c r="Y33" s="372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6"/>
      <c r="Q36" s="1352">
        <f t="shared" si="11"/>
        <v>111</v>
      </c>
      <c r="R36" s="705" t="s">
        <v>14</v>
      </c>
      <c r="S36" s="706">
        <f t="shared" si="12"/>
        <v>100</v>
      </c>
      <c r="T36" s="705" t="s">
        <v>14</v>
      </c>
      <c r="U36" s="706">
        <f t="shared" si="13"/>
        <v>100</v>
      </c>
      <c r="V36" s="705" t="s">
        <v>14</v>
      </c>
      <c r="W36" s="706">
        <f t="shared" si="14"/>
        <v>100</v>
      </c>
      <c r="X36" s="1355"/>
      <c r="Y36" s="3726"/>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1"/>
      <c r="M37" s="2722"/>
      <c r="N37" s="2713"/>
      <c r="O37" s="2722"/>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16" t="str">
        <f>A39</f>
        <v>估价对象XX用房的比较价值（楼面单价，元/平方米）</v>
      </c>
      <c r="Q39" s="3717"/>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5"/>
      <c r="Y5" s="3691"/>
      <c r="Z5" s="3692"/>
      <c r="AA5" s="3685"/>
      <c r="AB5" s="3685"/>
      <c r="AC5" s="3685"/>
    </row>
    <row r="6" spans="1:29"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45603</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87" t="s">
        <v>1680</v>
      </c>
      <c r="Q7" s="3715"/>
      <c r="R7" s="701" t="s">
        <v>14</v>
      </c>
      <c r="S7" s="702">
        <f t="shared" ref="S7:S14" si="0">F7</f>
        <v>0</v>
      </c>
      <c r="T7" s="701" t="s">
        <v>14</v>
      </c>
      <c r="U7" s="702">
        <f t="shared" ref="U7:U14" si="1">H7</f>
        <v>0</v>
      </c>
      <c r="V7" s="701" t="s">
        <v>14</v>
      </c>
      <c r="W7" s="702">
        <f t="shared" ref="W7:W14" si="2">J7</f>
        <v>0</v>
      </c>
      <c r="X7" s="703"/>
      <c r="Y7" s="3687" t="s">
        <v>1680</v>
      </c>
      <c r="Z7" s="36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87" t="s">
        <v>1683</v>
      </c>
      <c r="Q8" s="3688"/>
      <c r="R8" s="701" t="s">
        <v>14</v>
      </c>
      <c r="S8" s="702">
        <f t="shared" si="0"/>
        <v>100</v>
      </c>
      <c r="T8" s="701" t="s">
        <v>14</v>
      </c>
      <c r="U8" s="702">
        <f t="shared" si="1"/>
        <v>100</v>
      </c>
      <c r="V8" s="701" t="s">
        <v>14</v>
      </c>
      <c r="W8" s="702">
        <f t="shared" si="2"/>
        <v>100</v>
      </c>
      <c r="X8" s="703"/>
      <c r="Y8" s="3687" t="s">
        <v>1683</v>
      </c>
      <c r="Z8" s="36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9"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19"/>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9"/>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22"/>
      <c r="Q15" s="1352"/>
      <c r="R15" s="705"/>
      <c r="S15" s="706"/>
      <c r="T15" s="705"/>
      <c r="U15" s="706"/>
      <c r="V15" s="705"/>
      <c r="W15" s="706"/>
      <c r="X15" s="1355"/>
      <c r="Y15" s="3722"/>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22"/>
      <c r="Q17" s="1352"/>
      <c r="R17" s="705"/>
      <c r="S17" s="706"/>
      <c r="T17" s="705"/>
      <c r="U17" s="706"/>
      <c r="V17" s="705"/>
      <c r="W17" s="706"/>
      <c r="X17" s="1355"/>
      <c r="Y17" s="3722"/>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22"/>
      <c r="Q19" s="1352"/>
      <c r="R19" s="705"/>
      <c r="S19" s="706"/>
      <c r="T19" s="705"/>
      <c r="U19" s="706"/>
      <c r="V19" s="705"/>
      <c r="W19" s="706"/>
      <c r="X19" s="1355"/>
      <c r="Y19" s="3722"/>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22"/>
      <c r="Q21" s="1352"/>
      <c r="R21" s="705"/>
      <c r="S21" s="706"/>
      <c r="T21" s="705"/>
      <c r="U21" s="706"/>
      <c r="V21" s="705"/>
      <c r="W21" s="706"/>
      <c r="X21" s="1355"/>
      <c r="Y21" s="372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2"/>
      <c r="Q24" s="1352">
        <f t="shared" ref="Q24:Q34"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7.7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4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6"/>
      <c r="Q28" s="1352" t="str">
        <f t="shared" si="11"/>
        <v>物业等级</v>
      </c>
      <c r="R28" s="705" t="s">
        <v>14</v>
      </c>
      <c r="S28" s="706">
        <f t="shared" si="12"/>
        <v>100</v>
      </c>
      <c r="T28" s="705" t="s">
        <v>14</v>
      </c>
      <c r="U28" s="706">
        <f t="shared" si="13"/>
        <v>100</v>
      </c>
      <c r="V28" s="705" t="s">
        <v>14</v>
      </c>
      <c r="W28" s="706">
        <f t="shared" si="14"/>
        <v>100</v>
      </c>
      <c r="X28" s="1355"/>
      <c r="Y28" s="372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6"/>
      <c r="Q29" s="1352" t="str">
        <f t="shared" si="11"/>
        <v>有无电梯</v>
      </c>
      <c r="R29" s="705" t="s">
        <v>14</v>
      </c>
      <c r="S29" s="706">
        <f t="shared" si="12"/>
        <v>100</v>
      </c>
      <c r="T29" s="705" t="s">
        <v>14</v>
      </c>
      <c r="U29" s="706">
        <f t="shared" si="13"/>
        <v>100</v>
      </c>
      <c r="V29" s="705" t="s">
        <v>14</v>
      </c>
      <c r="W29" s="706">
        <f t="shared" si="14"/>
        <v>100</v>
      </c>
      <c r="X29" s="1355"/>
      <c r="Y29" s="372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6"/>
      <c r="Q30" s="1352" t="str">
        <f t="shared" si="11"/>
        <v>建筑面积</v>
      </c>
      <c r="R30" s="705" t="s">
        <v>14</v>
      </c>
      <c r="S30" s="706" t="e">
        <f t="shared" si="12"/>
        <v>#N/A</v>
      </c>
      <c r="T30" s="705" t="s">
        <v>14</v>
      </c>
      <c r="U30" s="706" t="e">
        <f t="shared" si="13"/>
        <v>#N/A</v>
      </c>
      <c r="V30" s="705" t="s">
        <v>14</v>
      </c>
      <c r="W30" s="706" t="e">
        <f t="shared" si="14"/>
        <v>#N/A</v>
      </c>
      <c r="X30" s="1355"/>
      <c r="Y30" s="372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6"/>
      <c r="Q31" s="1343"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6" t="s">
        <v>1696</v>
      </c>
      <c r="Q32" s="1352">
        <f t="shared" si="11"/>
        <v>111</v>
      </c>
      <c r="R32" s="705" t="s">
        <v>14</v>
      </c>
      <c r="S32" s="706">
        <f t="shared" si="12"/>
        <v>100</v>
      </c>
      <c r="T32" s="705" t="s">
        <v>14</v>
      </c>
      <c r="U32" s="706">
        <f t="shared" si="13"/>
        <v>100</v>
      </c>
      <c r="V32" s="705" t="s">
        <v>14</v>
      </c>
      <c r="W32" s="706">
        <f t="shared" si="14"/>
        <v>100</v>
      </c>
      <c r="X32" s="1355"/>
      <c r="Y32" s="372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6"/>
      <c r="Q33" s="1352">
        <f t="shared" si="11"/>
        <v>111</v>
      </c>
      <c r="R33" s="705" t="s">
        <v>14</v>
      </c>
      <c r="S33" s="706">
        <f t="shared" si="12"/>
        <v>100</v>
      </c>
      <c r="T33" s="705" t="s">
        <v>14</v>
      </c>
      <c r="U33" s="706">
        <f t="shared" si="13"/>
        <v>100</v>
      </c>
      <c r="V33" s="705" t="s">
        <v>14</v>
      </c>
      <c r="W33" s="706">
        <f t="shared" si="14"/>
        <v>100</v>
      </c>
      <c r="X33" s="1355"/>
      <c r="Y33" s="372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16" t="str">
        <f>A37</f>
        <v>估价对象XX用房的比较价值（楼面单价，元/平方米）</v>
      </c>
      <c r="Q37" s="3717"/>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30"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5"/>
      <c r="Y5" s="3691"/>
      <c r="Z5" s="3692"/>
      <c r="AA5" s="3685"/>
      <c r="AB5" s="3685"/>
      <c r="AC5" s="3685"/>
    </row>
    <row r="6" spans="1:30" ht="15.75" thickBot="1">
      <c r="A6" s="360"/>
      <c r="B6" s="361"/>
      <c r="C6" s="3697" t="s">
        <v>1677</v>
      </c>
      <c r="D6" s="3698"/>
      <c r="E6" s="3699" t="s">
        <v>1677</v>
      </c>
      <c r="F6" s="3700"/>
      <c r="G6" s="3697" t="s">
        <v>1677</v>
      </c>
      <c r="H6" s="3698"/>
      <c r="I6" s="3697" t="s">
        <v>1677</v>
      </c>
      <c r="J6" s="3698"/>
      <c r="K6" s="559" t="s">
        <v>1678</v>
      </c>
      <c r="L6" s="2712"/>
      <c r="M6" s="2713"/>
      <c r="N6" s="2713"/>
      <c r="O6" s="2713"/>
      <c r="P6" s="3710"/>
      <c r="Q6" s="3711"/>
      <c r="R6" s="3691"/>
      <c r="S6" s="3692"/>
      <c r="T6" s="3712"/>
      <c r="U6" s="3713"/>
      <c r="V6" s="3714"/>
      <c r="W6" s="3714"/>
      <c r="X6" s="1355"/>
      <c r="Y6" s="3712"/>
      <c r="Z6" s="3713"/>
      <c r="AA6" s="3686"/>
      <c r="AB6" s="3686"/>
      <c r="AC6" s="3686"/>
    </row>
    <row r="7" spans="1:30" s="108" customFormat="1" ht="15.75" thickBot="1">
      <c r="A7" s="362" t="s">
        <v>1679</v>
      </c>
      <c r="B7" s="363"/>
      <c r="C7" s="364">
        <f>'数据-取费表'!B2</f>
        <v>45603</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87" t="s">
        <v>1683</v>
      </c>
      <c r="Q8" s="3688"/>
      <c r="R8" s="701" t="s">
        <v>14</v>
      </c>
      <c r="S8" s="702">
        <f t="shared" si="0"/>
        <v>0</v>
      </c>
      <c r="T8" s="701" t="s">
        <v>14</v>
      </c>
      <c r="U8" s="702">
        <f t="shared" si="1"/>
        <v>0</v>
      </c>
      <c r="V8" s="701" t="s">
        <v>14</v>
      </c>
      <c r="W8" s="702">
        <f t="shared" si="2"/>
        <v>0</v>
      </c>
      <c r="X8" s="703"/>
      <c r="Y8" s="3687" t="s">
        <v>1683</v>
      </c>
      <c r="Z8" s="368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6"/>
      <c r="M10" s="2717"/>
      <c r="N10" s="2717"/>
      <c r="O10" s="2770"/>
      <c r="P10" s="3719"/>
      <c r="Q10" s="1343" t="str">
        <f t="shared" si="6"/>
        <v>土地使用年限（年）</v>
      </c>
      <c r="R10" s="701" t="s">
        <v>14</v>
      </c>
      <c r="S10" s="702">
        <f t="shared" si="0"/>
        <v>107</v>
      </c>
      <c r="T10" s="701" t="s">
        <v>14</v>
      </c>
      <c r="U10" s="702">
        <f t="shared" si="1"/>
        <v>107</v>
      </c>
      <c r="V10" s="701" t="s">
        <v>14</v>
      </c>
      <c r="W10" s="702">
        <f t="shared" si="2"/>
        <v>107</v>
      </c>
      <c r="X10" s="703"/>
      <c r="Y10" s="3612"/>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9"/>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9"/>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15">
      <c r="A15" s="391" t="s">
        <v>1690</v>
      </c>
      <c r="B15" s="61" t="s">
        <v>1257</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1" t="s">
        <v>1691</v>
      </c>
      <c r="Q15" s="1352" t="str">
        <f t="shared" si="6"/>
        <v>居住社区成熟度</v>
      </c>
      <c r="R15" s="705" t="s">
        <v>14</v>
      </c>
      <c r="S15" s="706">
        <f t="shared" si="0"/>
        <v>100</v>
      </c>
      <c r="T15" s="705" t="s">
        <v>14</v>
      </c>
      <c r="U15" s="706">
        <f t="shared" si="1"/>
        <v>100</v>
      </c>
      <c r="V15" s="705" t="s">
        <v>14</v>
      </c>
      <c r="W15" s="706">
        <f t="shared" si="2"/>
        <v>100</v>
      </c>
      <c r="X15" s="1355"/>
      <c r="Y15" s="372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22"/>
      <c r="Q16" s="1352"/>
      <c r="R16" s="705"/>
      <c r="S16" s="706"/>
      <c r="T16" s="705"/>
      <c r="U16" s="706"/>
      <c r="V16" s="705"/>
      <c r="W16" s="706"/>
      <c r="X16" s="1355"/>
      <c r="Y16" s="3722"/>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2"/>
      <c r="Q17" s="1352" t="str">
        <f>B17</f>
        <v>商业繁华度</v>
      </c>
      <c r="R17" s="705" t="s">
        <v>14</v>
      </c>
      <c r="S17" s="706">
        <f>F17</f>
        <v>100</v>
      </c>
      <c r="T17" s="705" t="s">
        <v>14</v>
      </c>
      <c r="U17" s="706">
        <f>H17</f>
        <v>100</v>
      </c>
      <c r="V17" s="705" t="s">
        <v>14</v>
      </c>
      <c r="W17" s="706">
        <f>J17</f>
        <v>100</v>
      </c>
      <c r="X17" s="1355"/>
      <c r="Y17" s="372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22"/>
      <c r="Q18" s="1352"/>
      <c r="R18" s="705"/>
      <c r="S18" s="706"/>
      <c r="T18" s="705"/>
      <c r="U18" s="706"/>
      <c r="V18" s="705"/>
      <c r="W18" s="706"/>
      <c r="X18" s="1355"/>
      <c r="Y18" s="3722"/>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2"/>
      <c r="Q19" s="1352" t="str">
        <f>B19</f>
        <v>办公集聚程度</v>
      </c>
      <c r="R19" s="705" t="s">
        <v>14</v>
      </c>
      <c r="S19" s="706">
        <f>F19</f>
        <v>100</v>
      </c>
      <c r="T19" s="705" t="s">
        <v>14</v>
      </c>
      <c r="U19" s="706">
        <f>H19</f>
        <v>100</v>
      </c>
      <c r="V19" s="705" t="s">
        <v>14</v>
      </c>
      <c r="W19" s="706">
        <f>J19</f>
        <v>100</v>
      </c>
      <c r="X19" s="1355"/>
      <c r="Y19" s="372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22"/>
      <c r="Q20" s="1352"/>
      <c r="R20" s="705"/>
      <c r="S20" s="706"/>
      <c r="T20" s="705"/>
      <c r="U20" s="706"/>
      <c r="V20" s="705"/>
      <c r="W20" s="706"/>
      <c r="X20" s="1355"/>
      <c r="Y20" s="3722"/>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2"/>
      <c r="Q21" s="1352" t="str">
        <f>B21</f>
        <v>交通便捷度</v>
      </c>
      <c r="R21" s="705" t="s">
        <v>14</v>
      </c>
      <c r="S21" s="706">
        <f>F21</f>
        <v>100</v>
      </c>
      <c r="T21" s="705" t="s">
        <v>14</v>
      </c>
      <c r="U21" s="706">
        <f>H21</f>
        <v>100</v>
      </c>
      <c r="V21" s="705" t="s">
        <v>14</v>
      </c>
      <c r="W21" s="706">
        <f>J21</f>
        <v>100</v>
      </c>
      <c r="X21" s="1355"/>
      <c r="Y21" s="372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22"/>
      <c r="Q22" s="1352"/>
      <c r="R22" s="705"/>
      <c r="S22" s="706"/>
      <c r="T22" s="705"/>
      <c r="U22" s="706"/>
      <c r="V22" s="705"/>
      <c r="W22" s="706"/>
      <c r="X22" s="1355"/>
      <c r="Y22" s="372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2"/>
      <c r="Q23" s="1352" t="str">
        <f t="shared" ref="Q23:Q37" si="8">B23</f>
        <v>区域土地利用方向</v>
      </c>
      <c r="R23" s="705" t="s">
        <v>14</v>
      </c>
      <c r="S23" s="706">
        <f>F23</f>
        <v>100</v>
      </c>
      <c r="T23" s="705" t="s">
        <v>14</v>
      </c>
      <c r="U23" s="706">
        <f>H23</f>
        <v>100</v>
      </c>
      <c r="V23" s="705" t="s">
        <v>14</v>
      </c>
      <c r="W23" s="706">
        <f>J23</f>
        <v>100</v>
      </c>
      <c r="X23" s="1355"/>
      <c r="Y23" s="372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22"/>
      <c r="Q24" s="1352"/>
      <c r="R24" s="705"/>
      <c r="S24" s="706"/>
      <c r="T24" s="705"/>
      <c r="U24" s="706"/>
      <c r="V24" s="705"/>
      <c r="W24" s="706"/>
      <c r="X24" s="1355"/>
      <c r="Y24" s="3722"/>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2"/>
      <c r="Q25" s="1352" t="str">
        <f t="shared" si="8"/>
        <v>自然及人文环境状况</v>
      </c>
      <c r="R25" s="705" t="s">
        <v>14</v>
      </c>
      <c r="S25" s="706">
        <f>F25</f>
        <v>100</v>
      </c>
      <c r="T25" s="705" t="s">
        <v>14</v>
      </c>
      <c r="U25" s="706">
        <f>H25</f>
        <v>100</v>
      </c>
      <c r="V25" s="705" t="s">
        <v>14</v>
      </c>
      <c r="W25" s="706">
        <f>J25</f>
        <v>100</v>
      </c>
      <c r="X25" s="1355"/>
      <c r="Y25" s="372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22"/>
      <c r="Q26" s="1352"/>
      <c r="R26" s="705"/>
      <c r="S26" s="706"/>
      <c r="T26" s="705"/>
      <c r="U26" s="706"/>
      <c r="V26" s="705"/>
      <c r="W26" s="706"/>
      <c r="X26" s="1355"/>
      <c r="Y26" s="3722"/>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2"/>
      <c r="Q27" s="1343" t="str">
        <f t="shared" si="8"/>
        <v>公共配套设施</v>
      </c>
      <c r="R27" s="701" t="s">
        <v>14</v>
      </c>
      <c r="S27" s="702">
        <f>F27</f>
        <v>100</v>
      </c>
      <c r="T27" s="701" t="s">
        <v>14</v>
      </c>
      <c r="U27" s="702">
        <f>H27</f>
        <v>100</v>
      </c>
      <c r="V27" s="701" t="s">
        <v>14</v>
      </c>
      <c r="W27" s="702">
        <f>J27</f>
        <v>100</v>
      </c>
      <c r="X27" s="703"/>
      <c r="Y27" s="372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22"/>
      <c r="Q28" s="1343"/>
      <c r="R28" s="701"/>
      <c r="S28" s="702"/>
      <c r="T28" s="701"/>
      <c r="U28" s="702"/>
      <c r="V28" s="701"/>
      <c r="W28" s="702"/>
      <c r="X28" s="703"/>
      <c r="Y28" s="3722"/>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2"/>
      <c r="Q29" s="1343"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22"/>
      <c r="Q30" s="1343"/>
      <c r="R30" s="701"/>
      <c r="S30" s="702"/>
      <c r="T30" s="701"/>
      <c r="U30" s="702"/>
      <c r="V30" s="701"/>
      <c r="W30" s="702"/>
      <c r="X30" s="703"/>
      <c r="Y30" s="372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2"/>
      <c r="Q32" s="1352" t="str">
        <f t="shared" si="8"/>
        <v>毗邻道路的类型与等级</v>
      </c>
      <c r="R32" s="705" t="s">
        <v>14</v>
      </c>
      <c r="S32" s="706">
        <f t="shared" si="10"/>
        <v>100</v>
      </c>
      <c r="T32" s="705" t="s">
        <v>14</v>
      </c>
      <c r="U32" s="706">
        <f t="shared" si="11"/>
        <v>100</v>
      </c>
      <c r="V32" s="705" t="s">
        <v>14</v>
      </c>
      <c r="W32" s="706">
        <f t="shared" si="12"/>
        <v>100</v>
      </c>
      <c r="X32" s="1355"/>
      <c r="Y32" s="372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22"/>
      <c r="Q33" s="1352"/>
      <c r="R33" s="705"/>
      <c r="S33" s="706"/>
      <c r="T33" s="705"/>
      <c r="U33" s="706"/>
      <c r="V33" s="705"/>
      <c r="W33" s="706"/>
      <c r="X33" s="1355"/>
      <c r="Y33" s="372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2"/>
      <c r="Q34" s="1352" t="str">
        <f t="shared" si="8"/>
        <v>土地级别</v>
      </c>
      <c r="R34" s="705" t="s">
        <v>14</v>
      </c>
      <c r="S34" s="706">
        <f t="shared" si="10"/>
        <v>100</v>
      </c>
      <c r="T34" s="705" t="s">
        <v>14</v>
      </c>
      <c r="U34" s="706">
        <f t="shared" si="11"/>
        <v>100</v>
      </c>
      <c r="V34" s="705" t="s">
        <v>14</v>
      </c>
      <c r="W34" s="706">
        <f t="shared" si="12"/>
        <v>100</v>
      </c>
      <c r="X34" s="1355"/>
      <c r="Y34" s="372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2"/>
      <c r="Q35" s="1352">
        <f t="shared" si="8"/>
        <v>111</v>
      </c>
      <c r="R35" s="705" t="s">
        <v>14</v>
      </c>
      <c r="S35" s="706">
        <f t="shared" si="10"/>
        <v>100</v>
      </c>
      <c r="T35" s="705" t="s">
        <v>14</v>
      </c>
      <c r="U35" s="706">
        <f t="shared" si="11"/>
        <v>100</v>
      </c>
      <c r="V35" s="705" t="s">
        <v>14</v>
      </c>
      <c r="W35" s="706">
        <f t="shared" si="12"/>
        <v>100</v>
      </c>
      <c r="X35" s="1355"/>
      <c r="Y35" s="372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5" t="s">
        <v>1696</v>
      </c>
      <c r="Q36" s="1352">
        <f t="shared" si="8"/>
        <v>111</v>
      </c>
      <c r="R36" s="705" t="s">
        <v>14</v>
      </c>
      <c r="S36" s="706">
        <f t="shared" si="10"/>
        <v>100</v>
      </c>
      <c r="T36" s="705" t="s">
        <v>14</v>
      </c>
      <c r="U36" s="706">
        <f t="shared" si="11"/>
        <v>100</v>
      </c>
      <c r="V36" s="705" t="s">
        <v>14</v>
      </c>
      <c r="W36" s="706">
        <f t="shared" si="12"/>
        <v>100</v>
      </c>
      <c r="X36" s="1355"/>
      <c r="Y36" s="372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6"/>
      <c r="Q37" s="1352">
        <f t="shared" si="8"/>
        <v>111</v>
      </c>
      <c r="R37" s="708" t="s">
        <v>14</v>
      </c>
      <c r="S37" s="709">
        <f t="shared" si="10"/>
        <v>100</v>
      </c>
      <c r="T37" s="708" t="s">
        <v>14</v>
      </c>
      <c r="U37" s="709">
        <f t="shared" si="11"/>
        <v>100</v>
      </c>
      <c r="V37" s="708" t="s">
        <v>14</v>
      </c>
      <c r="W37" s="709">
        <f t="shared" si="12"/>
        <v>100</v>
      </c>
      <c r="X37" s="710"/>
      <c r="Y37" s="372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6"/>
      <c r="Q38" s="1352" t="str">
        <f>B38</f>
        <v>宗地面积</v>
      </c>
      <c r="R38" s="705" t="s">
        <v>14</v>
      </c>
      <c r="S38" s="706" t="e">
        <f t="shared" si="10"/>
        <v>#N/A</v>
      </c>
      <c r="T38" s="705" t="s">
        <v>14</v>
      </c>
      <c r="U38" s="706" t="e">
        <f t="shared" si="11"/>
        <v>#N/A</v>
      </c>
      <c r="V38" s="705" t="s">
        <v>14</v>
      </c>
      <c r="W38" s="706" t="e">
        <f t="shared" si="12"/>
        <v>#N/A</v>
      </c>
      <c r="X38" s="1355"/>
      <c r="Y38" s="372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26"/>
      <c r="Q39" s="1352" t="str">
        <f t="shared" ref="Q39:Q45" si="14">B39</f>
        <v>宗地形状</v>
      </c>
      <c r="R39" s="705" t="s">
        <v>14</v>
      </c>
      <c r="S39" s="706">
        <f t="shared" si="10"/>
        <v>100</v>
      </c>
      <c r="T39" s="705" t="s">
        <v>14</v>
      </c>
      <c r="U39" s="706">
        <f t="shared" si="11"/>
        <v>100</v>
      </c>
      <c r="V39" s="705" t="s">
        <v>14</v>
      </c>
      <c r="W39" s="706">
        <f t="shared" si="12"/>
        <v>100</v>
      </c>
      <c r="X39" s="1355"/>
      <c r="Y39" s="372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26"/>
      <c r="Q40" s="1352" t="str">
        <f t="shared" si="14"/>
        <v>临街宽度及深度</v>
      </c>
      <c r="R40" s="705" t="s">
        <v>14</v>
      </c>
      <c r="S40" s="706">
        <f t="shared" si="10"/>
        <v>100</v>
      </c>
      <c r="T40" s="705" t="s">
        <v>14</v>
      </c>
      <c r="U40" s="706">
        <f t="shared" si="11"/>
        <v>100</v>
      </c>
      <c r="V40" s="705" t="s">
        <v>14</v>
      </c>
      <c r="W40" s="706">
        <f t="shared" si="12"/>
        <v>100</v>
      </c>
      <c r="X40" s="1355"/>
      <c r="Y40" s="372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26"/>
      <c r="Q41" s="1352"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26" t="s">
        <v>1696</v>
      </c>
      <c r="Q42" s="1352" t="str">
        <f t="shared" si="14"/>
        <v>工程地质条件</v>
      </c>
      <c r="R42" s="705" t="s">
        <v>14</v>
      </c>
      <c r="S42" s="706">
        <f t="shared" si="10"/>
        <v>100</v>
      </c>
      <c r="T42" s="705" t="s">
        <v>14</v>
      </c>
      <c r="U42" s="706">
        <f t="shared" si="11"/>
        <v>100</v>
      </c>
      <c r="V42" s="705" t="s">
        <v>14</v>
      </c>
      <c r="W42" s="706">
        <f t="shared" si="12"/>
        <v>100</v>
      </c>
      <c r="X42" s="1355"/>
      <c r="Y42" s="372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6"/>
      <c r="Q43" s="1352">
        <f t="shared" si="14"/>
        <v>111</v>
      </c>
      <c r="R43" s="705" t="s">
        <v>14</v>
      </c>
      <c r="S43" s="706">
        <f t="shared" si="10"/>
        <v>100</v>
      </c>
      <c r="T43" s="705" t="s">
        <v>14</v>
      </c>
      <c r="U43" s="706">
        <f t="shared" si="11"/>
        <v>100</v>
      </c>
      <c r="V43" s="705" t="s">
        <v>14</v>
      </c>
      <c r="W43" s="706">
        <f t="shared" si="12"/>
        <v>100</v>
      </c>
      <c r="X43" s="1355"/>
      <c r="Y43" s="372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6"/>
      <c r="Q44" s="1352">
        <f t="shared" si="14"/>
        <v>111</v>
      </c>
      <c r="R44" s="705" t="s">
        <v>14</v>
      </c>
      <c r="S44" s="706">
        <f t="shared" si="10"/>
        <v>100</v>
      </c>
      <c r="T44" s="705" t="s">
        <v>14</v>
      </c>
      <c r="U44" s="706">
        <f t="shared" si="11"/>
        <v>100</v>
      </c>
      <c r="V44" s="705" t="s">
        <v>14</v>
      </c>
      <c r="W44" s="706">
        <f t="shared" si="12"/>
        <v>100</v>
      </c>
      <c r="X44" s="1355"/>
      <c r="Y44" s="372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6"/>
      <c r="Q45" s="1352">
        <f t="shared" si="14"/>
        <v>111</v>
      </c>
      <c r="R45" s="708" t="s">
        <v>14</v>
      </c>
      <c r="S45" s="709">
        <f t="shared" si="10"/>
        <v>100</v>
      </c>
      <c r="T45" s="708" t="s">
        <v>14</v>
      </c>
      <c r="U45" s="709">
        <f t="shared" si="11"/>
        <v>100</v>
      </c>
      <c r="V45" s="708" t="s">
        <v>14</v>
      </c>
      <c r="W45" s="709">
        <f t="shared" si="12"/>
        <v>100</v>
      </c>
      <c r="X45" s="710"/>
      <c r="Y45" s="372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19" t="str">
        <f>A46</f>
        <v>成交单价</v>
      </c>
      <c r="Q46" s="3719"/>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719" t="str">
        <f>A47</f>
        <v>比较价值（元/平方米）</v>
      </c>
      <c r="Q47" s="3719"/>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16" t="str">
        <f>A48</f>
        <v>估价对象XX用房的比较价值（楼面单价，元/平方米）</v>
      </c>
      <c r="Q48" s="3717"/>
      <c r="R48" s="3748" t="e">
        <f>ROUND(IF(D47="简单平均",AVERAGE(R47:W47),R47*F47+T47*H47+V47*J47),0)</f>
        <v>#DIV/0!</v>
      </c>
      <c r="S48" s="3748"/>
      <c r="T48" s="3748"/>
      <c r="U48" s="3748"/>
      <c r="V48" s="3748"/>
      <c r="W48" s="374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02" t="s">
        <v>1887</v>
      </c>
      <c r="H55" s="3749"/>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13579.42</v>
      </c>
      <c r="F56" s="886" t="e">
        <f t="shared" ref="F56:F64" si="15">ROUND(B56*E56/10000,0)</f>
        <v>#DIV/0!</v>
      </c>
      <c r="G56" s="3701"/>
      <c r="H56" s="3719"/>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2715.88</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16295.3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02" t="s">
        <v>1770</v>
      </c>
      <c r="D4" s="3703"/>
      <c r="E4" s="3704" t="s">
        <v>1771</v>
      </c>
      <c r="F4" s="3705"/>
      <c r="G4" s="3702" t="s">
        <v>1772</v>
      </c>
      <c r="H4" s="3703"/>
      <c r="I4" s="3702" t="s">
        <v>1773</v>
      </c>
      <c r="J4" s="3703"/>
      <c r="K4" s="559" t="s">
        <v>1774</v>
      </c>
      <c r="L4" s="2712"/>
      <c r="M4" s="2713"/>
      <c r="N4" s="2713"/>
      <c r="O4" s="2713"/>
      <c r="P4" s="3706" t="s">
        <v>1775</v>
      </c>
      <c r="Q4" s="3707"/>
      <c r="R4" s="3689" t="s">
        <v>1771</v>
      </c>
      <c r="S4" s="3690"/>
      <c r="T4" s="3689" t="s">
        <v>1772</v>
      </c>
      <c r="U4" s="3690"/>
      <c r="V4" s="3714" t="s">
        <v>1773</v>
      </c>
      <c r="W4" s="3714"/>
      <c r="X4" s="1355"/>
      <c r="Y4" s="3689" t="s">
        <v>1775</v>
      </c>
      <c r="Z4" s="3690"/>
      <c r="AA4" s="3684" t="s">
        <v>1771</v>
      </c>
      <c r="AB4" s="3685" t="s">
        <v>1772</v>
      </c>
      <c r="AC4" s="3684" t="s">
        <v>1773</v>
      </c>
    </row>
    <row r="5" spans="1:29" ht="15">
      <c r="A5" s="358"/>
      <c r="B5" s="359"/>
      <c r="C5" s="3695" t="s">
        <v>1673</v>
      </c>
      <c r="D5" s="3696"/>
      <c r="E5" s="3693" t="s">
        <v>1674</v>
      </c>
      <c r="F5" s="3694"/>
      <c r="G5" s="3695" t="s">
        <v>1675</v>
      </c>
      <c r="H5" s="3696"/>
      <c r="I5" s="3695" t="s">
        <v>1676</v>
      </c>
      <c r="J5" s="3696"/>
      <c r="K5" s="559"/>
      <c r="L5" s="2712"/>
      <c r="M5" s="2713"/>
      <c r="N5" s="2713"/>
      <c r="O5" s="2713"/>
      <c r="P5" s="3708"/>
      <c r="Q5" s="3709"/>
      <c r="R5" s="3691"/>
      <c r="S5" s="3692"/>
      <c r="T5" s="3691"/>
      <c r="U5" s="3692"/>
      <c r="V5" s="3714"/>
      <c r="W5" s="3714"/>
      <c r="X5" s="1355"/>
      <c r="Y5" s="3691"/>
      <c r="Z5" s="3692"/>
      <c r="AA5" s="3685"/>
      <c r="AB5" s="3685"/>
      <c r="AC5" s="3685"/>
    </row>
    <row r="6" spans="1:29" ht="15.75" thickBot="1">
      <c r="A6" s="360"/>
      <c r="B6" s="361"/>
      <c r="C6" s="3750" t="s">
        <v>1919</v>
      </c>
      <c r="D6" s="3751"/>
      <c r="E6" s="3752" t="s">
        <v>1919</v>
      </c>
      <c r="F6" s="3753"/>
      <c r="G6" s="3750" t="s">
        <v>1919</v>
      </c>
      <c r="H6" s="3751"/>
      <c r="I6" s="3750" t="s">
        <v>1919</v>
      </c>
      <c r="J6" s="3751"/>
      <c r="K6" s="559" t="s">
        <v>1678</v>
      </c>
      <c r="L6" s="2712"/>
      <c r="M6" s="2713"/>
      <c r="N6" s="2713"/>
      <c r="O6" s="2713"/>
      <c r="P6" s="3710"/>
      <c r="Q6" s="3711"/>
      <c r="R6" s="3691"/>
      <c r="S6" s="3692"/>
      <c r="T6" s="3712"/>
      <c r="U6" s="3713"/>
      <c r="V6" s="3714"/>
      <c r="W6" s="3714"/>
      <c r="X6" s="1355"/>
      <c r="Y6" s="3712"/>
      <c r="Z6" s="3713"/>
      <c r="AA6" s="3686"/>
      <c r="AB6" s="3686"/>
      <c r="AC6" s="3686"/>
    </row>
    <row r="7" spans="1:29" s="108" customFormat="1" ht="15.75" thickBot="1">
      <c r="A7" s="362" t="s">
        <v>1679</v>
      </c>
      <c r="B7" s="363"/>
      <c r="C7" s="364">
        <f>'数据-取费表'!B2</f>
        <v>45603</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87" t="s">
        <v>1680</v>
      </c>
      <c r="Q7" s="3715"/>
      <c r="R7" s="701" t="s">
        <v>14</v>
      </c>
      <c r="S7" s="702">
        <f t="shared" ref="S7:S15" si="0">F7</f>
        <v>0</v>
      </c>
      <c r="T7" s="701" t="s">
        <v>14</v>
      </c>
      <c r="U7" s="702">
        <f t="shared" ref="U7:U15" si="1">H7</f>
        <v>0</v>
      </c>
      <c r="V7" s="701" t="s">
        <v>14</v>
      </c>
      <c r="W7" s="702">
        <f t="shared" ref="W7:W15" si="2">J7</f>
        <v>0</v>
      </c>
      <c r="X7" s="703"/>
      <c r="Y7" s="3687" t="s">
        <v>1680</v>
      </c>
      <c r="Z7" s="36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87" t="s">
        <v>1683</v>
      </c>
      <c r="Q8" s="3688"/>
      <c r="R8" s="701" t="s">
        <v>14</v>
      </c>
      <c r="S8" s="702">
        <f t="shared" si="0"/>
        <v>0</v>
      </c>
      <c r="T8" s="701" t="s">
        <v>14</v>
      </c>
      <c r="U8" s="702">
        <f t="shared" si="1"/>
        <v>0</v>
      </c>
      <c r="V8" s="701" t="s">
        <v>14</v>
      </c>
      <c r="W8" s="702">
        <f t="shared" si="2"/>
        <v>0</v>
      </c>
      <c r="X8" s="703"/>
      <c r="Y8" s="3687" t="s">
        <v>1683</v>
      </c>
      <c r="Z8" s="368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19"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6"/>
      <c r="M10" s="2717"/>
      <c r="N10" s="2717"/>
      <c r="O10" s="2770"/>
      <c r="P10" s="3719"/>
      <c r="Q10" s="1343" t="str">
        <f t="shared" si="6"/>
        <v>土地使用年限（年）</v>
      </c>
      <c r="R10" s="701" t="s">
        <v>14</v>
      </c>
      <c r="S10" s="702">
        <f t="shared" si="0"/>
        <v>107</v>
      </c>
      <c r="T10" s="701" t="s">
        <v>14</v>
      </c>
      <c r="U10" s="702">
        <f t="shared" si="1"/>
        <v>107</v>
      </c>
      <c r="V10" s="701" t="s">
        <v>14</v>
      </c>
      <c r="W10" s="702">
        <f t="shared" si="2"/>
        <v>107</v>
      </c>
      <c r="X10" s="703"/>
      <c r="Y10" s="3612"/>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9"/>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9"/>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9"/>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9"/>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22"/>
      <c r="Q16" s="1352"/>
      <c r="R16" s="705"/>
      <c r="S16" s="706"/>
      <c r="T16" s="705"/>
      <c r="U16" s="706"/>
      <c r="V16" s="705"/>
      <c r="W16" s="706"/>
      <c r="X16" s="1355"/>
      <c r="Y16" s="372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22"/>
      <c r="Q18" s="1352"/>
      <c r="R18" s="705"/>
      <c r="S18" s="706"/>
      <c r="T18" s="705"/>
      <c r="U18" s="706"/>
      <c r="V18" s="705"/>
      <c r="W18" s="706"/>
      <c r="X18" s="1355"/>
      <c r="Y18" s="372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2"/>
      <c r="Q19" s="1352" t="str">
        <f t="shared" ref="Q19:Q33" si="8">B19</f>
        <v>区域土地利用方向</v>
      </c>
      <c r="R19" s="705" t="s">
        <v>14</v>
      </c>
      <c r="S19" s="706">
        <f>F19</f>
        <v>100</v>
      </c>
      <c r="T19" s="705" t="s">
        <v>14</v>
      </c>
      <c r="U19" s="706">
        <f>H19</f>
        <v>100</v>
      </c>
      <c r="V19" s="705" t="s">
        <v>14</v>
      </c>
      <c r="W19" s="706">
        <f>J19</f>
        <v>100</v>
      </c>
      <c r="X19" s="1355"/>
      <c r="Y19" s="372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22"/>
      <c r="Q20" s="1352"/>
      <c r="R20" s="705"/>
      <c r="S20" s="706"/>
      <c r="T20" s="705"/>
      <c r="U20" s="706"/>
      <c r="V20" s="705"/>
      <c r="W20" s="706"/>
      <c r="X20" s="1355"/>
      <c r="Y20" s="372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2"/>
      <c r="Q21" s="1352" t="str">
        <f t="shared" si="8"/>
        <v>环境状况</v>
      </c>
      <c r="R21" s="705" t="s">
        <v>14</v>
      </c>
      <c r="S21" s="706">
        <f>F21</f>
        <v>100</v>
      </c>
      <c r="T21" s="705" t="s">
        <v>14</v>
      </c>
      <c r="U21" s="706">
        <f>H21</f>
        <v>100</v>
      </c>
      <c r="V21" s="705" t="s">
        <v>14</v>
      </c>
      <c r="W21" s="706">
        <f>J21</f>
        <v>100</v>
      </c>
      <c r="X21" s="1355"/>
      <c r="Y21" s="372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22"/>
      <c r="Q22" s="1352"/>
      <c r="R22" s="705"/>
      <c r="S22" s="706"/>
      <c r="T22" s="705"/>
      <c r="U22" s="706"/>
      <c r="V22" s="705"/>
      <c r="W22" s="706"/>
      <c r="X22" s="1355"/>
      <c r="Y22" s="372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2"/>
      <c r="Q23" s="1343" t="str">
        <f t="shared" si="8"/>
        <v>公共配套设施</v>
      </c>
      <c r="R23" s="701" t="s">
        <v>14</v>
      </c>
      <c r="S23" s="702">
        <f>F23</f>
        <v>100</v>
      </c>
      <c r="T23" s="701" t="s">
        <v>14</v>
      </c>
      <c r="U23" s="702">
        <f>H23</f>
        <v>100</v>
      </c>
      <c r="V23" s="701" t="s">
        <v>14</v>
      </c>
      <c r="W23" s="702">
        <f>J23</f>
        <v>100</v>
      </c>
      <c r="X23" s="703"/>
      <c r="Y23" s="372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22"/>
      <c r="Q24" s="1343"/>
      <c r="R24" s="701"/>
      <c r="S24" s="702"/>
      <c r="T24" s="701"/>
      <c r="U24" s="702"/>
      <c r="V24" s="701"/>
      <c r="W24" s="702"/>
      <c r="X24" s="703"/>
      <c r="Y24" s="372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2"/>
      <c r="Q25" s="1343"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22"/>
      <c r="Q26" s="1343"/>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2"/>
      <c r="Q28" s="1352" t="str">
        <f t="shared" si="8"/>
        <v>毗邻道路的类型与等级</v>
      </c>
      <c r="R28" s="705" t="s">
        <v>14</v>
      </c>
      <c r="S28" s="706">
        <f t="shared" si="10"/>
        <v>100</v>
      </c>
      <c r="T28" s="705" t="s">
        <v>14</v>
      </c>
      <c r="U28" s="706">
        <f t="shared" si="11"/>
        <v>100</v>
      </c>
      <c r="V28" s="705" t="s">
        <v>14</v>
      </c>
      <c r="W28" s="706">
        <f t="shared" si="12"/>
        <v>100</v>
      </c>
      <c r="X28" s="1355"/>
      <c r="Y28" s="372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22"/>
      <c r="Q29" s="1352"/>
      <c r="R29" s="705"/>
      <c r="S29" s="706"/>
      <c r="T29" s="705"/>
      <c r="U29" s="706"/>
      <c r="V29" s="705"/>
      <c r="W29" s="706"/>
      <c r="X29" s="1355"/>
      <c r="Y29" s="372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2"/>
      <c r="Q30" s="1352" t="str">
        <f t="shared" si="8"/>
        <v>土地级别</v>
      </c>
      <c r="R30" s="705" t="s">
        <v>14</v>
      </c>
      <c r="S30" s="706">
        <f t="shared" si="10"/>
        <v>100</v>
      </c>
      <c r="T30" s="705" t="s">
        <v>14</v>
      </c>
      <c r="U30" s="706">
        <f t="shared" si="11"/>
        <v>100</v>
      </c>
      <c r="V30" s="705" t="s">
        <v>14</v>
      </c>
      <c r="W30" s="706">
        <f t="shared" si="12"/>
        <v>100</v>
      </c>
      <c r="X30" s="1355"/>
      <c r="Y30" s="372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2"/>
      <c r="Q31" s="1352">
        <f t="shared" si="8"/>
        <v>111</v>
      </c>
      <c r="R31" s="705" t="s">
        <v>14</v>
      </c>
      <c r="S31" s="706">
        <f t="shared" si="10"/>
        <v>100</v>
      </c>
      <c r="T31" s="705" t="s">
        <v>14</v>
      </c>
      <c r="U31" s="706">
        <f t="shared" si="11"/>
        <v>100</v>
      </c>
      <c r="V31" s="705" t="s">
        <v>14</v>
      </c>
      <c r="W31" s="706">
        <f t="shared" si="12"/>
        <v>100</v>
      </c>
      <c r="X31" s="1355"/>
      <c r="Y31" s="372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5" t="s">
        <v>1696</v>
      </c>
      <c r="Q32" s="1352">
        <f t="shared" si="8"/>
        <v>111</v>
      </c>
      <c r="R32" s="705" t="s">
        <v>14</v>
      </c>
      <c r="S32" s="706">
        <f t="shared" si="10"/>
        <v>100</v>
      </c>
      <c r="T32" s="705" t="s">
        <v>14</v>
      </c>
      <c r="U32" s="706">
        <f t="shared" si="11"/>
        <v>100</v>
      </c>
      <c r="V32" s="705" t="s">
        <v>14</v>
      </c>
      <c r="W32" s="706">
        <f t="shared" si="12"/>
        <v>100</v>
      </c>
      <c r="X32" s="1355"/>
      <c r="Y32" s="372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6"/>
      <c r="Q33" s="1352">
        <f t="shared" si="8"/>
        <v>111</v>
      </c>
      <c r="R33" s="708" t="s">
        <v>14</v>
      </c>
      <c r="S33" s="709">
        <f t="shared" si="10"/>
        <v>100</v>
      </c>
      <c r="T33" s="708" t="s">
        <v>14</v>
      </c>
      <c r="U33" s="709">
        <f t="shared" si="11"/>
        <v>100</v>
      </c>
      <c r="V33" s="708" t="s">
        <v>14</v>
      </c>
      <c r="W33" s="709">
        <f t="shared" si="12"/>
        <v>100</v>
      </c>
      <c r="X33" s="710"/>
      <c r="Y33" s="372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6"/>
      <c r="Q34" s="1352" t="str">
        <f>B34</f>
        <v>宗地面积</v>
      </c>
      <c r="R34" s="705" t="s">
        <v>14</v>
      </c>
      <c r="S34" s="706" t="e">
        <f t="shared" si="10"/>
        <v>#N/A</v>
      </c>
      <c r="T34" s="705" t="s">
        <v>14</v>
      </c>
      <c r="U34" s="706" t="e">
        <f t="shared" si="11"/>
        <v>#N/A</v>
      </c>
      <c r="V34" s="705" t="s">
        <v>14</v>
      </c>
      <c r="W34" s="706" t="e">
        <f t="shared" si="12"/>
        <v>#N/A</v>
      </c>
      <c r="X34" s="1355"/>
      <c r="Y34" s="372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26"/>
      <c r="Q35" s="1352" t="str">
        <f t="shared" ref="Q35:Q40" si="14">B35</f>
        <v>宗地形状</v>
      </c>
      <c r="R35" s="705" t="s">
        <v>14</v>
      </c>
      <c r="S35" s="706">
        <f t="shared" si="10"/>
        <v>100</v>
      </c>
      <c r="T35" s="705" t="s">
        <v>14</v>
      </c>
      <c r="U35" s="706">
        <f t="shared" si="11"/>
        <v>100</v>
      </c>
      <c r="V35" s="705" t="s">
        <v>14</v>
      </c>
      <c r="W35" s="706">
        <f t="shared" si="12"/>
        <v>100</v>
      </c>
      <c r="X35" s="1355"/>
      <c r="Y35" s="372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26"/>
      <c r="Q36" s="1352"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26" t="s">
        <v>1696</v>
      </c>
      <c r="Q37" s="1352" t="str">
        <f t="shared" si="14"/>
        <v>工程地质条件</v>
      </c>
      <c r="R37" s="705" t="s">
        <v>14</v>
      </c>
      <c r="S37" s="706">
        <f t="shared" si="10"/>
        <v>100</v>
      </c>
      <c r="T37" s="705" t="s">
        <v>14</v>
      </c>
      <c r="U37" s="706">
        <f t="shared" si="11"/>
        <v>100</v>
      </c>
      <c r="V37" s="705" t="s">
        <v>14</v>
      </c>
      <c r="W37" s="706">
        <f t="shared" si="12"/>
        <v>100</v>
      </c>
      <c r="X37" s="1355"/>
      <c r="Y37" s="372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6"/>
      <c r="Q38" s="1352">
        <f t="shared" si="14"/>
        <v>111</v>
      </c>
      <c r="R38" s="705" t="s">
        <v>14</v>
      </c>
      <c r="S38" s="706">
        <f t="shared" si="10"/>
        <v>100</v>
      </c>
      <c r="T38" s="705" t="s">
        <v>14</v>
      </c>
      <c r="U38" s="706">
        <f t="shared" si="11"/>
        <v>100</v>
      </c>
      <c r="V38" s="705" t="s">
        <v>14</v>
      </c>
      <c r="W38" s="706">
        <f t="shared" si="12"/>
        <v>100</v>
      </c>
      <c r="X38" s="1355"/>
      <c r="Y38" s="372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6"/>
      <c r="Q39" s="1352">
        <f t="shared" si="14"/>
        <v>111</v>
      </c>
      <c r="R39" s="705" t="s">
        <v>14</v>
      </c>
      <c r="S39" s="706">
        <f t="shared" si="10"/>
        <v>100</v>
      </c>
      <c r="T39" s="705" t="s">
        <v>14</v>
      </c>
      <c r="U39" s="706">
        <f t="shared" si="11"/>
        <v>100</v>
      </c>
      <c r="V39" s="705" t="s">
        <v>14</v>
      </c>
      <c r="W39" s="706">
        <f t="shared" si="12"/>
        <v>100</v>
      </c>
      <c r="X39" s="1355"/>
      <c r="Y39" s="372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6"/>
      <c r="Q40" s="1352">
        <f t="shared" si="14"/>
        <v>111</v>
      </c>
      <c r="R40" s="708" t="s">
        <v>14</v>
      </c>
      <c r="S40" s="709">
        <f t="shared" si="10"/>
        <v>100</v>
      </c>
      <c r="T40" s="708" t="s">
        <v>14</v>
      </c>
      <c r="U40" s="709">
        <f t="shared" si="11"/>
        <v>100</v>
      </c>
      <c r="V40" s="708" t="s">
        <v>14</v>
      </c>
      <c r="W40" s="709">
        <f t="shared" si="12"/>
        <v>100</v>
      </c>
      <c r="X40" s="710"/>
      <c r="Y40" s="372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19" t="str">
        <f>A41</f>
        <v>成交单价</v>
      </c>
      <c r="Q41" s="3719"/>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719" t="str">
        <f>A42</f>
        <v>比较价值（元/平方米）</v>
      </c>
      <c r="Q42" s="3719"/>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16" t="str">
        <f>A43</f>
        <v>估价对象XX用房的比较价值（楼面单价，元/平方米）</v>
      </c>
      <c r="Q43" s="3717"/>
      <c r="R43" s="3748" t="e">
        <f>ROUND(IF(D42="简单平均",AVERAGE(R42:W42),R42*F42+T42*H42+V42*J42),0)</f>
        <v>#DIV/0!</v>
      </c>
      <c r="S43" s="3748"/>
      <c r="T43" s="3748"/>
      <c r="U43" s="3748"/>
      <c r="V43" s="3748"/>
      <c r="W43" s="374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02" t="s">
        <v>1887</v>
      </c>
      <c r="H50" s="3749"/>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13579.42</v>
      </c>
      <c r="F51" s="639" t="e">
        <f t="shared" ref="F51:F60" si="15">ROUND(B51*E51/10000,0)</f>
        <v>#DIV/0!</v>
      </c>
      <c r="G51" s="3701"/>
      <c r="H51" s="3719"/>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2715.88</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6080</v>
      </c>
      <c r="C2" s="2145" t="s">
        <v>2074</v>
      </c>
      <c r="D2" s="2145" t="s">
        <v>2075</v>
      </c>
      <c r="E2" s="2609">
        <f ca="1">SUMIF(E6:E13,"&lt;&gt;#ref!",E6:E13)</f>
        <v>16295.3</v>
      </c>
      <c r="F2" s="2790"/>
      <c r="G2" s="2790"/>
      <c r="H2" s="2790"/>
      <c r="I2" s="2790"/>
      <c r="J2" s="2790"/>
      <c r="K2" s="2790"/>
      <c r="L2" s="2790"/>
      <c r="M2" s="2790"/>
      <c r="N2" s="2790"/>
      <c r="O2" s="2790"/>
      <c r="P2" s="2790"/>
    </row>
    <row r="3" spans="1:16" ht="15.75">
      <c r="A3" s="2145" t="s">
        <v>2076</v>
      </c>
      <c r="B3" s="2599">
        <f ca="1">ROUND(B2*10000/E2,0)</f>
        <v>3731</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6080</v>
      </c>
      <c r="C6" s="2145" t="s">
        <v>2074</v>
      </c>
      <c r="D6" s="2790"/>
      <c r="E6" s="2609">
        <f ca="1">SUMIF(INDIRECT("'"&amp;A6&amp;"'"&amp;"!C:C"),"建筑面积",INDIRECT("'"&amp;A6&amp;"'"&amp;"!D:D"))</f>
        <v>16295.3</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67" t="s">
        <v>2605</v>
      </c>
      <c r="B20" s="3760" t="s">
        <v>2626</v>
      </c>
      <c r="C20" s="3100" t="s">
        <v>2437</v>
      </c>
      <c r="D20" s="3101"/>
      <c r="E20" s="3102">
        <v>1</v>
      </c>
      <c r="F20" s="3103" t="s">
        <v>2438</v>
      </c>
      <c r="G20" s="3103"/>
    </row>
    <row r="21" spans="1:13" ht="19.5" customHeight="1">
      <c r="A21" s="3768"/>
      <c r="B21" s="3761"/>
      <c r="C21" s="3104" t="s">
        <v>2439</v>
      </c>
      <c r="D21" s="3105"/>
      <c r="E21" s="3106">
        <v>1</v>
      </c>
      <c r="F21" s="3103" t="s">
        <v>2440</v>
      </c>
      <c r="G21" s="3103"/>
    </row>
    <row r="22" spans="1:13" ht="19.5" customHeight="1">
      <c r="A22" s="3768"/>
      <c r="B22" s="3761"/>
      <c r="C22" s="3104" t="s">
        <v>2441</v>
      </c>
      <c r="D22" s="3105"/>
      <c r="E22" s="3106">
        <v>0.9</v>
      </c>
      <c r="F22" s="3103" t="s">
        <v>2442</v>
      </c>
      <c r="G22" s="3103"/>
    </row>
    <row r="23" spans="1:13" ht="19.5" customHeight="1">
      <c r="A23" s="3768"/>
      <c r="B23" s="3761"/>
      <c r="C23" s="3104" t="s">
        <v>2443</v>
      </c>
      <c r="D23" s="3105"/>
      <c r="E23" s="3106">
        <v>0.9</v>
      </c>
      <c r="F23" s="3103" t="s">
        <v>2444</v>
      </c>
      <c r="G23" s="3103"/>
    </row>
    <row r="24" spans="1:13" ht="19.5" customHeight="1">
      <c r="A24" s="3768"/>
      <c r="B24" s="3761"/>
      <c r="C24" s="3104" t="s">
        <v>2445</v>
      </c>
      <c r="D24" s="3105"/>
      <c r="E24" s="3106">
        <v>0.8</v>
      </c>
      <c r="F24" s="3103" t="s">
        <v>2446</v>
      </c>
      <c r="G24" s="3103"/>
    </row>
    <row r="25" spans="1:13" ht="19.5" customHeight="1" thickBot="1">
      <c r="A25" s="3769"/>
      <c r="B25" s="3762"/>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63" t="s">
        <v>2629</v>
      </c>
      <c r="B27" s="3760" t="s">
        <v>2610</v>
      </c>
      <c r="C27" s="3100" t="s">
        <v>2450</v>
      </c>
      <c r="D27" s="3101"/>
      <c r="E27" s="3102">
        <v>1</v>
      </c>
      <c r="F27" s="3103" t="s">
        <v>2451</v>
      </c>
      <c r="G27" s="3103"/>
    </row>
    <row r="28" spans="1:13" ht="19.5" customHeight="1">
      <c r="A28" s="3764"/>
      <c r="B28" s="3761"/>
      <c r="C28" s="3104" t="s">
        <v>2452</v>
      </c>
      <c r="D28" s="3105"/>
      <c r="E28" s="3106">
        <v>1</v>
      </c>
      <c r="F28" s="3103" t="s">
        <v>2453</v>
      </c>
      <c r="G28" s="3103"/>
    </row>
    <row r="29" spans="1:13" ht="19.5" customHeight="1">
      <c r="A29" s="3764"/>
      <c r="B29" s="3761"/>
      <c r="C29" s="3104" t="s">
        <v>2454</v>
      </c>
      <c r="D29" s="3105"/>
      <c r="E29" s="3106">
        <v>0.8</v>
      </c>
      <c r="F29" s="3103" t="s">
        <v>2455</v>
      </c>
      <c r="G29" s="3103"/>
    </row>
    <row r="30" spans="1:13" ht="19.5" customHeight="1">
      <c r="A30" s="3764"/>
      <c r="B30" s="3761"/>
      <c r="C30" s="3104" t="s">
        <v>2456</v>
      </c>
      <c r="D30" s="3105"/>
      <c r="E30" s="3106">
        <v>0.8</v>
      </c>
      <c r="F30" s="3103" t="s">
        <v>2457</v>
      </c>
      <c r="G30" s="3103"/>
    </row>
    <row r="31" spans="1:13" ht="19.5" customHeight="1">
      <c r="A31" s="3764"/>
      <c r="B31" s="3761"/>
      <c r="C31" s="3104" t="s">
        <v>2458</v>
      </c>
      <c r="D31" s="3105"/>
      <c r="E31" s="3106">
        <v>0.8</v>
      </c>
      <c r="F31" s="3103" t="s">
        <v>2459</v>
      </c>
      <c r="G31" s="3103"/>
    </row>
    <row r="32" spans="1:13" ht="19.5" customHeight="1">
      <c r="A32" s="3764"/>
      <c r="B32" s="3761"/>
      <c r="C32" s="3104" t="s">
        <v>2460</v>
      </c>
      <c r="D32" s="3105"/>
      <c r="E32" s="3106">
        <v>0.7</v>
      </c>
      <c r="F32" s="3103" t="s">
        <v>2461</v>
      </c>
      <c r="G32" s="3103"/>
    </row>
    <row r="33" spans="1:7" ht="19.5" customHeight="1">
      <c r="A33" s="3764"/>
      <c r="B33" s="3761"/>
      <c r="C33" s="3104" t="s">
        <v>2462</v>
      </c>
      <c r="D33" s="3105"/>
      <c r="E33" s="3106">
        <v>0.8</v>
      </c>
      <c r="F33" s="3103" t="s">
        <v>2463</v>
      </c>
      <c r="G33" s="3103"/>
    </row>
    <row r="34" spans="1:7" ht="19.5" customHeight="1">
      <c r="A34" s="3764"/>
      <c r="B34" s="3761"/>
      <c r="C34" s="3104" t="s">
        <v>2464</v>
      </c>
      <c r="D34" s="3105"/>
      <c r="E34" s="3106">
        <v>0.6</v>
      </c>
      <c r="F34" s="3103" t="s">
        <v>2465</v>
      </c>
      <c r="G34" s="3103"/>
    </row>
    <row r="35" spans="1:7" ht="19.5" customHeight="1">
      <c r="A35" s="3764"/>
      <c r="B35" s="3761"/>
      <c r="C35" s="3104" t="s">
        <v>2466</v>
      </c>
      <c r="D35" s="3105"/>
      <c r="E35" s="3106">
        <v>0.2</v>
      </c>
      <c r="F35" s="3103" t="s">
        <v>2467</v>
      </c>
      <c r="G35" s="3103"/>
    </row>
    <row r="36" spans="1:7" ht="19.5" customHeight="1">
      <c r="A36" s="3764"/>
      <c r="B36" s="3761"/>
      <c r="C36" s="3104" t="s">
        <v>2468</v>
      </c>
      <c r="D36" s="3105"/>
      <c r="E36" s="3106">
        <v>0.2</v>
      </c>
      <c r="F36" s="3103" t="s">
        <v>2469</v>
      </c>
      <c r="G36" s="3103"/>
    </row>
    <row r="37" spans="1:7" ht="19.5" customHeight="1">
      <c r="A37" s="3764"/>
      <c r="B37" s="3766" t="s">
        <v>2630</v>
      </c>
      <c r="C37" s="3104" t="s">
        <v>2470</v>
      </c>
      <c r="D37" s="3105"/>
      <c r="E37" s="3106">
        <v>0.6</v>
      </c>
      <c r="F37" s="3103" t="s">
        <v>2471</v>
      </c>
      <c r="G37" s="3103"/>
    </row>
    <row r="38" spans="1:7" ht="19.5" customHeight="1">
      <c r="A38" s="3764"/>
      <c r="B38" s="3761"/>
      <c r="C38" s="3104" t="s">
        <v>2472</v>
      </c>
      <c r="D38" s="3105"/>
      <c r="E38" s="3106">
        <v>0.6</v>
      </c>
      <c r="F38" s="3103" t="s">
        <v>2473</v>
      </c>
      <c r="G38" s="3103"/>
    </row>
    <row r="39" spans="1:7" ht="19.5" customHeight="1" thickBot="1">
      <c r="A39" s="3765"/>
      <c r="B39" s="3762"/>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67" t="s">
        <v>2608</v>
      </c>
      <c r="B41" s="3760" t="s">
        <v>2632</v>
      </c>
      <c r="C41" s="3100" t="s">
        <v>2477</v>
      </c>
      <c r="D41" s="3101"/>
      <c r="E41" s="3102">
        <v>1</v>
      </c>
      <c r="F41" s="3103" t="s">
        <v>2478</v>
      </c>
      <c r="G41" s="3103"/>
    </row>
    <row r="42" spans="1:7" ht="19.5" customHeight="1">
      <c r="A42" s="3768"/>
      <c r="B42" s="3761"/>
      <c r="C42" s="3104" t="s">
        <v>2479</v>
      </c>
      <c r="D42" s="3105"/>
      <c r="E42" s="3106">
        <v>1</v>
      </c>
      <c r="F42" s="3103" t="s">
        <v>2480</v>
      </c>
      <c r="G42" s="3103"/>
    </row>
    <row r="43" spans="1:7" ht="19.5" customHeight="1">
      <c r="A43" s="3768"/>
      <c r="B43" s="3770"/>
      <c r="C43" s="3104" t="s">
        <v>2481</v>
      </c>
      <c r="D43" s="3105"/>
      <c r="E43" s="3106">
        <v>1.5</v>
      </c>
      <c r="F43" s="3103" t="s">
        <v>2482</v>
      </c>
      <c r="G43" s="3103"/>
    </row>
    <row r="44" spans="1:7" ht="19.5" customHeight="1">
      <c r="A44" s="3768"/>
      <c r="B44" s="3115" t="s">
        <v>2633</v>
      </c>
      <c r="C44" s="3104" t="s">
        <v>2634</v>
      </c>
      <c r="D44" s="3105"/>
      <c r="E44" s="3106">
        <v>2</v>
      </c>
      <c r="F44" s="3103" t="s">
        <v>2483</v>
      </c>
      <c r="G44" s="3103"/>
    </row>
    <row r="45" spans="1:7" ht="19.5" customHeight="1">
      <c r="A45" s="3768"/>
      <c r="B45" s="3766" t="s">
        <v>2635</v>
      </c>
      <c r="C45" s="3104" t="s">
        <v>2484</v>
      </c>
      <c r="D45" s="3105"/>
      <c r="E45" s="3106">
        <v>1</v>
      </c>
      <c r="F45" s="3103" t="s">
        <v>2485</v>
      </c>
      <c r="G45" s="3103"/>
    </row>
    <row r="46" spans="1:7" ht="19.5" customHeight="1">
      <c r="A46" s="3768"/>
      <c r="B46" s="3761"/>
      <c r="C46" s="3104" t="s">
        <v>2486</v>
      </c>
      <c r="D46" s="3105"/>
      <c r="E46" s="3106">
        <v>1</v>
      </c>
      <c r="F46" s="3103" t="s">
        <v>2487</v>
      </c>
      <c r="G46" s="3103"/>
    </row>
    <row r="47" spans="1:7" ht="19.5" customHeight="1">
      <c r="A47" s="3768"/>
      <c r="B47" s="3761"/>
      <c r="C47" s="3104" t="s">
        <v>2488</v>
      </c>
      <c r="D47" s="3105"/>
      <c r="E47" s="3106">
        <v>1</v>
      </c>
      <c r="F47" s="3103" t="s">
        <v>2489</v>
      </c>
      <c r="G47" s="3103"/>
    </row>
    <row r="48" spans="1:7" ht="19.5" customHeight="1">
      <c r="A48" s="3768"/>
      <c r="B48" s="3761"/>
      <c r="C48" s="3104" t="s">
        <v>2490</v>
      </c>
      <c r="D48" s="3105"/>
      <c r="E48" s="3106">
        <v>1</v>
      </c>
      <c r="F48" s="3103" t="s">
        <v>2491</v>
      </c>
      <c r="G48" s="3103"/>
    </row>
    <row r="49" spans="1:7" ht="19.5" customHeight="1">
      <c r="A49" s="3768"/>
      <c r="B49" s="3761"/>
      <c r="C49" s="3104" t="s">
        <v>2492</v>
      </c>
      <c r="D49" s="3105"/>
      <c r="E49" s="3106">
        <v>1</v>
      </c>
      <c r="F49" s="3103" t="s">
        <v>2493</v>
      </c>
      <c r="G49" s="3103"/>
    </row>
    <row r="50" spans="1:7" ht="19.5" customHeight="1">
      <c r="A50" s="3768"/>
      <c r="B50" s="3761"/>
      <c r="C50" s="3104" t="s">
        <v>2494</v>
      </c>
      <c r="D50" s="3105"/>
      <c r="E50" s="3106">
        <v>1</v>
      </c>
      <c r="F50" s="3103" t="s">
        <v>2495</v>
      </c>
      <c r="G50" s="3103"/>
    </row>
    <row r="51" spans="1:7" ht="19.5" customHeight="1" thickBot="1">
      <c r="A51" s="3769"/>
      <c r="B51" s="3762"/>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66" t="s">
        <v>2649</v>
      </c>
      <c r="C73" s="3089" t="s">
        <v>2650</v>
      </c>
      <c r="D73" s="3089" t="s">
        <v>2651</v>
      </c>
      <c r="E73" s="3115">
        <v>0.2</v>
      </c>
      <c r="F73" s="3115">
        <v>25</v>
      </c>
    </row>
    <row r="74" spans="1:7" ht="24">
      <c r="A74" s="3115">
        <v>2</v>
      </c>
      <c r="B74" s="3761"/>
      <c r="C74" s="3089" t="s">
        <v>2652</v>
      </c>
      <c r="D74" s="3089" t="s">
        <v>2653</v>
      </c>
      <c r="E74" s="3115">
        <v>0.2</v>
      </c>
      <c r="F74" s="3115">
        <v>25</v>
      </c>
    </row>
    <row r="75" spans="1:7" ht="24">
      <c r="A75" s="3115">
        <v>3</v>
      </c>
      <c r="B75" s="3761"/>
      <c r="C75" s="3089" t="s">
        <v>2654</v>
      </c>
      <c r="D75" s="3089" t="s">
        <v>2655</v>
      </c>
      <c r="E75" s="3115">
        <v>0.2</v>
      </c>
      <c r="F75" s="3115">
        <v>25</v>
      </c>
    </row>
    <row r="76" spans="1:7" ht="13.5">
      <c r="A76" s="3115">
        <v>4</v>
      </c>
      <c r="B76" s="3761"/>
      <c r="C76" s="3089" t="s">
        <v>2656</v>
      </c>
      <c r="D76" s="3089" t="s">
        <v>2657</v>
      </c>
      <c r="E76" s="3115">
        <v>0.15</v>
      </c>
      <c r="F76" s="3115">
        <v>20</v>
      </c>
    </row>
    <row r="77" spans="1:7" ht="24">
      <c r="A77" s="3115">
        <v>5</v>
      </c>
      <c r="B77" s="3761"/>
      <c r="C77" s="3089" t="s">
        <v>2658</v>
      </c>
      <c r="D77" s="3089" t="s">
        <v>2659</v>
      </c>
      <c r="E77" s="3115">
        <v>0.15</v>
      </c>
      <c r="F77" s="3115">
        <v>20</v>
      </c>
    </row>
    <row r="78" spans="1:7" ht="24">
      <c r="A78" s="3115">
        <v>6</v>
      </c>
      <c r="B78" s="3761"/>
      <c r="C78" s="3089" t="s">
        <v>2660</v>
      </c>
      <c r="D78" s="3089" t="s">
        <v>2661</v>
      </c>
      <c r="E78" s="3115">
        <v>0.15</v>
      </c>
      <c r="F78" s="3115">
        <v>20</v>
      </c>
    </row>
    <row r="79" spans="1:7" ht="24">
      <c r="A79" s="3115">
        <v>7</v>
      </c>
      <c r="B79" s="3761"/>
      <c r="C79" s="3089" t="s">
        <v>2662</v>
      </c>
      <c r="D79" s="3089" t="s">
        <v>2663</v>
      </c>
      <c r="E79" s="3115">
        <v>0.15</v>
      </c>
      <c r="F79" s="3115">
        <v>20</v>
      </c>
    </row>
    <row r="80" spans="1:7" ht="24">
      <c r="A80" s="3115">
        <v>8</v>
      </c>
      <c r="B80" s="3761"/>
      <c r="C80" s="3089" t="s">
        <v>2664</v>
      </c>
      <c r="D80" s="3089" t="s">
        <v>2665</v>
      </c>
      <c r="E80" s="3115">
        <v>0.1</v>
      </c>
      <c r="F80" s="3115">
        <v>15</v>
      </c>
    </row>
    <row r="81" spans="1:6" ht="24">
      <c r="A81" s="3115">
        <v>9</v>
      </c>
      <c r="B81" s="3761"/>
      <c r="C81" s="3089" t="s">
        <v>2666</v>
      </c>
      <c r="D81" s="3089" t="s">
        <v>2667</v>
      </c>
      <c r="E81" s="3115">
        <v>0.1</v>
      </c>
      <c r="F81" s="3115">
        <v>15</v>
      </c>
    </row>
    <row r="82" spans="1:6" ht="24">
      <c r="A82" s="3115">
        <v>10</v>
      </c>
      <c r="B82" s="3761"/>
      <c r="C82" s="3089" t="s">
        <v>2668</v>
      </c>
      <c r="D82" s="3089" t="s">
        <v>2669</v>
      </c>
      <c r="E82" s="3115">
        <v>0.1</v>
      </c>
      <c r="F82" s="3115">
        <v>15</v>
      </c>
    </row>
    <row r="83" spans="1:6" ht="24">
      <c r="A83" s="3115">
        <v>11</v>
      </c>
      <c r="B83" s="3761"/>
      <c r="C83" s="3089" t="s">
        <v>2670</v>
      </c>
      <c r="D83" s="3089" t="s">
        <v>2671</v>
      </c>
      <c r="E83" s="3115">
        <v>0.1</v>
      </c>
      <c r="F83" s="3115">
        <v>15</v>
      </c>
    </row>
    <row r="84" spans="1:6" ht="24">
      <c r="A84" s="3115">
        <v>12</v>
      </c>
      <c r="B84" s="3761"/>
      <c r="C84" s="3089" t="s">
        <v>2672</v>
      </c>
      <c r="D84" s="3089" t="s">
        <v>2673</v>
      </c>
      <c r="E84" s="3115">
        <v>0.1</v>
      </c>
      <c r="F84" s="3115">
        <v>15</v>
      </c>
    </row>
    <row r="85" spans="1:6" ht="13.5">
      <c r="A85" s="3115">
        <v>13</v>
      </c>
      <c r="B85" s="3761"/>
      <c r="C85" s="3089" t="s">
        <v>2674</v>
      </c>
      <c r="D85" s="3089" t="s">
        <v>2675</v>
      </c>
      <c r="E85" s="3115">
        <v>0.1</v>
      </c>
      <c r="F85" s="3115">
        <v>15</v>
      </c>
    </row>
    <row r="86" spans="1:6" ht="13.5">
      <c r="A86" s="3115">
        <v>14</v>
      </c>
      <c r="B86" s="3761"/>
      <c r="C86" s="3089" t="s">
        <v>2676</v>
      </c>
      <c r="D86" s="3089" t="s">
        <v>2677</v>
      </c>
      <c r="E86" s="3115">
        <v>0.1</v>
      </c>
      <c r="F86" s="3115">
        <v>15</v>
      </c>
    </row>
    <row r="87" spans="1:6" ht="13.5">
      <c r="A87" s="3115">
        <v>15</v>
      </c>
      <c r="B87" s="3761"/>
      <c r="C87" s="3089" t="s">
        <v>2678</v>
      </c>
      <c r="D87" s="3089" t="s">
        <v>2679</v>
      </c>
      <c r="E87" s="3115">
        <v>0.1</v>
      </c>
      <c r="F87" s="3115">
        <v>15</v>
      </c>
    </row>
    <row r="88" spans="1:6" ht="24">
      <c r="A88" s="3115">
        <v>16</v>
      </c>
      <c r="B88" s="3761"/>
      <c r="C88" s="3089" t="s">
        <v>2680</v>
      </c>
      <c r="D88" s="3089" t="s">
        <v>2681</v>
      </c>
      <c r="E88" s="3115">
        <v>0.1</v>
      </c>
      <c r="F88" s="3115">
        <v>15</v>
      </c>
    </row>
    <row r="89" spans="1:6" ht="24">
      <c r="A89" s="3115">
        <v>17</v>
      </c>
      <c r="B89" s="3770"/>
      <c r="C89" s="3089" t="s">
        <v>2682</v>
      </c>
      <c r="D89" s="3089" t="s">
        <v>2683</v>
      </c>
      <c r="E89" s="3115">
        <v>0.1</v>
      </c>
      <c r="F89" s="3115">
        <v>15</v>
      </c>
    </row>
    <row r="90" spans="1:6" ht="13.5">
      <c r="A90" s="3115">
        <v>18</v>
      </c>
      <c r="B90" s="3766" t="s">
        <v>2684</v>
      </c>
      <c r="C90" s="3089" t="s">
        <v>2685</v>
      </c>
      <c r="D90" s="3089" t="s">
        <v>2686</v>
      </c>
      <c r="E90" s="3115">
        <v>0.2</v>
      </c>
      <c r="F90" s="3115">
        <v>25</v>
      </c>
    </row>
    <row r="91" spans="1:6" ht="24">
      <c r="A91" s="3115">
        <v>19</v>
      </c>
      <c r="B91" s="3761"/>
      <c r="C91" s="3089" t="s">
        <v>2687</v>
      </c>
      <c r="D91" s="3089" t="s">
        <v>2688</v>
      </c>
      <c r="E91" s="3115">
        <v>0.2</v>
      </c>
      <c r="F91" s="3115">
        <v>25</v>
      </c>
    </row>
    <row r="92" spans="1:6" ht="13.5">
      <c r="A92" s="3115">
        <v>20</v>
      </c>
      <c r="B92" s="3761"/>
      <c r="C92" s="3089" t="s">
        <v>2689</v>
      </c>
      <c r="D92" s="3089" t="s">
        <v>2690</v>
      </c>
      <c r="E92" s="3115">
        <v>0.15</v>
      </c>
      <c r="F92" s="3115">
        <v>20</v>
      </c>
    </row>
    <row r="93" spans="1:6" ht="13.5">
      <c r="A93" s="3115">
        <v>21</v>
      </c>
      <c r="B93" s="3761"/>
      <c r="C93" s="3089" t="s">
        <v>2691</v>
      </c>
      <c r="D93" s="3089" t="s">
        <v>2692</v>
      </c>
      <c r="E93" s="3115">
        <v>0.15</v>
      </c>
      <c r="F93" s="3115">
        <v>20</v>
      </c>
    </row>
    <row r="94" spans="1:6" ht="13.5">
      <c r="A94" s="3115">
        <v>22</v>
      </c>
      <c r="B94" s="3761"/>
      <c r="C94" s="3089" t="s">
        <v>2693</v>
      </c>
      <c r="D94" s="3089" t="s">
        <v>2694</v>
      </c>
      <c r="E94" s="3115">
        <v>0.15</v>
      </c>
      <c r="F94" s="3115">
        <v>20</v>
      </c>
    </row>
    <row r="95" spans="1:6" ht="36">
      <c r="A95" s="3115">
        <v>23</v>
      </c>
      <c r="B95" s="3761"/>
      <c r="C95" s="3089" t="s">
        <v>2695</v>
      </c>
      <c r="D95" s="3089" t="s">
        <v>2696</v>
      </c>
      <c r="E95" s="3115">
        <v>0.15</v>
      </c>
      <c r="F95" s="3115">
        <v>20</v>
      </c>
    </row>
    <row r="96" spans="1:6" ht="13.5">
      <c r="A96" s="3115">
        <v>24</v>
      </c>
      <c r="B96" s="3761"/>
      <c r="C96" s="3089" t="s">
        <v>2697</v>
      </c>
      <c r="D96" s="3089" t="s">
        <v>2698</v>
      </c>
      <c r="E96" s="3115">
        <v>0.1</v>
      </c>
      <c r="F96" s="3115">
        <v>15</v>
      </c>
    </row>
    <row r="97" spans="1:6" ht="13.5">
      <c r="A97" s="3115">
        <v>25</v>
      </c>
      <c r="B97" s="3761"/>
      <c r="C97" s="3089" t="s">
        <v>2699</v>
      </c>
      <c r="D97" s="3089" t="s">
        <v>2700</v>
      </c>
      <c r="E97" s="3115">
        <v>0.1</v>
      </c>
      <c r="F97" s="3115">
        <v>15</v>
      </c>
    </row>
    <row r="98" spans="1:6" ht="24">
      <c r="A98" s="3115">
        <v>26</v>
      </c>
      <c r="B98" s="3761"/>
      <c r="C98" s="3089" t="s">
        <v>2701</v>
      </c>
      <c r="D98" s="3089" t="s">
        <v>2702</v>
      </c>
      <c r="E98" s="3115">
        <v>0.1</v>
      </c>
      <c r="F98" s="3115">
        <v>15</v>
      </c>
    </row>
    <row r="99" spans="1:6" ht="24">
      <c r="A99" s="3115">
        <v>27</v>
      </c>
      <c r="B99" s="3761"/>
      <c r="C99" s="3089" t="s">
        <v>2703</v>
      </c>
      <c r="D99" s="3089" t="s">
        <v>2704</v>
      </c>
      <c r="E99" s="3115">
        <v>0.1</v>
      </c>
      <c r="F99" s="3115">
        <v>15</v>
      </c>
    </row>
    <row r="100" spans="1:6" ht="13.5">
      <c r="A100" s="3115">
        <v>28</v>
      </c>
      <c r="B100" s="3761"/>
      <c r="C100" s="3089" t="s">
        <v>2705</v>
      </c>
      <c r="D100" s="3089" t="s">
        <v>2706</v>
      </c>
      <c r="E100" s="3115">
        <v>0.1</v>
      </c>
      <c r="F100" s="3115">
        <v>15</v>
      </c>
    </row>
    <row r="101" spans="1:6" ht="13.5">
      <c r="A101" s="3115">
        <v>29</v>
      </c>
      <c r="B101" s="3761"/>
      <c r="C101" s="3089" t="s">
        <v>2707</v>
      </c>
      <c r="D101" s="3089" t="s">
        <v>2708</v>
      </c>
      <c r="E101" s="3115">
        <v>0.1</v>
      </c>
      <c r="F101" s="3115">
        <v>15</v>
      </c>
    </row>
    <row r="102" spans="1:6" ht="13.5">
      <c r="A102" s="3115">
        <v>30</v>
      </c>
      <c r="B102" s="3761"/>
      <c r="C102" s="3089" t="s">
        <v>2709</v>
      </c>
      <c r="D102" s="3089" t="s">
        <v>2710</v>
      </c>
      <c r="E102" s="3115">
        <v>0.1</v>
      </c>
      <c r="F102" s="3115">
        <v>15</v>
      </c>
    </row>
    <row r="103" spans="1:6" ht="24">
      <c r="A103" s="3115">
        <v>31</v>
      </c>
      <c r="B103" s="3761"/>
      <c r="C103" s="3089" t="s">
        <v>2711</v>
      </c>
      <c r="D103" s="3089" t="s">
        <v>2712</v>
      </c>
      <c r="E103" s="3115">
        <v>0.1</v>
      </c>
      <c r="F103" s="3115">
        <v>15</v>
      </c>
    </row>
    <row r="104" spans="1:6" ht="24">
      <c r="A104" s="3115">
        <v>32</v>
      </c>
      <c r="B104" s="3761"/>
      <c r="C104" s="3089" t="s">
        <v>2713</v>
      </c>
      <c r="D104" s="3089" t="s">
        <v>2714</v>
      </c>
      <c r="E104" s="3115">
        <v>0.1</v>
      </c>
      <c r="F104" s="3115">
        <v>15</v>
      </c>
    </row>
    <row r="105" spans="1:6" ht="24">
      <c r="A105" s="3115">
        <v>33</v>
      </c>
      <c r="B105" s="3761"/>
      <c r="C105" s="3089" t="s">
        <v>2715</v>
      </c>
      <c r="D105" s="3089" t="s">
        <v>2716</v>
      </c>
      <c r="E105" s="3115">
        <v>0.1</v>
      </c>
      <c r="F105" s="3115">
        <v>15</v>
      </c>
    </row>
    <row r="106" spans="1:6" ht="24">
      <c r="A106" s="3115">
        <v>34</v>
      </c>
      <c r="B106" s="3770"/>
      <c r="C106" s="3089" t="s">
        <v>2717</v>
      </c>
      <c r="D106" s="3089" t="s">
        <v>2718</v>
      </c>
      <c r="E106" s="3115">
        <v>0.1</v>
      </c>
      <c r="F106" s="3115">
        <v>15</v>
      </c>
    </row>
    <row r="107" spans="1:6" ht="24">
      <c r="A107" s="3115">
        <v>35</v>
      </c>
      <c r="B107" s="3766" t="s">
        <v>2719</v>
      </c>
      <c r="C107" s="3115" t="s">
        <v>2720</v>
      </c>
      <c r="D107" s="3089" t="s">
        <v>2721</v>
      </c>
      <c r="E107" s="3115">
        <v>0.15</v>
      </c>
      <c r="F107" s="3115">
        <v>20</v>
      </c>
    </row>
    <row r="108" spans="1:6" ht="13.5">
      <c r="A108" s="3115">
        <v>36</v>
      </c>
      <c r="B108" s="3761"/>
      <c r="C108" s="3115" t="s">
        <v>2722</v>
      </c>
      <c r="D108" s="3089" t="s">
        <v>2723</v>
      </c>
      <c r="E108" s="3115">
        <v>0.15</v>
      </c>
      <c r="F108" s="3115">
        <v>20</v>
      </c>
    </row>
    <row r="109" spans="1:6" ht="13.5">
      <c r="A109" s="3115">
        <v>37</v>
      </c>
      <c r="B109" s="3761"/>
      <c r="C109" s="3115" t="s">
        <v>2724</v>
      </c>
      <c r="D109" s="3089" t="s">
        <v>2725</v>
      </c>
      <c r="E109" s="3115">
        <v>0.15</v>
      </c>
      <c r="F109" s="3115">
        <v>20</v>
      </c>
    </row>
    <row r="110" spans="1:6" ht="13.5">
      <c r="A110" s="3115">
        <v>38</v>
      </c>
      <c r="B110" s="3761"/>
      <c r="C110" s="3115" t="s">
        <v>2726</v>
      </c>
      <c r="D110" s="3089" t="s">
        <v>2727</v>
      </c>
      <c r="E110" s="3115">
        <v>0.1</v>
      </c>
      <c r="F110" s="3115">
        <v>15</v>
      </c>
    </row>
    <row r="111" spans="1:6" ht="24">
      <c r="A111" s="3115">
        <v>39</v>
      </c>
      <c r="B111" s="3761"/>
      <c r="C111" s="3115" t="s">
        <v>2728</v>
      </c>
      <c r="D111" s="3089" t="s">
        <v>2729</v>
      </c>
      <c r="E111" s="3115">
        <v>0.1</v>
      </c>
      <c r="F111" s="3115">
        <v>15</v>
      </c>
    </row>
    <row r="112" spans="1:6" ht="24">
      <c r="A112" s="3115">
        <v>40</v>
      </c>
      <c r="B112" s="3770"/>
      <c r="C112" s="3115" t="s">
        <v>2730</v>
      </c>
      <c r="D112" s="3089" t="s">
        <v>2731</v>
      </c>
      <c r="E112" s="3115">
        <v>0.1</v>
      </c>
      <c r="F112" s="3115">
        <v>15</v>
      </c>
    </row>
    <row r="113" spans="1:6" ht="13.5">
      <c r="A113" s="3115">
        <v>41</v>
      </c>
      <c r="B113" s="3771" t="s">
        <v>2732</v>
      </c>
      <c r="C113" s="3115" t="s">
        <v>2733</v>
      </c>
      <c r="D113" s="3089" t="s">
        <v>2734</v>
      </c>
      <c r="E113" s="3115">
        <v>0.1</v>
      </c>
      <c r="F113" s="3115">
        <v>15</v>
      </c>
    </row>
    <row r="114" spans="1:6" ht="13.5">
      <c r="A114" s="3115">
        <v>42</v>
      </c>
      <c r="B114" s="3771"/>
      <c r="C114" s="3115" t="s">
        <v>2735</v>
      </c>
      <c r="D114" s="3089" t="s">
        <v>2736</v>
      </c>
      <c r="E114" s="3115">
        <v>0.1</v>
      </c>
      <c r="F114" s="3115">
        <v>15</v>
      </c>
    </row>
    <row r="115" spans="1:6" ht="24">
      <c r="A115" s="3115">
        <v>43</v>
      </c>
      <c r="B115" s="3771"/>
      <c r="C115" s="3115" t="s">
        <v>2737</v>
      </c>
      <c r="D115" s="3089" t="s">
        <v>2738</v>
      </c>
      <c r="E115" s="3115">
        <v>0.1</v>
      </c>
      <c r="F115" s="3115">
        <v>15</v>
      </c>
    </row>
    <row r="116" spans="1:6" ht="13.5">
      <c r="A116" s="3115">
        <v>44</v>
      </c>
      <c r="B116" s="3766" t="s">
        <v>2739</v>
      </c>
      <c r="C116" s="3115" t="s">
        <v>2740</v>
      </c>
      <c r="D116" s="3089" t="s">
        <v>2741</v>
      </c>
      <c r="E116" s="3115">
        <v>0.1</v>
      </c>
      <c r="F116" s="3115">
        <v>15</v>
      </c>
    </row>
    <row r="117" spans="1:6" ht="24">
      <c r="A117" s="3115">
        <v>45</v>
      </c>
      <c r="B117" s="3770"/>
      <c r="C117" s="3089" t="s">
        <v>2742</v>
      </c>
      <c r="D117" s="3089" t="s">
        <v>2743</v>
      </c>
      <c r="E117" s="3115">
        <v>0.1</v>
      </c>
      <c r="F117" s="3115">
        <v>15</v>
      </c>
    </row>
    <row r="118" spans="1:6" ht="24">
      <c r="A118" s="3115">
        <v>46</v>
      </c>
      <c r="B118" s="3766" t="s">
        <v>2744</v>
      </c>
      <c r="C118" s="3115" t="s">
        <v>2745</v>
      </c>
      <c r="D118" s="3089" t="s">
        <v>2746</v>
      </c>
      <c r="E118" s="3115">
        <v>0.1</v>
      </c>
      <c r="F118" s="3115">
        <v>15</v>
      </c>
    </row>
    <row r="119" spans="1:6" ht="24">
      <c r="A119" s="3115">
        <v>47</v>
      </c>
      <c r="B119" s="3770"/>
      <c r="C119" s="3115" t="s">
        <v>2747</v>
      </c>
      <c r="D119" s="3089" t="s">
        <v>2748</v>
      </c>
      <c r="E119" s="3115">
        <v>0.1</v>
      </c>
      <c r="F119" s="3115">
        <v>15</v>
      </c>
    </row>
    <row r="120" spans="1:6" ht="13.5">
      <c r="A120" s="3115">
        <v>48</v>
      </c>
      <c r="B120" s="3766" t="s">
        <v>2749</v>
      </c>
      <c r="C120" s="3115" t="s">
        <v>2750</v>
      </c>
      <c r="D120" s="3089" t="s">
        <v>2751</v>
      </c>
      <c r="E120" s="3115">
        <v>0.1</v>
      </c>
      <c r="F120" s="3115">
        <v>15</v>
      </c>
    </row>
    <row r="121" spans="1:6" ht="13.5">
      <c r="A121" s="3115">
        <v>49</v>
      </c>
      <c r="B121" s="3770"/>
      <c r="C121" s="3115" t="s">
        <v>2752</v>
      </c>
      <c r="D121" s="3089" t="s">
        <v>2753</v>
      </c>
      <c r="E121" s="3115">
        <v>0.1</v>
      </c>
      <c r="F121" s="3115">
        <v>15</v>
      </c>
    </row>
    <row r="122" spans="1:6" ht="24">
      <c r="A122" s="3115">
        <v>50</v>
      </c>
      <c r="B122" s="3771" t="s">
        <v>2754</v>
      </c>
      <c r="C122" s="3115" t="s">
        <v>2755</v>
      </c>
      <c r="D122" s="3089" t="s">
        <v>2756</v>
      </c>
      <c r="E122" s="3115">
        <v>0.1</v>
      </c>
      <c r="F122" s="3115">
        <v>15</v>
      </c>
    </row>
    <row r="123" spans="1:6" ht="24">
      <c r="A123" s="3115">
        <v>51</v>
      </c>
      <c r="B123" s="3771"/>
      <c r="C123" s="3115" t="s">
        <v>2757</v>
      </c>
      <c r="D123" s="3089" t="s">
        <v>2758</v>
      </c>
      <c r="E123" s="3115">
        <v>0.1</v>
      </c>
      <c r="F123" s="3115">
        <v>15</v>
      </c>
    </row>
    <row r="124" spans="1:6" ht="24">
      <c r="A124" s="3115">
        <v>52</v>
      </c>
      <c r="B124" s="3771" t="s">
        <v>2759</v>
      </c>
      <c r="C124" s="3115" t="s">
        <v>2760</v>
      </c>
      <c r="D124" s="3089" t="s">
        <v>2761</v>
      </c>
      <c r="E124" s="3115">
        <v>0.1</v>
      </c>
      <c r="F124" s="3115">
        <v>15</v>
      </c>
    </row>
    <row r="125" spans="1:6" ht="24">
      <c r="A125" s="3115">
        <v>53</v>
      </c>
      <c r="B125" s="3771"/>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71" t="s">
        <v>2767</v>
      </c>
      <c r="C127" s="3115" t="s">
        <v>2768</v>
      </c>
      <c r="D127" s="3089" t="s">
        <v>2769</v>
      </c>
      <c r="E127" s="3115">
        <v>0.1</v>
      </c>
      <c r="F127" s="3115">
        <v>15</v>
      </c>
    </row>
    <row r="128" spans="1:6" ht="13.5">
      <c r="A128" s="3115">
        <v>56</v>
      </c>
      <c r="B128" s="3771"/>
      <c r="C128" s="3115" t="s">
        <v>2770</v>
      </c>
      <c r="D128" s="3089" t="s">
        <v>2771</v>
      </c>
      <c r="E128" s="3115">
        <v>0.1</v>
      </c>
      <c r="F128" s="3115">
        <v>15</v>
      </c>
    </row>
    <row r="129" spans="1:6" ht="24">
      <c r="A129" s="3115">
        <v>57</v>
      </c>
      <c r="B129" s="3771"/>
      <c r="C129" s="3115" t="s">
        <v>2772</v>
      </c>
      <c r="D129" s="3089" t="s">
        <v>2773</v>
      </c>
      <c r="E129" s="3115">
        <v>0.1</v>
      </c>
      <c r="F129" s="3115">
        <v>15</v>
      </c>
    </row>
    <row r="130" spans="1:6" ht="24">
      <c r="A130" s="3115">
        <v>58</v>
      </c>
      <c r="B130" s="3771" t="s">
        <v>2774</v>
      </c>
      <c r="C130" s="3115" t="s">
        <v>2775</v>
      </c>
      <c r="D130" s="3089" t="s">
        <v>2776</v>
      </c>
      <c r="E130" s="3115">
        <v>0.1</v>
      </c>
      <c r="F130" s="3115">
        <v>15</v>
      </c>
    </row>
    <row r="131" spans="1:6" ht="13.5">
      <c r="A131" s="3115">
        <v>59</v>
      </c>
      <c r="B131" s="3771"/>
      <c r="C131" s="3115" t="s">
        <v>2777</v>
      </c>
      <c r="D131" s="3089" t="s">
        <v>2778</v>
      </c>
      <c r="E131" s="3115">
        <v>0.1</v>
      </c>
      <c r="F131" s="3115">
        <v>15</v>
      </c>
    </row>
    <row r="132" spans="1:6" ht="13.5">
      <c r="A132" s="3115">
        <v>60</v>
      </c>
      <c r="B132" s="3766" t="s">
        <v>2779</v>
      </c>
      <c r="C132" s="3115" t="s">
        <v>2780</v>
      </c>
      <c r="D132" s="3089" t="s">
        <v>2781</v>
      </c>
      <c r="E132" s="3115">
        <v>0.1</v>
      </c>
      <c r="F132" s="3115">
        <v>15</v>
      </c>
    </row>
    <row r="133" spans="1:6" ht="13.5">
      <c r="A133" s="3115">
        <v>61</v>
      </c>
      <c r="B133" s="3770"/>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71" t="s">
        <v>2787</v>
      </c>
      <c r="C135" s="3115" t="s">
        <v>2788</v>
      </c>
      <c r="D135" s="3089" t="s">
        <v>2789</v>
      </c>
      <c r="E135" s="3115">
        <v>0.1</v>
      </c>
      <c r="F135" s="3115">
        <v>15</v>
      </c>
    </row>
    <row r="136" spans="1:6" ht="13.5">
      <c r="A136" s="3115">
        <v>64</v>
      </c>
      <c r="B136" s="3771"/>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f>SUMPRODUCT((A95:A184=ROUNDDOWN(基准地价修正!G3,1))*(B94:M94=基准地价修正!G2)*(B95:M184))</f>
        <v>1.0512999999999999</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f>SUMPRODUCT((A371:A460=ROUNDDOWN(基准地价修正!G3,1))*(B370:M370=基准地价修正!G2)*(B371:M460))</f>
        <v>1</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28106</v>
      </c>
      <c r="E5" s="1491"/>
    </row>
    <row r="6" spans="1:5" ht="15.75">
      <c r="A6" s="1491"/>
      <c r="B6" s="3455"/>
      <c r="C6" s="1494" t="s">
        <v>911</v>
      </c>
      <c r="D6" s="850" t="str">
        <f ca="1">NUMBERSTRING(INT(D5*10000),2)&amp;"元整"</f>
        <v>贰亿捌仟壹佰零陆万元整</v>
      </c>
      <c r="E6" s="1491"/>
    </row>
    <row r="7" spans="1:5" ht="15.75">
      <c r="A7" s="1491"/>
      <c r="B7" s="3460"/>
      <c r="C7" s="1495" t="s">
        <v>912</v>
      </c>
      <c r="D7" s="851">
        <f ca="1">结果表!H102</f>
        <v>17248</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28106</v>
      </c>
      <c r="E13" s="1491"/>
    </row>
    <row r="14" spans="1:5" ht="15.75">
      <c r="A14" s="1491"/>
      <c r="B14" s="3455"/>
      <c r="C14" s="1494" t="s">
        <v>911</v>
      </c>
      <c r="D14" s="850" t="str">
        <f ca="1">NUMBERSTRING(INT(D13*10000),2)&amp;"元整"</f>
        <v>贰亿捌仟壹佰零陆万元整</v>
      </c>
      <c r="E14" s="1491"/>
    </row>
    <row r="15" spans="1:5" ht="15">
      <c r="A15" s="1491"/>
      <c r="B15" s="3460"/>
      <c r="C15" s="1495" t="s">
        <v>921</v>
      </c>
      <c r="D15" s="859">
        <f ca="1">结果表!H108</f>
        <v>17248</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43083</v>
      </c>
      <c r="C2" s="2" t="s">
        <v>106</v>
      </c>
      <c r="D2" s="199"/>
      <c r="E2" s="199"/>
      <c r="F2" s="199"/>
      <c r="G2" s="199"/>
    </row>
    <row r="3" spans="1:7" s="200" customFormat="1" ht="18" customHeight="1" thickBot="1">
      <c r="A3" s="203" t="s">
        <v>58</v>
      </c>
      <c r="B3" s="204">
        <f ca="1">ROUND(B2*10000/'数据-汇总表'!E3,0)</f>
        <v>26439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326</v>
      </c>
      <c r="D10" s="845">
        <f>'数据-汇总表'!E6</f>
        <v>16295.3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326</v>
      </c>
      <c r="D19" s="849">
        <f>'数据-汇总表'!E3</f>
        <v>16295.3</v>
      </c>
      <c r="E19" s="211">
        <f>'数据-取费表'!B31</f>
        <v>200</v>
      </c>
      <c r="F19" s="231"/>
      <c r="G19" s="1" t="s">
        <v>436</v>
      </c>
    </row>
    <row r="20" spans="1:7" s="214" customFormat="1" ht="13.5" customHeight="1">
      <c r="A20" s="777" t="s">
        <v>419</v>
      </c>
      <c r="B20" s="210" t="s">
        <v>77</v>
      </c>
      <c r="C20" s="232">
        <f>ROUND((C5+C19)*F20,0)</f>
        <v>628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1338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3235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3235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10788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9777</v>
      </c>
      <c r="D34" s="217"/>
      <c r="E34" s="220"/>
      <c r="F34" s="257">
        <f>IF('数据-取费表'!B24=0,1,'数据-取费表'!N16)</f>
        <v>1</v>
      </c>
      <c r="G34" s="219" t="s">
        <v>89</v>
      </c>
    </row>
    <row r="35" spans="1:7" ht="13.5" customHeight="1">
      <c r="A35" s="780" t="s">
        <v>351</v>
      </c>
      <c r="B35" s="215" t="s">
        <v>33</v>
      </c>
      <c r="C35" s="220">
        <f>ROUND(C34*F35,0)</f>
        <v>489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326</v>
      </c>
      <c r="D37" s="217">
        <f>'数据-汇总表'!E3</f>
        <v>16295.3</v>
      </c>
      <c r="E37" s="249">
        <f>'数据-取费表'!B35</f>
        <v>200</v>
      </c>
      <c r="F37" s="259"/>
      <c r="G37" s="261" t="s">
        <v>92</v>
      </c>
    </row>
    <row r="38" spans="1:7" ht="13.5" customHeight="1">
      <c r="A38" s="780" t="s">
        <v>354</v>
      </c>
      <c r="B38" s="215" t="s">
        <v>36</v>
      </c>
      <c r="C38" s="220">
        <f>ROUND(C34*F38,0)</f>
        <v>196</v>
      </c>
      <c r="D38" s="220"/>
      <c r="E38" s="220"/>
      <c r="F38" s="259">
        <f>'数据-取费表'!B36</f>
        <v>0.02</v>
      </c>
      <c r="G38" s="219" t="s">
        <v>90</v>
      </c>
    </row>
    <row r="39" spans="1:7" s="214" customFormat="1" ht="13.5" customHeight="1">
      <c r="A39" s="777" t="s">
        <v>338</v>
      </c>
      <c r="B39" s="210" t="s">
        <v>77</v>
      </c>
      <c r="C39" s="232">
        <f>ROUND(C33*F20,0)</f>
        <v>324</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344</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334</v>
      </c>
      <c r="D42" s="238"/>
      <c r="E42" s="238"/>
      <c r="F42" s="239"/>
      <c r="G42" s="3636" t="s">
        <v>94</v>
      </c>
    </row>
    <row r="43" spans="1:7" ht="13.5" customHeight="1">
      <c r="A43" s="780" t="s">
        <v>347</v>
      </c>
      <c r="B43" s="215" t="s">
        <v>426</v>
      </c>
      <c r="C43" s="238">
        <f ca="1">ROUND(IF('数据-取费表'!B22&lt;=1,C39*F22*'数据-取费表'!B21/2,C39*(POWER((1+F22),'数据-取费表'!B21/2)-1)),0)</f>
        <v>10</v>
      </c>
      <c r="D43" s="238"/>
      <c r="E43" s="238"/>
      <c r="F43" s="239"/>
      <c r="G43" s="3637"/>
    </row>
    <row r="44" spans="1:7" ht="13.5" customHeight="1">
      <c r="A44" s="780" t="s">
        <v>348</v>
      </c>
      <c r="B44" s="215" t="s">
        <v>428</v>
      </c>
      <c r="C44" s="238">
        <f ca="1">ROUND(IF('数据-取费表'!B22&lt;=1,C40*F22*'数据-取费表'!B21/2,C40*(POWER((1+F22),'数据-取费表'!B21/2)-1)),4)</f>
        <v>8.9999999999999998E-4</v>
      </c>
      <c r="D44" s="238"/>
      <c r="E44" s="238"/>
      <c r="F44" s="239"/>
      <c r="G44" s="3638"/>
    </row>
    <row r="45" spans="1:7" s="214" customFormat="1" ht="13.5" customHeight="1">
      <c r="A45" s="777" t="s">
        <v>341</v>
      </c>
      <c r="B45" s="244" t="s">
        <v>85</v>
      </c>
      <c r="C45" s="245">
        <f>C46</f>
        <v>1667</v>
      </c>
      <c r="D45" s="235">
        <f>C47</f>
        <v>4.4999999999999997E-3</v>
      </c>
      <c r="E45" s="236" t="s">
        <v>102</v>
      </c>
      <c r="F45" s="246"/>
      <c r="G45" s="247" t="s">
        <v>434</v>
      </c>
    </row>
    <row r="46" spans="1:7" s="214" customFormat="1" ht="13.5" customHeight="1">
      <c r="A46" s="780" t="s">
        <v>349</v>
      </c>
      <c r="B46" s="248" t="s">
        <v>427</v>
      </c>
      <c r="C46" s="249">
        <f>ROUND((C33+C39)*F27,0)</f>
        <v>1667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14401</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14401</v>
      </c>
      <c r="D51" s="232"/>
      <c r="E51" s="232"/>
      <c r="F51" s="264"/>
      <c r="G51" s="234" t="s">
        <v>37</v>
      </c>
    </row>
    <row r="52" spans="1:7" s="208" customFormat="1" ht="16.5" thickBot="1">
      <c r="A52" s="265" t="s">
        <v>38</v>
      </c>
      <c r="B52" s="266"/>
      <c r="C52" s="267">
        <f ca="1">C31+C51</f>
        <v>43083</v>
      </c>
      <c r="D52" s="266"/>
      <c r="E52" s="266"/>
      <c r="F52" s="266"/>
      <c r="G52" s="268"/>
    </row>
    <row r="55" spans="1:7" ht="15">
      <c r="B55" s="270" t="s">
        <v>39</v>
      </c>
      <c r="C55" s="271"/>
    </row>
    <row r="56" spans="1:7">
      <c r="B56" s="273" t="s">
        <v>40</v>
      </c>
      <c r="C56" s="274">
        <f ca="1">ROUND(C51/C52,3)</f>
        <v>0.33400000000000002</v>
      </c>
    </row>
    <row r="57" spans="1:7">
      <c r="B57" s="273" t="s">
        <v>41</v>
      </c>
      <c r="C57" s="275">
        <f ca="1">1-C56</f>
        <v>0.66599999999999993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4" t="s">
        <v>2837</v>
      </c>
      <c r="B1" s="3774"/>
      <c r="C1" s="3774"/>
      <c r="D1" s="3774"/>
      <c r="E1" s="3774"/>
      <c r="F1" s="3774"/>
      <c r="G1" s="3775"/>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3772" t="s">
        <v>2864</v>
      </c>
      <c r="B3" s="3227"/>
      <c r="C3" s="3228" t="s">
        <v>2809</v>
      </c>
      <c r="D3" s="3228" t="s">
        <v>2865</v>
      </c>
      <c r="E3" s="3228" t="s">
        <v>2811</v>
      </c>
      <c r="F3" s="3228" t="s">
        <v>2866</v>
      </c>
      <c r="G3" s="3228" t="s">
        <v>2629</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3773"/>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6" t="s">
        <v>3179</v>
      </c>
      <c r="B1" s="3776"/>
    </row>
    <row r="2" spans="1:7" ht="14.25" thickBot="1">
      <c r="A2" s="3252"/>
      <c r="B2" s="3252"/>
    </row>
    <row r="3" spans="1:7" ht="14.25" thickBot="1">
      <c r="A3" s="3252"/>
      <c r="B3" s="3252"/>
      <c r="C3" s="3253" t="s">
        <v>2809</v>
      </c>
      <c r="D3" s="3253" t="s">
        <v>2865</v>
      </c>
      <c r="E3" s="3253" t="s">
        <v>2811</v>
      </c>
      <c r="F3" s="3253" t="s">
        <v>2866</v>
      </c>
      <c r="G3" s="3253" t="s">
        <v>2629</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7" t="s">
        <v>3230</v>
      </c>
      <c r="B1" s="3777"/>
      <c r="C1" s="3777"/>
      <c r="D1" s="3777"/>
      <c r="E1" s="3777"/>
      <c r="F1" s="3778"/>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45603</v>
      </c>
      <c r="B1" s="3207" t="s">
        <v>3379</v>
      </c>
      <c r="C1" s="3208"/>
      <c r="D1" s="3208"/>
      <c r="E1" s="3208"/>
      <c r="F1" s="3208"/>
      <c r="G1" s="3208"/>
      <c r="H1" s="3208"/>
      <c r="I1" s="3208"/>
      <c r="J1" s="3162"/>
      <c r="K1" s="3208" t="s">
        <v>454</v>
      </c>
      <c r="L1" s="3208"/>
      <c r="M1" s="3208"/>
      <c r="N1" s="3208"/>
      <c r="O1" s="3208"/>
      <c r="P1" s="3208"/>
      <c r="Q1" s="3162"/>
      <c r="R1" s="3779" t="s">
        <v>456</v>
      </c>
      <c r="S1" s="3780"/>
      <c r="T1" s="3780"/>
      <c r="U1" s="3780"/>
      <c r="V1" s="3780"/>
      <c r="W1" s="3780"/>
      <c r="X1" s="3162"/>
      <c r="Y1" s="3779" t="s">
        <v>457</v>
      </c>
      <c r="Z1" s="3780"/>
      <c r="AA1" s="3780"/>
      <c r="AB1" s="3780"/>
      <c r="AC1" s="3780"/>
      <c r="AD1" s="3780"/>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ROUND(AVERAGEIF(D4:D21,"&lt;&gt;0"),2)</f>
        <v>0.47</v>
      </c>
      <c r="E3" s="3148">
        <f t="shared" ref="E3:H3" si="0">ROUND(AVERAGEIF(E4:E21,"&lt;&gt;0"),2)</f>
        <v>0.3</v>
      </c>
      <c r="F3" s="3148">
        <f t="shared" si="0"/>
        <v>0.04</v>
      </c>
      <c r="G3" s="3148">
        <f t="shared" si="0"/>
        <v>0.51</v>
      </c>
      <c r="H3" s="3148">
        <f t="shared" si="0"/>
        <v>0.55000000000000004</v>
      </c>
      <c r="I3" s="3148">
        <f>F3</f>
        <v>0.04</v>
      </c>
      <c r="J3" s="3149"/>
      <c r="K3" s="3150">
        <f>ROUND(AVERAGEIF(K4:K21,"&lt;&gt;0"),4)</f>
        <v>4.7000000000000002E-3</v>
      </c>
      <c r="L3" s="3151">
        <f t="shared" ref="L3:O3" si="1">ROUND(AVERAGEIF(L4:L21,"&lt;&gt;0"),4)</f>
        <v>3.0000000000000001E-3</v>
      </c>
      <c r="M3" s="3151">
        <f t="shared" si="1"/>
        <v>4.0000000000000002E-4</v>
      </c>
      <c r="N3" s="3151">
        <f t="shared" si="1"/>
        <v>5.1000000000000004E-3</v>
      </c>
      <c r="O3" s="3151">
        <f t="shared" si="1"/>
        <v>5.4999999999999997E-3</v>
      </c>
      <c r="P3" s="3151">
        <f>M3</f>
        <v>4.0000000000000002E-4</v>
      </c>
      <c r="Q3" s="3149"/>
      <c r="R3" s="3152">
        <f>ROUND(SUMPRODUCT(PRODUCT(1+K4:K21)),4)</f>
        <v>1.0723</v>
      </c>
      <c r="S3" s="3153">
        <f t="shared" ref="S3:V3" si="2">ROUND(SUMPRODUCT(PRODUCT(1+L4:L21)),4)</f>
        <v>1.0465</v>
      </c>
      <c r="T3" s="3153">
        <f t="shared" si="2"/>
        <v>1.0054000000000001</v>
      </c>
      <c r="U3" s="3153">
        <f t="shared" si="2"/>
        <v>1.0790999999999999</v>
      </c>
      <c r="V3" s="3153">
        <f t="shared" si="2"/>
        <v>1.0857000000000001</v>
      </c>
      <c r="W3" s="3152">
        <f>T3</f>
        <v>1.0054000000000001</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5"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1.0620000000000001</v>
      </c>
      <c r="S5" s="3180">
        <f>ROUND(IF(项目基本情况!$B$8="出让",SUMPRODUCT(PRODUCT(1+L5:$L$21)),SUMPRODUCT(PRODUCT(1+L5:$L$20))),4)</f>
        <v>1.0448</v>
      </c>
      <c r="T5" s="3180">
        <f>ROUND(IF(项目基本情况!$B$8="出让",SUMPRODUCT(PRODUCT(1+M5:$M$21)),SUMPRODUCT(PRODUCT(1+M5:$M$20))),4)</f>
        <v>1.0079</v>
      </c>
      <c r="U5" s="3180">
        <f>ROUND(IF(项目基本情况!$B$8="出让",SUMPRODUCT(PRODUCT(1+N5:$N$21)),SUMPRODUCT(PRODUCT(1+N5:$N$20))),4)</f>
        <v>1.0672999999999999</v>
      </c>
      <c r="V5" s="3180">
        <f>ROUND(IF(项目基本情况!$B$8="出让",SUMPRODUCT(PRODUCT(1+O5:$O$21)),SUMPRODUCT(PRODUCT(1+O5:$O$20))),4)</f>
        <v>1.0818000000000001</v>
      </c>
      <c r="W5" s="3180">
        <f>T5</f>
        <v>1.0079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3384</v>
      </c>
      <c r="B6" s="3184">
        <v>2024</v>
      </c>
      <c r="C6" s="3185">
        <v>4</v>
      </c>
      <c r="D6" s="3186">
        <v>0</v>
      </c>
      <c r="E6" s="3186">
        <v>0</v>
      </c>
      <c r="F6" s="3186">
        <v>0</v>
      </c>
      <c r="G6" s="3186">
        <v>0</v>
      </c>
      <c r="H6" s="3187">
        <v>0</v>
      </c>
      <c r="I6" s="3188">
        <f t="shared" ref="I6" si="15">F6</f>
        <v>0</v>
      </c>
      <c r="J6" s="3189"/>
      <c r="K6" s="3190">
        <f t="shared" ref="K6" si="16">D6/100</f>
        <v>0</v>
      </c>
      <c r="L6" s="3191">
        <f t="shared" ref="L6" si="17">E6/100</f>
        <v>0</v>
      </c>
      <c r="M6" s="3191">
        <f t="shared" ref="M6" si="18">F6/100</f>
        <v>0</v>
      </c>
      <c r="N6" s="3191">
        <f t="shared" ref="N6" si="19">G6/100</f>
        <v>0</v>
      </c>
      <c r="O6" s="3191">
        <f t="shared" ref="O6" si="20">H6/100</f>
        <v>0</v>
      </c>
      <c r="P6" s="3191">
        <f>M6</f>
        <v>0</v>
      </c>
      <c r="Q6" s="3189"/>
      <c r="R6" s="3189">
        <f>ROUND(IF(项目基本情况!$B$8="出让",SUMPRODUCT(PRODUCT(1+K6:$K$21)),SUMPRODUCT(PRODUCT(1+K6:$K$20))),4)</f>
        <v>1.0620000000000001</v>
      </c>
      <c r="S6" s="3189">
        <f>ROUND(IF(项目基本情况!$B$8="出让",SUMPRODUCT(PRODUCT(1+L6:$L$21)),SUMPRODUCT(PRODUCT(1+L6:$L$20))),4)</f>
        <v>1.0448</v>
      </c>
      <c r="T6" s="3189">
        <f>ROUND(IF(项目基本情况!$B$8="出让",SUMPRODUCT(PRODUCT(1+M6:$M$21)),SUMPRODUCT(PRODUCT(1+M6:$M$20))),4)</f>
        <v>1.0079</v>
      </c>
      <c r="U6" s="3189">
        <f>ROUND(IF(项目基本情况!$B$8="出让",SUMPRODUCT(PRODUCT(1+N6:$N$21)),SUMPRODUCT(PRODUCT(1+N6:$N$20))),4)</f>
        <v>1.0672999999999999</v>
      </c>
      <c r="V6" s="3189">
        <f>ROUND(IF(项目基本情况!$B$8="出让",SUMPRODUCT(PRODUCT(1+O6:$O$21)),SUMPRODUCT(PRODUCT(1+O6:$O$20))),4)</f>
        <v>1.0818000000000001</v>
      </c>
      <c r="W6" s="3189">
        <f>T6</f>
        <v>1.0079</v>
      </c>
      <c r="X6" s="3189"/>
      <c r="Y6" s="3191">
        <f>IF(D6=0,0,ROUND(AVERAGE(D6:D19)/100,4))</f>
        <v>0</v>
      </c>
      <c r="Z6" s="3191">
        <f t="shared" ref="Z6" si="21">IF(E6=0,0,ROUND(AVERAGE(E6:E19)/100,4))</f>
        <v>0</v>
      </c>
      <c r="AA6" s="3191">
        <f t="shared" ref="AA6" si="22">IF(F6=0,0,ROUND(AVERAGE(F6:F19)/100,4))</f>
        <v>0</v>
      </c>
      <c r="AB6" s="3191">
        <f t="shared" ref="AB6" si="23">IF(G6=0,0,ROUND(AVERAGE(G6:G19)/100,4))</f>
        <v>0</v>
      </c>
      <c r="AC6" s="3191">
        <f t="shared" ref="AC6" si="24">IF(H6=0,0,ROUND(AVERAGE(H6:H19)/100,4))</f>
        <v>0</v>
      </c>
      <c r="AD6" s="3191">
        <f t="shared" ref="AD6" si="25">AA6</f>
        <v>0</v>
      </c>
    </row>
    <row r="7" spans="1:30" s="3182" customFormat="1" ht="12.75">
      <c r="A7" s="2205"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2818</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2819</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2820</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2821</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2822</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3382</v>
      </c>
    </row>
    <row r="24" spans="1:30" s="3006" customFormat="1">
      <c r="I24" s="3205" t="s">
        <v>2823</v>
      </c>
    </row>
    <row r="25" spans="1:30" s="3006" customFormat="1"/>
    <row r="26" spans="1:30" s="3206" customFormat="1" ht="12.75">
      <c r="B26" s="3207" t="s">
        <v>3380</v>
      </c>
      <c r="C26" s="3208"/>
      <c r="D26" s="3208"/>
      <c r="E26" s="3208"/>
      <c r="F26" s="3208"/>
      <c r="G26" s="3208"/>
      <c r="H26" s="3208"/>
      <c r="I26" s="3208"/>
      <c r="J26" s="3162"/>
      <c r="K26" s="3208" t="s">
        <v>2824</v>
      </c>
      <c r="L26" s="3208"/>
      <c r="M26" s="3208"/>
      <c r="N26" s="3208"/>
      <c r="O26" s="3208"/>
      <c r="P26" s="3208"/>
      <c r="Q26" s="3162"/>
      <c r="R26" s="3779" t="s">
        <v>2825</v>
      </c>
      <c r="S26" s="3780"/>
      <c r="T26" s="3780"/>
      <c r="U26" s="3780"/>
      <c r="V26" s="3780"/>
      <c r="W26" s="3780"/>
      <c r="X26" s="3162"/>
      <c r="Y26" s="3779" t="s">
        <v>2826</v>
      </c>
      <c r="Z26" s="3780"/>
      <c r="AA26" s="3780"/>
      <c r="AB26" s="3780"/>
      <c r="AC26" s="3780"/>
      <c r="AD26" s="3780"/>
    </row>
    <row r="27" spans="1:30" s="3140" customFormat="1" ht="14.25" thickBot="1">
      <c r="B27" s="3141"/>
      <c r="C27" s="3142"/>
      <c r="D27" s="3143" t="s">
        <v>2827</v>
      </c>
      <c r="E27" s="3144" t="s">
        <v>2828</v>
      </c>
      <c r="F27" s="3144" t="s">
        <v>2829</v>
      </c>
      <c r="G27" s="3144" t="s">
        <v>2830</v>
      </c>
      <c r="H27" s="3144"/>
      <c r="I27" s="3144" t="s">
        <v>2831</v>
      </c>
      <c r="J27" s="3145"/>
      <c r="K27" s="3143" t="s">
        <v>2827</v>
      </c>
      <c r="L27" s="3144" t="s">
        <v>2828</v>
      </c>
      <c r="M27" s="3144" t="s">
        <v>2829</v>
      </c>
      <c r="N27" s="3144" t="s">
        <v>2830</v>
      </c>
      <c r="O27" s="3144"/>
      <c r="P27" s="3144" t="s">
        <v>2831</v>
      </c>
      <c r="Q27" s="3145"/>
      <c r="R27" s="3143" t="s">
        <v>2827</v>
      </c>
      <c r="S27" s="3144" t="s">
        <v>2828</v>
      </c>
      <c r="T27" s="3144" t="s">
        <v>2829</v>
      </c>
      <c r="U27" s="3144" t="s">
        <v>2830</v>
      </c>
      <c r="V27" s="3144"/>
      <c r="W27" s="3144" t="s">
        <v>2831</v>
      </c>
      <c r="X27" s="3145"/>
      <c r="Y27" s="3143" t="s">
        <v>2827</v>
      </c>
      <c r="Z27" s="3144" t="s">
        <v>2828</v>
      </c>
      <c r="AA27" s="3144" t="s">
        <v>2829</v>
      </c>
      <c r="AB27" s="3144" t="s">
        <v>2830</v>
      </c>
      <c r="AC27" s="3144"/>
      <c r="AD27" s="3144" t="s">
        <v>2831</v>
      </c>
    </row>
    <row r="28" spans="1:30" s="3158" customFormat="1" ht="12.75">
      <c r="A28" s="3146" t="s">
        <v>2832</v>
      </c>
      <c r="B28" s="3147"/>
      <c r="C28" s="3148"/>
      <c r="D28" s="3148"/>
      <c r="E28" s="3148">
        <f t="shared" ref="E28:G28" si="65">ROUND(AVERAGEIF(E29:E46,"&lt;&gt;0"),2)</f>
        <v>0.26</v>
      </c>
      <c r="F28" s="3148">
        <f t="shared" si="65"/>
        <v>0.19</v>
      </c>
      <c r="G28" s="3148">
        <f t="shared" si="65"/>
        <v>0.38</v>
      </c>
      <c r="H28" s="3148"/>
      <c r="I28" s="3148">
        <f>F28</f>
        <v>0.19</v>
      </c>
      <c r="J28" s="3149"/>
      <c r="K28" s="3150"/>
      <c r="L28" s="3151">
        <f t="shared" ref="L28:N28" si="66">ROUND(AVERAGEIF(L29:L46,"&lt;&gt;0"),4)</f>
        <v>2.5999999999999999E-3</v>
      </c>
      <c r="M28" s="3151">
        <f t="shared" si="66"/>
        <v>1.9E-3</v>
      </c>
      <c r="N28" s="3151">
        <f t="shared" si="66"/>
        <v>3.8E-3</v>
      </c>
      <c r="O28" s="3151"/>
      <c r="P28" s="3151">
        <f>M28</f>
        <v>1.9E-3</v>
      </c>
      <c r="Q28" s="3149"/>
      <c r="R28" s="3152"/>
      <c r="S28" s="3153">
        <f>ROUND(SUMPRODUCT(PRODUCT(1+L29:L46)),4)</f>
        <v>1.04</v>
      </c>
      <c r="T28" s="3153">
        <f t="shared" ref="T28:U28" si="67">ROUND(SUMPRODUCT(PRODUCT(1+M29:M46)),4)</f>
        <v>1.0293000000000001</v>
      </c>
      <c r="U28" s="3153">
        <f t="shared" si="67"/>
        <v>1.0583</v>
      </c>
      <c r="V28" s="3153"/>
      <c r="W28" s="3152">
        <f>T28</f>
        <v>1.0293000000000001</v>
      </c>
      <c r="X28" s="3149"/>
      <c r="Y28" s="3154"/>
      <c r="Z28" s="3155">
        <f t="shared" ref="Z28:AB28" si="68">ROUND(AVERAGEIF(Z29:Z46,"&lt;&gt;0"),4)</f>
        <v>4.1000000000000003E-3</v>
      </c>
      <c r="AA28" s="3156">
        <f t="shared" si="68"/>
        <v>3.3E-3</v>
      </c>
      <c r="AB28" s="3154">
        <f t="shared" si="68"/>
        <v>8.0999999999999996E-3</v>
      </c>
      <c r="AC28" s="3157"/>
      <c r="AD28" s="3154">
        <f>AA28</f>
        <v>3.3E-3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5"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1.0364</v>
      </c>
      <c r="T30" s="3180">
        <f>ROUND(IF(项目基本情况!$B$8="出让",SUMPRODUCT(PRODUCT(1+M30:M$46)),SUMPRODUCT(PRODUCT(1+M30:M$45))),4)</f>
        <v>1.0244</v>
      </c>
      <c r="U30" s="3180">
        <f>ROUND(IF(项目基本情况!$B$8="出让",SUMPRODUCT(PRODUCT(1+N30:N$46)),SUMPRODUCT(PRODUCT(1+N30:N$45))),4)</f>
        <v>1.048</v>
      </c>
      <c r="V30" s="3180"/>
      <c r="W30" s="3180">
        <f>T30</f>
        <v>1.0244</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3377</v>
      </c>
      <c r="B31" s="3184">
        <v>2024</v>
      </c>
      <c r="C31" s="3185">
        <v>4</v>
      </c>
      <c r="D31" s="3186"/>
      <c r="E31" s="3186">
        <v>0</v>
      </c>
      <c r="F31" s="3186">
        <v>0</v>
      </c>
      <c r="G31" s="3186">
        <v>0</v>
      </c>
      <c r="H31" s="3187"/>
      <c r="I31" s="3188">
        <f t="shared" ref="I31" si="76">F31</f>
        <v>0</v>
      </c>
      <c r="J31" s="3189"/>
      <c r="K31" s="3190"/>
      <c r="L31" s="3191">
        <f t="shared" ref="L31" si="77">E31/100</f>
        <v>0</v>
      </c>
      <c r="M31" s="3191">
        <f t="shared" ref="M31" si="78">F31/100</f>
        <v>0</v>
      </c>
      <c r="N31" s="3191">
        <f t="shared" ref="N31" si="79">G31/100</f>
        <v>0</v>
      </c>
      <c r="O31" s="3191"/>
      <c r="P31" s="3191">
        <f>M31</f>
        <v>0</v>
      </c>
      <c r="Q31" s="3189"/>
      <c r="R31" s="3189"/>
      <c r="S31" s="3189">
        <f>ROUND(IF(项目基本情况!$B$8="出让",SUMPRODUCT(PRODUCT(1+L31:L$46)),SUMPRODUCT(PRODUCT(1+L31:L$45))),4)</f>
        <v>1.0364</v>
      </c>
      <c r="T31" s="3189">
        <f>ROUND(IF(项目基本情况!$B$8="出让",SUMPRODUCT(PRODUCT(1+M31:M$46)),SUMPRODUCT(PRODUCT(1+M31:M$45))),4)</f>
        <v>1.0244</v>
      </c>
      <c r="U31" s="3189">
        <f>ROUND(IF(项目基本情况!$B$8="出让",SUMPRODUCT(PRODUCT(1+N31:N$46)),SUMPRODUCT(PRODUCT(1+N31:N$45))),4)</f>
        <v>1.048</v>
      </c>
      <c r="V31" s="3189"/>
      <c r="W31" s="3189">
        <f>T31</f>
        <v>1.0244</v>
      </c>
      <c r="X31" s="3189"/>
      <c r="Y31" s="3191"/>
      <c r="Z31" s="3212">
        <f t="shared" ref="Z31" si="80">IF(E31=0,0,ROUND(AVERAGE(E31:E44)/100,4))</f>
        <v>0</v>
      </c>
      <c r="AA31" s="3213">
        <f t="shared" ref="AA31" si="81">IF(F31=0,0,ROUND(AVERAGE(F31:F44)/100,4))</f>
        <v>0</v>
      </c>
      <c r="AB31" s="3191">
        <f t="shared" ref="AB31" si="82">IF(G31=0,0,ROUND(AVERAGE(G31:G44)/100,4))</f>
        <v>0</v>
      </c>
      <c r="AC31" s="3214"/>
      <c r="AD31" s="3191">
        <f>IF(I31=0,0,ROUND(AVERAGE(I31:I44)/100,4))</f>
        <v>0</v>
      </c>
    </row>
    <row r="32" spans="1:30" s="3182" customFormat="1" ht="12.75">
      <c r="A32" s="2205"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2833</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2834</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2835</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2836</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2822</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45603</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45586</v>
      </c>
      <c r="D13" s="2819">
        <v>3.1</v>
      </c>
      <c r="E13" s="2819">
        <f>D13</f>
        <v>3.1</v>
      </c>
      <c r="F13" s="2819">
        <f>D13</f>
        <v>3.1</v>
      </c>
      <c r="G13" s="2819">
        <f>D13</f>
        <v>3.1</v>
      </c>
      <c r="H13" s="2819">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45495</v>
      </c>
      <c r="D14" s="2814">
        <v>3.35</v>
      </c>
      <c r="E14" s="2814">
        <f>D14</f>
        <v>3.35</v>
      </c>
      <c r="F14" s="2814">
        <f>D14</f>
        <v>3.35</v>
      </c>
      <c r="G14" s="2814">
        <f>D14</f>
        <v>3.35</v>
      </c>
      <c r="H14" s="2814">
        <v>3.85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45342</v>
      </c>
      <c r="D15" s="2814">
        <v>3.45</v>
      </c>
      <c r="E15" s="2814">
        <f>D15</f>
        <v>3.45</v>
      </c>
      <c r="F15" s="2814">
        <f>D15</f>
        <v>3.45</v>
      </c>
      <c r="G15" s="2814">
        <f>D15</f>
        <v>3.45</v>
      </c>
      <c r="H15" s="2814">
        <v>3.95</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45159</v>
      </c>
      <c r="D16" s="2814">
        <v>3.45</v>
      </c>
      <c r="E16" s="2814">
        <f>D16</f>
        <v>3.45</v>
      </c>
      <c r="F16" s="2814">
        <f>D16</f>
        <v>3.45</v>
      </c>
      <c r="G16" s="2814">
        <f>D16</f>
        <v>3.45</v>
      </c>
      <c r="H16" s="2814">
        <v>4.2</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45097</v>
      </c>
      <c r="D17" s="2814">
        <v>3.55</v>
      </c>
      <c r="E17" s="2814">
        <f>D17</f>
        <v>3.55</v>
      </c>
      <c r="F17" s="2814">
        <f>D17</f>
        <v>3.55</v>
      </c>
      <c r="G17" s="2814">
        <f>D17</f>
        <v>3.55</v>
      </c>
      <c r="H17" s="2814">
        <v>4.2</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3"/>
      <c r="C19" s="2815">
        <v>44701</v>
      </c>
      <c r="D19" s="2814">
        <v>3.7</v>
      </c>
      <c r="E19" s="2814">
        <f>D19</f>
        <v>3.7</v>
      </c>
      <c r="F19" s="2814">
        <f>D19</f>
        <v>3.7</v>
      </c>
      <c r="G19" s="2814">
        <f>D19</f>
        <v>3.7</v>
      </c>
      <c r="H19" s="2814">
        <v>4.45</v>
      </c>
      <c r="I19" s="2819"/>
      <c r="J19" s="281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5">
        <v>44581</v>
      </c>
      <c r="D20" s="2814">
        <v>3.7</v>
      </c>
      <c r="E20" s="2814">
        <f>D20</f>
        <v>3.7</v>
      </c>
      <c r="F20" s="2814">
        <f>D20</f>
        <v>3.7</v>
      </c>
      <c r="G20" s="2814">
        <f>D20</f>
        <v>3.7</v>
      </c>
      <c r="H20" s="2814">
        <v>4.5999999999999996</v>
      </c>
      <c r="I20" s="2819"/>
      <c r="J20" s="281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44550</v>
      </c>
      <c r="D21" s="2814">
        <v>3.8</v>
      </c>
      <c r="E21" s="2814">
        <f>D21</f>
        <v>3.8</v>
      </c>
      <c r="F21" s="2814">
        <f>D21</f>
        <v>3.8</v>
      </c>
      <c r="G21" s="2814">
        <f>D21</f>
        <v>3.8</v>
      </c>
      <c r="H21" s="2814">
        <v>4.6500000000000004</v>
      </c>
      <c r="I21" s="2814"/>
      <c r="J21" s="281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43941</v>
      </c>
      <c r="D22" s="2814">
        <v>3.85</v>
      </c>
      <c r="E22" s="2814">
        <v>3.85</v>
      </c>
      <c r="F22" s="2814">
        <v>3.85</v>
      </c>
      <c r="G22" s="2814">
        <v>3.85</v>
      </c>
      <c r="H22" s="2814">
        <v>4.6500000000000004</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4"/>
      <c r="C23" s="2815">
        <v>43881</v>
      </c>
      <c r="D23" s="2814">
        <v>4.05</v>
      </c>
      <c r="E23" s="2814">
        <v>4.05</v>
      </c>
      <c r="F23" s="2814">
        <v>4.05</v>
      </c>
      <c r="G23" s="2814">
        <v>4.05</v>
      </c>
      <c r="H23" s="2814">
        <v>4.75</v>
      </c>
      <c r="I23" s="2814"/>
      <c r="J23" s="281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4"/>
      <c r="C24" s="2815">
        <v>43789</v>
      </c>
      <c r="D24" s="2814">
        <v>4.1500000000000004</v>
      </c>
      <c r="E24" s="2814">
        <v>4.1500000000000004</v>
      </c>
      <c r="F24" s="2814">
        <v>4.1500000000000004</v>
      </c>
      <c r="G24" s="2814">
        <v>4.1500000000000004</v>
      </c>
      <c r="H24" s="2814">
        <v>4.8</v>
      </c>
      <c r="I24" s="2814"/>
      <c r="J24" s="281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4"/>
      <c r="C25" s="2815">
        <v>43728</v>
      </c>
      <c r="D25" s="2814">
        <v>4.2</v>
      </c>
      <c r="E25" s="2814">
        <v>4.2</v>
      </c>
      <c r="F25" s="2814">
        <v>4.2</v>
      </c>
      <c r="G25" s="2814">
        <v>4.2</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3" t="s">
        <v>2307</v>
      </c>
      <c r="C26" s="2816">
        <v>43697</v>
      </c>
      <c r="D26" s="2817">
        <v>4.25</v>
      </c>
      <c r="E26" s="2817">
        <v>4.25</v>
      </c>
      <c r="F26" s="2817">
        <v>4.25</v>
      </c>
      <c r="G26" s="2817">
        <v>4.25</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1"/>
      <c r="C27" s="2822">
        <v>42301</v>
      </c>
      <c r="D27" s="2823">
        <v>4.3499999999999996</v>
      </c>
      <c r="E27" s="2823">
        <v>4.3499999999999996</v>
      </c>
      <c r="F27" s="2823">
        <v>4.75</v>
      </c>
      <c r="G27" s="2823">
        <v>4.75</v>
      </c>
      <c r="H27" s="2823">
        <v>4.9000000000000004</v>
      </c>
      <c r="I27" s="2823"/>
      <c r="J27" s="2823"/>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30">
      <c r="A4" s="1505" t="str">
        <f>项目基本情况!S2</f>
        <v>北京市顺义区汇海南路6号院25号楼-2至10层101房地产</v>
      </c>
      <c r="B4" s="854">
        <f>项目基本情况!C17</f>
        <v>16295.3</v>
      </c>
      <c r="C4" s="854">
        <f>项目基本情况!C18</f>
        <v>0</v>
      </c>
      <c r="D4" s="854" t="e">
        <f ca="1">结果表!D118</f>
        <v>#REF!</v>
      </c>
      <c r="E4" s="854" t="e">
        <f ca="1">结果表!E118</f>
        <v>#REF!</v>
      </c>
      <c r="F4" s="854" t="e">
        <f ca="1">结果表!F118</f>
        <v>#REF!</v>
      </c>
      <c r="G4" s="854" t="e">
        <f ca="1">结果表!G118</f>
        <v>#REF!</v>
      </c>
      <c r="H4" s="854">
        <f ca="1">结果表!H118</f>
        <v>28106</v>
      </c>
      <c r="I4" s="854">
        <f ca="1">结果表!I118</f>
        <v>17248</v>
      </c>
    </row>
    <row r="5" spans="1:9" ht="30" customHeight="1">
      <c r="A5" s="3466" t="s">
        <v>927</v>
      </c>
      <c r="B5" s="3466"/>
      <c r="C5" s="3466"/>
      <c r="D5" s="3466" t="e">
        <f ca="1">结果表!D119</f>
        <v>#REF!</v>
      </c>
      <c r="E5" s="3466"/>
      <c r="F5" s="3466" t="e">
        <f ca="1">结果表!F119</f>
        <v>#REF!</v>
      </c>
      <c r="G5" s="3466"/>
      <c r="H5" s="3466" t="str">
        <f ca="1">结果表!H119</f>
        <v>贰亿捌仟壹佰零陆万元整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28106</v>
      </c>
      <c r="E8" s="3467"/>
      <c r="F8" s="3467"/>
      <c r="G8" s="3467"/>
      <c r="H8" s="3467"/>
      <c r="I8" s="3467"/>
    </row>
    <row r="9" spans="1:9" ht="15">
      <c r="A9" s="3466" t="s">
        <v>927</v>
      </c>
      <c r="B9" s="3466"/>
      <c r="C9" s="3466"/>
      <c r="D9" s="3466" t="str">
        <f ca="1">结果表!D123</f>
        <v>贰亿捌仟壹佰零陆万元整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45603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2024-11-07T06:54:19Z</dcterms:modified>
</cp:coreProperties>
</file>