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537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68"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土地案例" sheetId="70" r:id="rId42"/>
    <sheet name="土地案例 (自来水)" sheetId="71" r:id="rId43"/>
    <sheet name="Sheet2" sheetId="69"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42" hidden="1">'土地案例 (自来水)'!$A$3:$K$32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'[2]不动产比较法-办公'!$B$119:$M$119</definedName>
    <definedName name="办公层高" localSheetId="41">'[3]不动产比较法-办公'!$B$119:$M$119</definedName>
    <definedName name="办公层高" localSheetId="42">'[4]不动产比较法-办公'!$B$119:$M$119</definedName>
    <definedName name="办公层高">'不动产比较法-办公'!$B$119:$M$119</definedName>
    <definedName name="办公朝向" localSheetId="18">'[2]不动产比较法-办公'!$B$91:$M$91</definedName>
    <definedName name="办公朝向" localSheetId="41">'[3]不动产比较法-办公'!$B$91:$M$91</definedName>
    <definedName name="办公朝向" localSheetId="42">'[4]不动产比较法-办公'!$B$91:$M$91</definedName>
    <definedName name="办公朝向">'不动产比较法-办公'!$B$91:$M$91</definedName>
    <definedName name="办公道路级别" localSheetId="18">'[2]不动产比较法-办公'!$B$87:$M$87</definedName>
    <definedName name="办公道路级别" localSheetId="41">'[3]不动产比较法-办公'!$B$87:$M$87</definedName>
    <definedName name="办公道路级别" localSheetId="42">'[4]不动产比较法-办公'!$B$87:$M$87</definedName>
    <definedName name="办公道路级别">'不动产比较法-办公'!$B$87:$M$87</definedName>
    <definedName name="办公公共部分装修" localSheetId="18">'[2]不动产比较法-办公'!$B$108:$M$108</definedName>
    <definedName name="办公公共部分装修" localSheetId="41">'[3]不动产比较法-办公'!$B$108:$M$108</definedName>
    <definedName name="办公公共部分装修" localSheetId="42">'[4]不动产比较法-办公'!$B$108:$M$108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1">'[3]不动产比较法-办公'!$B$117:$M$117</definedName>
    <definedName name="办公基础设施水平" localSheetId="42">'[4]不动产比较法-办公'!$B$117:$M$117</definedName>
    <definedName name="办公基础设施水平">'不动产比较法-办公'!$B$117:$M$117</definedName>
    <definedName name="办公集聚程度" localSheetId="18">[2]定义!$M$1:$M$6</definedName>
    <definedName name="办公集聚程度" localSheetId="41">[3]定义!$M$1:$M$6</definedName>
    <definedName name="办公集聚程度" localSheetId="42">[4]定义!$M$1:$M$6</definedName>
    <definedName name="办公集聚程度">定义!$M$1:$M$6</definedName>
    <definedName name="办公建筑结构" localSheetId="18">'[2]不动产比较法-办公'!$B$106:$M$106</definedName>
    <definedName name="办公建筑结构" localSheetId="41">'[3]不动产比较法-办公'!$B$106:$M$106</definedName>
    <definedName name="办公建筑结构" localSheetId="42">'[4]不动产比较法-办公'!$B$106:$M$106</definedName>
    <definedName name="办公建筑结构">'不动产比较法-办公'!$B$106:$M$106</definedName>
    <definedName name="办公建筑类型" localSheetId="18">'[2]不动产比较法-办公'!$B$101:$M$101</definedName>
    <definedName name="办公建筑类型" localSheetId="41">'[3]不动产比较法-办公'!$B$101:$M$101</definedName>
    <definedName name="办公建筑类型" localSheetId="42">'[4]不动产比较法-办公'!$B$101:$M$101</definedName>
    <definedName name="办公建筑类型">'不动产比较法-办公'!$B$101:$M$101</definedName>
    <definedName name="办公交易情况" localSheetId="18">'[2]不动产比较法-办公'!$A$62:$M$62</definedName>
    <definedName name="办公交易情况" localSheetId="41">'[3]不动产比较法-办公'!$A$62:$M$62</definedName>
    <definedName name="办公交易情况" localSheetId="42">'[4]不动产比较法-办公'!$A$62:$M$62</definedName>
    <definedName name="办公交易情况">'不动产比较法-办公'!$A$62:$M$62</definedName>
    <definedName name="办公楼层" localSheetId="18">'[2]不动产比较法-办公'!$B$89:$M$89</definedName>
    <definedName name="办公楼层" localSheetId="41">'[3]不动产比较法-办公'!$B$89:$M$89</definedName>
    <definedName name="办公楼层" localSheetId="42">'[4]不动产比较法-办公'!$B$89:$M$89</definedName>
    <definedName name="办公楼层">'不动产比较法-办公'!$B$89:$M$89</definedName>
    <definedName name="办公内部装修" localSheetId="18">'[2]不动产比较法-办公'!$B$123:$M$123</definedName>
    <definedName name="办公内部装修" localSheetId="41">'[3]不动产比较法-办公'!$B$123:$M$123</definedName>
    <definedName name="办公内部装修" localSheetId="42">'[4]不动产比较法-办公'!$B$123:$M$123</definedName>
    <definedName name="办公内部装修">'不动产比较法-办公'!$B$123:$M$123</definedName>
    <definedName name="办公物业管理" localSheetId="18">'[2]不动产比较法-办公'!$B$115:$M$115</definedName>
    <definedName name="办公物业管理" localSheetId="41">'[3]不动产比较法-办公'!$B$115:$M$115</definedName>
    <definedName name="办公物业管理" localSheetId="42">'[4]不动产比较法-办公'!$B$115:$M$115</definedName>
    <definedName name="办公物业管理">'不动产比较法-办公'!$B$115:$M$115</definedName>
    <definedName name="办公用途" localSheetId="18">'[2]不动产比较法-办公'!$B$64:$M$64</definedName>
    <definedName name="办公用途" localSheetId="41">'[3]不动产比较法-办公'!$B$64:$M$64</definedName>
    <definedName name="办公用途" localSheetId="42">'[4]不动产比较法-办公'!$B$64:$M$64</definedName>
    <definedName name="办公用途">'不动产比较法-办公'!$B$64:$M$64</definedName>
    <definedName name="仓储公共部分装修" localSheetId="18">'[2]不动产比较法-仓储'!$B$77:$M$77</definedName>
    <definedName name="仓储公共部分装修" localSheetId="41">'[3]不动产比较法-仓储'!$B$77:$M$77</definedName>
    <definedName name="仓储公共部分装修" localSheetId="42">'[4]不动产比较法-仓储'!$B$77:$M$77</definedName>
    <definedName name="仓储公共部分装修">'不动产比较法-仓储'!$B$77:$M$77</definedName>
    <definedName name="仓储交易情况" localSheetId="18">'[2]不动产比较法-仓储'!$A$49:$M$49</definedName>
    <definedName name="仓储交易情况" localSheetId="41">'[3]不动产比较法-仓储'!$A$49:$M$49</definedName>
    <definedName name="仓储交易情况" localSheetId="42">'[4]不动产比较法-仓储'!$A$49:$M$49</definedName>
    <definedName name="仓储交易情况">'不动产比较法-仓储'!$A$49:$M$49</definedName>
    <definedName name="仓储楼层" localSheetId="18">'[2]不动产比较法-仓储'!$B$69:$M$69</definedName>
    <definedName name="仓储楼层" localSheetId="41">'[3]不动产比较法-仓储'!$B$69:$M$69</definedName>
    <definedName name="仓储楼层" localSheetId="42">'[4]不动产比较法-仓储'!$B$69:$M$69</definedName>
    <definedName name="仓储楼层">'不动产比较法-仓储'!$B$69:$M$69</definedName>
    <definedName name="仓储物业等级" localSheetId="18">'[2]不动产比较法-仓储'!$B$82:$M$82</definedName>
    <definedName name="仓储物业等级" localSheetId="41">'[3]不动产比较法-仓储'!$B$82:$M$82</definedName>
    <definedName name="仓储物业等级" localSheetId="42">'[4]不动产比较法-仓储'!$B$82:$M$82</definedName>
    <definedName name="仓储物业等级">'不动产比较法-仓储'!$B$82:$M$82</definedName>
    <definedName name="仓储用途" localSheetId="18">'[2]不动产比较法-仓储'!$B$51:$M$51</definedName>
    <definedName name="仓储用途" localSheetId="41">'[3]不动产比较法-仓储'!$B$51:$M$51</definedName>
    <definedName name="仓储用途" localSheetId="42">'[4]不动产比较法-仓储'!$B$51:$M$51</definedName>
    <definedName name="仓储用途">'不动产比较法-仓储'!$B$51:$M$51</definedName>
    <definedName name="产业集聚程度" localSheetId="18">[2]定义!$N$1:$N$6</definedName>
    <definedName name="产业集聚程度" localSheetId="41">[3]定义!$N$1:$N$6</definedName>
    <definedName name="产业集聚程度" localSheetId="42">[4]定义!$N$1:$N$6</definedName>
    <definedName name="产业集聚程度">定义!$N$1:$N$6</definedName>
    <definedName name="车位公共部分装修" localSheetId="18">'[2]不动产比较法-车位'!$B$83:$M$83</definedName>
    <definedName name="车位公共部分装修" localSheetId="41">'[3]不动产比较法-车位'!$B$83:$M$83</definedName>
    <definedName name="车位公共部分装修" localSheetId="42">'[4]不动产比较法-车位'!$B$83:$M$83</definedName>
    <definedName name="车位公共部分装修">'不动产比较法-车位'!$B$83:$M$83</definedName>
    <definedName name="车位交易情况" localSheetId="18">'[2]不动产比较法-车位'!$A$51:$M$51</definedName>
    <definedName name="车位交易情况" localSheetId="41">'[3]不动产比较法-车位'!$A$51:$M$51</definedName>
    <definedName name="车位交易情况" localSheetId="42">'[4]不动产比较法-车位'!$A$51:$M$51</definedName>
    <definedName name="车位交易情况">'不动产比较法-车位'!$A$51:$M$51</definedName>
    <definedName name="车位类型" localSheetId="18">'[2]不动产比较法-车位'!$B$93:$M$93</definedName>
    <definedName name="车位类型" localSheetId="41">'[3]不动产比较法-车位'!$B$93:$M$93</definedName>
    <definedName name="车位类型" localSheetId="42">'[4]不动产比较法-车位'!$B$93:$M$93</definedName>
    <definedName name="车位类型">'不动产比较法-车位'!$B$93:$M$93</definedName>
    <definedName name="车位楼层" localSheetId="18">'[2]不动产比较法-车位'!$B$71:$M$71</definedName>
    <definedName name="车位楼层" localSheetId="41">'[3]不动产比较法-车位'!$B$71:$M$71</definedName>
    <definedName name="车位楼层" localSheetId="42">'[4]不动产比较法-车位'!$B$71:$M$71</definedName>
    <definedName name="车位楼层">'不动产比较法-车位'!$B$71:$M$71</definedName>
    <definedName name="车位配套类型" localSheetId="18">'[2]不动产比较法-车位'!$B$79:$M$79</definedName>
    <definedName name="车位配套类型" localSheetId="41">'[3]不动产比较法-车位'!$B$79:$M$79</definedName>
    <definedName name="车位配套类型" localSheetId="42">'[4]不动产比较法-车位'!$B$79:$M$79</definedName>
    <definedName name="车位配套类型">'不动产比较法-车位'!$B$79:$M$79</definedName>
    <definedName name="车位物业等级" localSheetId="18">'[2]不动产比较法-车位'!$B$88:$M$88</definedName>
    <definedName name="车位物业等级" localSheetId="41">'[3]不动产比较法-车位'!$B$88:$M$88</definedName>
    <definedName name="车位物业等级" localSheetId="42">'[4]不动产比较法-车位'!$B$88:$M$88</definedName>
    <definedName name="车位物业等级">'不动产比较法-车位'!$B$88:$M$88</definedName>
    <definedName name="车位用途" localSheetId="18">'[2]不动产比较法-车位'!$B$53:$M$53</definedName>
    <definedName name="车位用途" localSheetId="41">'[3]不动产比较法-车位'!$B$53:$M$53</definedName>
    <definedName name="车位用途" localSheetId="42">'[4]不动产比较法-车位'!$B$53:$M$53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1">'[3]数据-取费表'!$A$53:$A$63</definedName>
    <definedName name="城镇土地纳税等级分级范围" localSheetId="42">'[4]数据-取费表'!$A$53:$A$63</definedName>
    <definedName name="城镇土地纳税等级分级范围">'数据-取费表'!$A$53:$A$63</definedName>
    <definedName name="单价内涵" localSheetId="18">[2]定义!$V$1:$V$3</definedName>
    <definedName name="单价内涵" localSheetId="41">[3]定义!$V$1:$V$3</definedName>
    <definedName name="单价内涵" localSheetId="42">[4]定义!$V$1:$V$3</definedName>
    <definedName name="单价内涵">定义!$V$1:$V$3</definedName>
    <definedName name="地类判定" localSheetId="18">[2]定义!$H$1:$H$9</definedName>
    <definedName name="地类判定" localSheetId="41">[3]定义!$H$1:$H$9</definedName>
    <definedName name="地类判定" localSheetId="42">[4]定义!$H$1:$H$9</definedName>
    <definedName name="地类判定">定义!$H$1:$H$9</definedName>
    <definedName name="二级">区片价!$J$1:$J$20</definedName>
    <definedName name="二级分类" localSheetId="18">[2]修正!$C$17:$C$39</definedName>
    <definedName name="二级分类" localSheetId="41">[3]修正!$C$17:$C$39</definedName>
    <definedName name="二级分类" localSheetId="42">[4]修正!$C$17:$C$39</definedName>
    <definedName name="二级分类">修正!$C$17:$C$39</definedName>
    <definedName name="法定最高年限" localSheetId="18">[2]定义!$G$2:$G$4</definedName>
    <definedName name="法定最高年限" localSheetId="41">[3]定义!$G$2:$G$4</definedName>
    <definedName name="法定最高年限" localSheetId="42">[4]定义!$G$2:$G$4</definedName>
    <definedName name="法定最高年限">定义!$G$2:$G$4</definedName>
    <definedName name="工业公共部分装修" localSheetId="18">'[2]不动产比较法-工业'!$B$95:$M$95</definedName>
    <definedName name="工业公共部分装修" localSheetId="41">'[3]不动产比较法-工业'!$B$95:$M$95</definedName>
    <definedName name="工业公共部分装修" localSheetId="42">'[4]不动产比较法-工业'!$B$95:$M$95</definedName>
    <definedName name="工业公共部分装修">'不动产比较法-工业'!$B$95:$M$95</definedName>
    <definedName name="工业基础设施水平" localSheetId="18">'[2]不动产比较法-工业'!$B$102:$M$102</definedName>
    <definedName name="工业基础设施水平" localSheetId="41">'[3]不动产比较法-工业'!$B$102:$M$102</definedName>
    <definedName name="工业基础设施水平" localSheetId="42">'[4]不动产比较法-工业'!$B$102:$M$102</definedName>
    <definedName name="工业基础设施水平">'不动产比较法-工业'!$B$102:$M$102</definedName>
    <definedName name="工业建筑结构" localSheetId="18">'[2]不动产比较法-工业'!$B$93:$M$93</definedName>
    <definedName name="工业建筑结构" localSheetId="41">'[3]不动产比较法-工业'!$B$93:$M$93</definedName>
    <definedName name="工业建筑结构" localSheetId="42">'[4]不动产比较法-工业'!$B$93:$M$93</definedName>
    <definedName name="工业建筑结构">'不动产比较法-工业'!$B$93:$M$93</definedName>
    <definedName name="工业建筑类型" localSheetId="18">'[2]不动产比较法-工业'!$B$88:$M$88</definedName>
    <definedName name="工业建筑类型" localSheetId="41">'[3]不动产比较法-工业'!$B$88:$M$88</definedName>
    <definedName name="工业建筑类型" localSheetId="42">'[4]不动产比较法-工业'!$B$88:$M$88</definedName>
    <definedName name="工业建筑类型">'不动产比较法-工业'!$B$88:$M$88</definedName>
    <definedName name="工业交易情况" localSheetId="18">'[2]不动产比较法-工业'!$A$55:$M$55</definedName>
    <definedName name="工业交易情况" localSheetId="41">'[3]不动产比较法-工业'!$A$55:$M$55</definedName>
    <definedName name="工业交易情况" localSheetId="42">'[4]不动产比较法-工业'!$A$55:$M$55</definedName>
    <definedName name="工业交易情况">'不动产比较法-工业'!$A$55:$M$55</definedName>
    <definedName name="工业内部装修" localSheetId="18">'[2]不动产比较法-工业'!$B$104:$M$104</definedName>
    <definedName name="工业内部装修" localSheetId="41">'[3]不动产比较法-工业'!$B$104:$M$104</definedName>
    <definedName name="工业内部装修" localSheetId="42">'[4]不动产比较法-工业'!$B$104:$M$104</definedName>
    <definedName name="工业内部装修">'不动产比较法-工业'!$B$104:$M$104</definedName>
    <definedName name="工业物业管理" localSheetId="18">'[2]不动产比较法-工业'!$B$100:$M$100</definedName>
    <definedName name="工业物业管理" localSheetId="41">'[3]不动产比较法-工业'!$B$100:$M$100</definedName>
    <definedName name="工业物业管理" localSheetId="42">'[4]不动产比较法-工业'!$B$100:$M$100</definedName>
    <definedName name="工业物业管理">'不动产比较法-工业'!$B$100:$M$100</definedName>
    <definedName name="工业用途" localSheetId="18">'[2]不动产比较法-工业'!$B$57:$M$57</definedName>
    <definedName name="工业用途" localSheetId="41">'[3]不动产比较法-工业'!$B$57:$M$57</definedName>
    <definedName name="工业用途" localSheetId="42">'[4]不动产比较法-工业'!$B$57:$M$57</definedName>
    <definedName name="工业用途">'不动产比较法-工业'!$B$57:$M$57</definedName>
    <definedName name="公共配套设施" localSheetId="18">[2]定义!$Q$1:$Q$6</definedName>
    <definedName name="公共配套设施" localSheetId="41">[3]定义!$Q$1:$Q$6</definedName>
    <definedName name="公共配套设施" localSheetId="42">[4]定义!$Q$1:$Q$6</definedName>
    <definedName name="公共配套设施">定义!$Q$1:$Q$6</definedName>
    <definedName name="公用设施及基础设施水平">[1]定义!$Q$1:$Q$6</definedName>
    <definedName name="估价方法" localSheetId="18">[2]定义!$B$1:$B$50</definedName>
    <definedName name="估价方法" localSheetId="41">[3]定义!$B$1:$B$50</definedName>
    <definedName name="估价方法" localSheetId="42">[4]定义!$B$1:$B$50</definedName>
    <definedName name="估价方法">定义!$B$1:$B$50</definedName>
    <definedName name="环境" localSheetId="18">[2]定义!$S$1:$S$6</definedName>
    <definedName name="环境" localSheetId="41">[3]定义!$S$1:$S$6</definedName>
    <definedName name="环境" localSheetId="42">[4]定义!$S$1:$S$6</definedName>
    <definedName name="环境">定义!$S$1:$S$6</definedName>
    <definedName name="基础设施水平" localSheetId="18">[2]定义!$R$1:$R$6</definedName>
    <definedName name="基础设施水平" localSheetId="41">[3]定义!$R$1:$R$6</definedName>
    <definedName name="基础设施水平" localSheetId="42">[4]定义!$R$1:$R$6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1">[3]定义!$B$54:$B$56</definedName>
    <definedName name="价值类型2" localSheetId="42">[4]定义!$B$54:$B$56</definedName>
    <definedName name="价值类型2">定义!$B$54:$B$56</definedName>
    <definedName name="交通便捷度" localSheetId="18">[2]定义!$O$1:$O$6</definedName>
    <definedName name="交通便捷度" localSheetId="41">[3]定义!$O$1:$O$6</definedName>
    <definedName name="交通便捷度" localSheetId="42">[4]定义!$O$1:$O$6</definedName>
    <definedName name="交通便捷度">定义!$O$1:$O$6</definedName>
    <definedName name="九级">区片价!$Q$1:$Q$46</definedName>
    <definedName name="居住社区成熟度" localSheetId="18">[2]定义!$K$1:$K$6</definedName>
    <definedName name="居住社区成熟度" localSheetId="41">[3]定义!$K$1:$K$6</definedName>
    <definedName name="居住社区成熟度" localSheetId="42">[4]定义!$K$1:$K$6</definedName>
    <definedName name="居住社区成熟度">定义!$K$1:$K$6</definedName>
    <definedName name="类别" localSheetId="18">[2]定义!$J$1:$J$3</definedName>
    <definedName name="类别" localSheetId="41">[3]定义!$J$1:$J$3</definedName>
    <definedName name="类别" localSheetId="42">[4]定义!$J$1:$J$3</definedName>
    <definedName name="类别">定义!$J$1:$J$3</definedName>
    <definedName name="临街状况" localSheetId="18">[2]定义!$T$1:$T$5</definedName>
    <definedName name="临街状况" localSheetId="41">[3]定义!$T$1:$T$5</definedName>
    <definedName name="临街状况" localSheetId="42">[4]定义!$T$1:$T$5</definedName>
    <definedName name="临街状况">定义!$T$1:$T$5</definedName>
    <definedName name="六级">区片价!$N$1:$N$49</definedName>
    <definedName name="内部装修维护情况" localSheetId="18">[2]定义!$U$1:$U$6</definedName>
    <definedName name="内部装修维护情况" localSheetId="41">[3]定义!$U$1:$U$6</definedName>
    <definedName name="内部装修维护情况" localSheetId="42">[4]定义!$U$1:$U$6</definedName>
    <definedName name="内部装修维护情况">定义!$U$1:$U$6</definedName>
    <definedName name="判定" localSheetId="18">[2]定义!$D$1:$D$4</definedName>
    <definedName name="判定" localSheetId="41">[3]定义!$D$1:$D$4</definedName>
    <definedName name="判定" localSheetId="42">[4]定义!$D$1:$D$4</definedName>
    <definedName name="判定">定义!$D$1:$D$4</definedName>
    <definedName name="七级">区片价!$O$1:$O$49</definedName>
    <definedName name="七通一平" localSheetId="18">[2]修正!$A$6:$A$14</definedName>
    <definedName name="七通一平" localSheetId="41">[3]修正!$A$6:$A$14</definedName>
    <definedName name="七通一平" localSheetId="42">[4]修正!$A$6:$A$14</definedName>
    <definedName name="七通一平">修正!$A$6:$A$14</definedName>
    <definedName name="区域土地利用方向" localSheetId="18">[2]定义!$P$1:$P$6</definedName>
    <definedName name="区域土地利用方向" localSheetId="41">[3]定义!$P$1:$P$6</definedName>
    <definedName name="区域土地利用方向" localSheetId="42">[4]定义!$P$1:$P$6</definedName>
    <definedName name="区域土地利用方向">定义!$P$1:$P$6</definedName>
    <definedName name="三级">区片价!$K$1:$K$21</definedName>
    <definedName name="商业层高" localSheetId="18">'[2]不动产比较法-商业'!$B$116:$M$116</definedName>
    <definedName name="商业层高" localSheetId="41">'[3]不动产比较法-商业'!$B$116:$M$116</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1">[3]定义!$L$1:$L$6</definedName>
    <definedName name="商业繁华度" localSheetId="42">[4]定义!$L$1:$L$6</definedName>
    <definedName name="商业繁华度">定义!$L$1:$L$6</definedName>
    <definedName name="商业公共部分装修" localSheetId="18">'[2]不动产比较法-商业'!$B$107:$M$107</definedName>
    <definedName name="商业公共部分装修" localSheetId="41">'[3]不动产比较法-商业'!$B$107:$M$107</definedName>
    <definedName name="商业公共部分装修" localSheetId="42">'[4]不动产比较法-商业'!$B$107:$M$107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1">'[3]不动产比较法-商业'!$B$112:$M$112</definedName>
    <definedName name="商业基础设施水平" localSheetId="42">'[4]不动产比较法-商业'!$B$112:$M$112</definedName>
    <definedName name="商业基础设施水平">'不动产比较法-商业'!$B$112:$M$112</definedName>
    <definedName name="商业建筑结构" localSheetId="18">'[2]不动产比较法-商业'!$B$105:$M$105</definedName>
    <definedName name="商业建筑结构" localSheetId="41">'[3]不动产比较法-商业'!$B$105:$M$105</definedName>
    <definedName name="商业建筑结构" localSheetId="42">'[4]不动产比较法-商业'!$B$105:$M$105</definedName>
    <definedName name="商业建筑结构">'不动产比较法-商业'!$B$105:$M$105</definedName>
    <definedName name="商业交易情况" localSheetId="18">'[2]不动产比较法-商业'!$A$61:$M$61</definedName>
    <definedName name="商业交易情况" localSheetId="41">'[3]不动产比较法-商业'!$A$61:$M$61</definedName>
    <definedName name="商业交易情况" localSheetId="42">'[4]不动产比较法-商业'!$A$61:$M$61</definedName>
    <definedName name="商业交易情况">'不动产比较法-商业'!$A$61:$M$61</definedName>
    <definedName name="商业街名称" localSheetId="18">[2]修正!$C$59:$C$119</definedName>
    <definedName name="商业街名称" localSheetId="41">[3]修正!$C$59:$C$119</definedName>
    <definedName name="商业街名称" localSheetId="42">[4]修正!$C$59:$C$119</definedName>
    <definedName name="商业街名称">修正!$C$59:$C$119</definedName>
    <definedName name="商业进深比" localSheetId="18">'[2]不动产比较法-商业'!$B$120:$M$120</definedName>
    <definedName name="商业进深比" localSheetId="41">'[3]不动产比较法-商业'!$B$120:$M$120</definedName>
    <definedName name="商业进深比" localSheetId="42">'[4]不动产比较法-商业'!$B$120:$M$120</definedName>
    <definedName name="商业进深比">'不动产比较法-商业'!$B$120:$M$120</definedName>
    <definedName name="商业类型" localSheetId="18">'[2]不动产比较法-商业'!$B$100:$M$100</definedName>
    <definedName name="商业类型" localSheetId="41">'[3]不动产比较法-商业'!$B$100:$M$100</definedName>
    <definedName name="商业类型" localSheetId="42">'[4]不动产比较法-商业'!$B$100:$M$100</definedName>
    <definedName name="商业类型">'不动产比较法-商业'!$B$100:$M$100</definedName>
    <definedName name="商业临街状况" localSheetId="18">'[2]不动产比较法-商业'!$B$86:$M$86</definedName>
    <definedName name="商业临街状况" localSheetId="41">'[3]不动产比较法-商业'!$B$86:$M$86</definedName>
    <definedName name="商业临街状况" localSheetId="42">'[4]不动产比较法-商业'!$B$86:$M$86</definedName>
    <definedName name="商业临街状况">'不动产比较法-商业'!$B$86:$M$86</definedName>
    <definedName name="商业楼层" localSheetId="18">'[2]不动产比较法-商业'!$B$92:$M$92</definedName>
    <definedName name="商业楼层" localSheetId="41">'[3]不动产比较法-商业'!$B$92:$M$92</definedName>
    <definedName name="商业楼层" localSheetId="42">'[4]不动产比较法-商业'!$B$92:$M$92</definedName>
    <definedName name="商业楼层">'不动产比较法-商业'!$B$92:$M$92</definedName>
    <definedName name="商业内部装修" localSheetId="18">'[2]不动产比较法-商业'!$B$122:$M$122</definedName>
    <definedName name="商业内部装修" localSheetId="41">'[3]不动产比较法-商业'!$B$122:$M$122</definedName>
    <definedName name="商业内部装修" localSheetId="42">'[4]不动产比较法-商业'!$B$122:$M$122</definedName>
    <definedName name="商业内部装修">'不动产比较法-商业'!$B$122:$M$122</definedName>
    <definedName name="商业人流量" localSheetId="18">'[2]不动产比较法-商业'!$B$90:$M$90</definedName>
    <definedName name="商业人流量" localSheetId="41">'[3]不动产比较法-商业'!$B$90:$M$90</definedName>
    <definedName name="商业人流量" localSheetId="42">'[4]不动产比较法-商业'!$B$90:$M$90</definedName>
    <definedName name="商业人流量">'不动产比较法-商业'!$B$90:$M$90</definedName>
    <definedName name="商业业态" localSheetId="18">'[2]不动产比较法-商业'!$B$114:$M$114</definedName>
    <definedName name="商业业态" localSheetId="41">'[3]不动产比较法-商业'!$B$114:$M$114</definedName>
    <definedName name="商业业态" localSheetId="42">'[4]不动产比较法-商业'!$B$114:$M$114</definedName>
    <definedName name="商业业态">'不动产比较法-商业'!$B$114:$M$114</definedName>
    <definedName name="商业用途" localSheetId="18">'[2]不动产比较法-商业'!$B$63:$M$63</definedName>
    <definedName name="商业用途" localSheetId="41">'[3]不动产比较法-商业'!$B$63:$M$63</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1">'[3]不动产比较法-仓储'!$B$89:$M$89</definedName>
    <definedName name="是否封闭" localSheetId="42">'[4]不动产比较法-仓储'!$B$89:$M$89</definedName>
    <definedName name="是否封闭">'不动产比较法-仓储'!$B$89:$M$89</definedName>
    <definedName name="是否直接入户" localSheetId="18">'[2]不动产比较法-车位'!$B$95:$M$95</definedName>
    <definedName name="是否直接入户" localSheetId="41">'[3]不动产比较法-车位'!$B$95:$M$95</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1">'[3]比较法-工业'!$B$116:$M$116</definedName>
    <definedName name="套工工程地质条件" localSheetId="42">'[4]比较法-工业'!$B$116:$M$116</definedName>
    <definedName name="套工工程地质条件">'比较法-工业'!$B$116:$M$116</definedName>
    <definedName name="套工交易情况" localSheetId="18">'[2]比较法-住宅、综合'!$A$75:$M$75</definedName>
    <definedName name="套工交易情况" localSheetId="41">'[3]比较法-住宅、综合'!$A$75:$M$75</definedName>
    <definedName name="套工交易情况" localSheetId="42">'[4]比较法-住宅、综合'!$A$75:$M$75</definedName>
    <definedName name="套工交易情况">'比较法-住宅、综合'!$A$75:$M$75</definedName>
    <definedName name="套工开发程度" localSheetId="18">'[2]比较法-工业'!$B$114:$M$114</definedName>
    <definedName name="套工开发程度" localSheetId="41">'[3]比较法-工业'!$B$114:$M$114</definedName>
    <definedName name="套工开发程度" localSheetId="42">'[4]比较法-工业'!$B$114:$M$114</definedName>
    <definedName name="套工开发程度">'比较法-工业'!$B$114:$M$114</definedName>
    <definedName name="套工临街等级" localSheetId="18">'[2]比较法-工业'!$B$99:$M$99</definedName>
    <definedName name="套工临街等级" localSheetId="41">'[3]比较法-工业'!$B$99:$M$99</definedName>
    <definedName name="套工临街等级" localSheetId="42">'[4]比较法-工业'!$B$99:$M$99</definedName>
    <definedName name="套工临街等级">'比较法-工业'!$B$99:$M$99</definedName>
    <definedName name="套工土地级别" localSheetId="18">'[2]比较法-工业'!$B$101:$M$101</definedName>
    <definedName name="套工土地级别" localSheetId="41">'[3]比较法-工业'!$B$101:$M$101</definedName>
    <definedName name="套工土地级别" localSheetId="42">'[4]比较法-工业'!$B$101:$M$101</definedName>
    <definedName name="套工土地级别">'比较法-工业'!$B$101:$M$101</definedName>
    <definedName name="套工用途" localSheetId="18">'[2]比较法-工业'!$B$72:$M$72</definedName>
    <definedName name="套工用途" localSheetId="41">'[3]比较法-工业'!$B$72:$M$72</definedName>
    <definedName name="套工用途" localSheetId="42">'[4]比较法-工业'!$B$72:$M$72</definedName>
    <definedName name="套工用途">'比较法-工业'!$B$72:$M$72</definedName>
    <definedName name="套工宗地形状" localSheetId="18">'[2]比较法-工业'!$B$112:$M$112</definedName>
    <definedName name="套工宗地形状" localSheetId="41">'[3]比较法-工业'!$B$112:$M$112</definedName>
    <definedName name="套工宗地形状" localSheetId="42">'[4]比较法-工业'!$B$112:$M$112</definedName>
    <definedName name="套工宗地形状">'比较法-工业'!$B$112:$M$112</definedName>
    <definedName name="套综道路等级" localSheetId="18">'[2]比较法-住宅、综合'!$B$108:$M$108</definedName>
    <definedName name="套综道路等级" localSheetId="41">'[3]比较法-住宅、综合'!$B$108:$M$108</definedName>
    <definedName name="套综道路等级" localSheetId="42">'[4]比较法-住宅、综合'!$B$108:$M$108</definedName>
    <definedName name="套综道路等级">'比较法-住宅、综合'!$B$108:$M$108</definedName>
    <definedName name="套综工程地质条件" localSheetId="18">'[2]比较法-住宅、综合'!$B$127:$M$127</definedName>
    <definedName name="套综工程地质条件" localSheetId="41">'[3]比较法-住宅、综合'!$B$127:$M$127</definedName>
    <definedName name="套综工程地质条件" localSheetId="42">'[4]比较法-住宅、综合'!$B$127:$M$127</definedName>
    <definedName name="套综工程地质条件">'比较法-住宅、综合'!$B$127:$M$127</definedName>
    <definedName name="套综交易情况" localSheetId="18">'[2]比较法-住宅、综合'!$A$75:$M$75</definedName>
    <definedName name="套综交易情况" localSheetId="41">'[3]比较法-住宅、综合'!$A$75:$M$75</definedName>
    <definedName name="套综交易情况" localSheetId="42">'[4]比较法-住宅、综合'!$A$75:$M$75</definedName>
    <definedName name="套综交易情况">'比较法-住宅、综合'!$A$75:$M$75</definedName>
    <definedName name="套综临街宽度及深度" localSheetId="18">'[2]比较法-住宅、综合'!$B$123:$M$123</definedName>
    <definedName name="套综临街宽度及深度" localSheetId="41">'[3]比较法-住宅、综合'!$B$123:$M$123</definedName>
    <definedName name="套综临街宽度及深度" localSheetId="42">'[4]比较法-住宅、综合'!$B$123:$M$123</definedName>
    <definedName name="套综临街宽度及深度">'比较法-住宅、综合'!$B$123:$M$123</definedName>
    <definedName name="套综土地级别" localSheetId="18">'[2]比较法-住宅、综合'!$B$110:$M$110</definedName>
    <definedName name="套综土地级别" localSheetId="41">'[3]比较法-住宅、综合'!$B$110:$M$110</definedName>
    <definedName name="套综土地级别" localSheetId="42">'[4]比较法-住宅、综合'!$B$110:$M$110</definedName>
    <definedName name="套综土地级别">'比较法-住宅、综合'!$B$110:$M$110</definedName>
    <definedName name="套综用途" localSheetId="18">'[2]比较法-住宅、综合'!$B$77:$M$77</definedName>
    <definedName name="套综用途" localSheetId="41">'[3]比较法-住宅、综合'!$B$77:$M$77</definedName>
    <definedName name="套综用途" localSheetId="42">'[4]比较法-住宅、综合'!$B$77:$M$77</definedName>
    <definedName name="套综用途">'比较法-住宅、综合'!$B$77:$M$77</definedName>
    <definedName name="套综宗地内开发程度" localSheetId="18">'[2]比较法-住宅、综合'!$B$125:$M$125</definedName>
    <definedName name="套综宗地内开发程度" localSheetId="41">'[3]比较法-住宅、综合'!$B$125:$M$125</definedName>
    <definedName name="套综宗地内开发程度" localSheetId="42">'[4]比较法-住宅、综合'!$B$125:$M$125</definedName>
    <definedName name="套综宗地内开发程度">'比较法-住宅、综合'!$B$125:$M$125</definedName>
    <definedName name="套综宗地形状" localSheetId="18">'[2]比较法-住宅、综合'!$B$121:$M$121</definedName>
    <definedName name="套综宗地形状" localSheetId="41">'[3]比较法-住宅、综合'!$B$121:$M$121</definedName>
    <definedName name="套综宗地形状" localSheetId="42">'[4]比较法-住宅、综合'!$B$121:$M$121</definedName>
    <definedName name="套综宗地形状">'比较法-住宅、综合'!$B$121:$M$121</definedName>
    <definedName name="土地估价师" localSheetId="18">[2]估价师及机构信息!$D$3:$D$24</definedName>
    <definedName name="土地估价师" localSheetId="41">[3]估价师及机构信息!$D$3:$D$24</definedName>
    <definedName name="土地估价师" localSheetId="42">[4]估价师及机构信息!$D$3:$D$24</definedName>
    <definedName name="土地估价师">估价师及机构信息!$D$3:$D$16</definedName>
    <definedName name="土地级别" localSheetId="18">[2]定义!$C$1:$C$14</definedName>
    <definedName name="土地级别" localSheetId="41">[3]定义!$C$1:$C$14</definedName>
    <definedName name="土地级别" localSheetId="42">[4]定义!$C$1:$C$14</definedName>
    <definedName name="土地级别">定义!$C$1:$C$14</definedName>
    <definedName name="土地利用方向">定义!$P$1:$P$6</definedName>
    <definedName name="土地年限区间" localSheetId="18">[2]定义!$I$1:$I$8</definedName>
    <definedName name="土地年限区间" localSheetId="41">[3]定义!$I$1:$I$8</definedName>
    <definedName name="土地年限区间" localSheetId="42">[4]定义!$I$1:$I$8</definedName>
    <definedName name="土地年限区间">定义!$I$1:$I$8</definedName>
    <definedName name="位置" localSheetId="18">[2]定义!$E$2:$E$4</definedName>
    <definedName name="位置" localSheetId="41">[3]定义!$E$2:$E$4</definedName>
    <definedName name="位置" localSheetId="42">[4]定义!$E$2:$E$4</definedName>
    <definedName name="位置">定义!$E$2:$E$4</definedName>
    <definedName name="五等判定" localSheetId="18">[2]定义!$W$1:$W$6</definedName>
    <definedName name="五等判定" localSheetId="41">[3]定义!$W$1:$W$6</definedName>
    <definedName name="五等判定" localSheetId="42">[4]定义!$W$1:$W$6</definedName>
    <definedName name="五等判定">定义!$W$1:$W$6</definedName>
    <definedName name="五级">区片价!$M$1:$M$35</definedName>
    <definedName name="项目类型" localSheetId="18">'[2]数据-汇总表'!$C$17:$C$26</definedName>
    <definedName name="项目类型" localSheetId="41">'[3]数据-汇总表'!$C$17:$C$26</definedName>
    <definedName name="项目类型" localSheetId="42">'[4]数据-汇总表'!$C$17:$C$26</definedName>
    <definedName name="项目类型">'数据-汇总表'!$C$17:$C$26</definedName>
    <definedName name="写字楼等级" localSheetId="18">'[2]不动产比较法-办公'!$B$113:$M$113</definedName>
    <definedName name="写字楼等级" localSheetId="41">'[3]不动产比较法-办公'!$B$113:$M$113</definedName>
    <definedName name="写字楼等级" localSheetId="42">'[4]不动产比较法-办公'!$B$113:$M$113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1">[3]典型户型修正!$5:$5</definedName>
    <definedName name="一修多修正项2" localSheetId="42">[4]典型户型修正!$5:$5</definedName>
    <definedName name="一修多修正项2">典型户型修正!$5:$5</definedName>
    <definedName name="一修多修正项3" localSheetId="18">[2]典型户型修正!$7:$7</definedName>
    <definedName name="一修多修正项3" localSheetId="41">[3]典型户型修正!$7:$7</definedName>
    <definedName name="一修多修正项3" localSheetId="42">[4]典型户型修正!$7:$7</definedName>
    <definedName name="一修多修正项3">典型户型修正!$7:$7</definedName>
    <definedName name="一修多修正项4" localSheetId="18">[2]典型户型修正!$9:$9</definedName>
    <definedName name="一修多修正项4" localSheetId="41">[3]典型户型修正!$9:$9</definedName>
    <definedName name="一修多修正项4" localSheetId="42">[4]典型户型修正!$9:$9</definedName>
    <definedName name="一修多修正项4">典型户型修正!$9:$9</definedName>
    <definedName name="一修多修正项5" localSheetId="18">[2]典型户型修正!$11:$11</definedName>
    <definedName name="一修多修正项5" localSheetId="41">[3]典型户型修正!$11:$11</definedName>
    <definedName name="一修多修正项5" localSheetId="42">[4]典型户型修正!$11:$11</definedName>
    <definedName name="一修多修正项5">典型户型修正!$11:$11</definedName>
    <definedName name="一修多修正项6" localSheetId="18">[2]典型户型修正!$13:$13</definedName>
    <definedName name="一修多修正项6" localSheetId="41">[3]典型户型修正!$13:$13</definedName>
    <definedName name="一修多修正项6" localSheetId="42">[4]典型户型修正!$13:$13</definedName>
    <definedName name="一修多修正项6">典型户型修正!$13:$13</definedName>
    <definedName name="一修多修正项7" localSheetId="18">[2]典型户型修正!$15:$15</definedName>
    <definedName name="一修多修正项7" localSheetId="41">[3]典型户型修正!$15:$15</definedName>
    <definedName name="一修多修正项7" localSheetId="42">[4]典型户型修正!$15:$15</definedName>
    <definedName name="一修多修正项7">典型户型修正!$15:$15</definedName>
    <definedName name="一修多修正项8" localSheetId="18">[2]典型户型修正!$17:$17</definedName>
    <definedName name="一修多修正项8" localSheetId="41">[3]典型户型修正!$17:$17</definedName>
    <definedName name="一修多修正项8" localSheetId="42">[4]典型户型修正!$17:$17</definedName>
    <definedName name="一修多修正项8">典型户型修正!$17:$17</definedName>
    <definedName name="用途类型" localSheetId="18">[2]定义!$A$1:$A$50</definedName>
    <definedName name="用途类型" localSheetId="41">[3]定义!$A$1:$A$50</definedName>
    <definedName name="用途类型" localSheetId="42">[4]定义!$A$1:$A$50</definedName>
    <definedName name="用途类型">定义!$A$1:$A$50</definedName>
    <definedName name="有无电梯" localSheetId="18">'[2]不动产比较法-仓储'!$B$84:$M$84</definedName>
    <definedName name="有无电梯" localSheetId="41">'[3]不动产比较法-仓储'!$B$84:$M$84</definedName>
    <definedName name="有无电梯" localSheetId="42">'[4]不动产比较法-仓储'!$B$84:$M$84</definedName>
    <definedName name="有无电梯">'不动产比较法-仓储'!$B$84:$M$84</definedName>
    <definedName name="主用途" localSheetId="18">[2]定义!$F$1:$F$10</definedName>
    <definedName name="主用途" localSheetId="41">[3]定义!$F$1:$F$10</definedName>
    <definedName name="主用途" localSheetId="42">[4]定义!$F$1:$F$10</definedName>
    <definedName name="主用途">定义!$F$1:$F$10</definedName>
    <definedName name="住宅朝向" localSheetId="18">'[2]不动产比较法-住宅'!$B$88:$M$88</definedName>
    <definedName name="住宅朝向" localSheetId="41">'[3]不动产比较法-住宅'!$B$88:$M$88</definedName>
    <definedName name="住宅朝向" localSheetId="42">'[4]不动产比较法-住宅'!$B$88:$M$88</definedName>
    <definedName name="住宅朝向">'不动产比较法-住宅'!$B$88:$M$88</definedName>
    <definedName name="住宅房型" localSheetId="18">'[2]不动产比较法-住宅'!$B$118:$M$118</definedName>
    <definedName name="住宅房型" localSheetId="41">'[3]不动产比较法-住宅'!$B$118:$M$118</definedName>
    <definedName name="住宅房型" localSheetId="42">'[4]不动产比较法-住宅'!$B$118:$M$118</definedName>
    <definedName name="住宅房型">'不动产比较法-住宅'!$B$118:$M$118</definedName>
    <definedName name="住宅公共部分装修" localSheetId="18">'[2]不动产比较法-住宅'!$B$109:$M$109</definedName>
    <definedName name="住宅公共部分装修" localSheetId="41">'[3]不动产比较法-住宅'!$B$109:$M$109</definedName>
    <definedName name="住宅公共部分装修" localSheetId="42">'[4]不动产比较法-住宅'!$B$109:$M$109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1">'[3]不动产比较法-住宅'!$B$116:$M$116</definedName>
    <definedName name="住宅基础设施水平" localSheetId="42">'[4]不动产比较法-住宅'!$B$116:$M$116</definedName>
    <definedName name="住宅基础设施水平">'不动产比较法-住宅'!$B$116:$M$116</definedName>
    <definedName name="住宅建筑结构" localSheetId="18">'[2]不动产比较法-住宅'!$B$105:$M$105</definedName>
    <definedName name="住宅建筑结构" localSheetId="41">'[3]不动产比较法-住宅'!$B$105:$M$105</definedName>
    <definedName name="住宅建筑结构" localSheetId="42">'[4]不动产比较法-住宅'!$B$105:$M$105</definedName>
    <definedName name="住宅建筑结构">'不动产比较法-住宅'!$B$105:$M$105</definedName>
    <definedName name="住宅建筑类型" localSheetId="18">'[2]不动产比较法-住宅'!$B$100:$M$100</definedName>
    <definedName name="住宅建筑类型" localSheetId="41">'[3]不动产比较法-住宅'!$B$100:$M$100</definedName>
    <definedName name="住宅建筑类型" localSheetId="42">'[4]不动产比较法-住宅'!$B$100:$M$100</definedName>
    <definedName name="住宅建筑类型">'不动产比较法-住宅'!$B$100:$M$100</definedName>
    <definedName name="住宅建筑品质" localSheetId="18">'[2]不动产比较法-住宅'!$B$107:$M$107</definedName>
    <definedName name="住宅建筑品质" localSheetId="41">'[3]不动产比较法-住宅'!$B$107:$M$107</definedName>
    <definedName name="住宅建筑品质" localSheetId="42">'[4]不动产比较法-住宅'!$B$107:$M$107</definedName>
    <definedName name="住宅建筑品质">'不动产比较法-住宅'!$B$107:$M$107</definedName>
    <definedName name="住宅交易情况" localSheetId="18">'[2]不动产比较法-住宅'!$A$61:$M$61</definedName>
    <definedName name="住宅交易情况" localSheetId="41">'[3]不动产比较法-住宅'!$A$61:$M$61</definedName>
    <definedName name="住宅交易情况" localSheetId="42">'[4]不动产比较法-住宅'!$A$61:$M$61</definedName>
    <definedName name="住宅交易情况">'不动产比较法-住宅'!$A$61:$M$61</definedName>
    <definedName name="住宅楼层" localSheetId="18">'[2]不动产比较法-住宅'!$B$86:$M$86</definedName>
    <definedName name="住宅楼层" localSheetId="41">'[3]不动产比较法-住宅'!$B$86:$M$86</definedName>
    <definedName name="住宅楼层" localSheetId="42">'[4]不动产比较法-住宅'!$B$86:$M$86</definedName>
    <definedName name="住宅楼层">'不动产比较法-住宅'!$B$86:$M$86</definedName>
    <definedName name="住宅内部装修" localSheetId="18">'[2]不动产比较法-住宅'!$B$122:$M$122</definedName>
    <definedName name="住宅内部装修" localSheetId="41">'[3]不动产比较法-住宅'!$B$122:$M$122</definedName>
    <definedName name="住宅内部装修" localSheetId="42">'[4]不动产比较法-住宅'!$B$122:$M$122</definedName>
    <definedName name="住宅内部装修">'不动产比较法-住宅'!$B$122:$M$122</definedName>
    <definedName name="住宅物业管理" localSheetId="18">'[2]不动产比较法-住宅'!$B$114:$M$114</definedName>
    <definedName name="住宅物业管理" localSheetId="41">'[3]不动产比较法-住宅'!$B$114:$M$114</definedName>
    <definedName name="住宅物业管理" localSheetId="42">'[4]不动产比较法-住宅'!$B$114:$M$114</definedName>
    <definedName name="住宅物业管理">'不动产比较法-住宅'!$B$114:$M$114</definedName>
    <definedName name="住宅用途" localSheetId="18">'[2]不动产比较法-住宅'!$B$63:$M$63</definedName>
    <definedName name="住宅用途" localSheetId="41">'[3]不动产比较法-住宅'!$B$63:$M$63</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8" i="11" l="1"/>
  <c r="N33" i="71" l="1"/>
  <c r="M33" i="71"/>
  <c r="L33" i="71"/>
  <c r="K33" i="71"/>
  <c r="N32" i="71"/>
  <c r="N31" i="71"/>
  <c r="N30" i="71"/>
  <c r="N29" i="71"/>
  <c r="N28" i="71"/>
  <c r="N27" i="71"/>
  <c r="N26" i="71"/>
  <c r="N25" i="71"/>
  <c r="N24" i="71"/>
  <c r="N23" i="71"/>
  <c r="N22" i="71"/>
  <c r="N21" i="71"/>
  <c r="N20" i="71"/>
  <c r="N19" i="71"/>
  <c r="N18" i="71"/>
  <c r="N17" i="71"/>
  <c r="N16" i="71"/>
  <c r="P15" i="71"/>
  <c r="N15" i="71"/>
  <c r="N14" i="71"/>
  <c r="N13" i="71"/>
  <c r="N12" i="71"/>
  <c r="N11" i="71"/>
  <c r="N10" i="71"/>
  <c r="N9" i="71"/>
  <c r="N8" i="71"/>
  <c r="N7" i="71"/>
  <c r="N6" i="71"/>
  <c r="N5" i="71"/>
  <c r="N4" i="71"/>
  <c r="D8" i="11" l="1"/>
  <c r="Q22" i="70"/>
  <c r="N33" i="70"/>
  <c r="M33" i="70"/>
  <c r="L33" i="70"/>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F1" i="46"/>
  <c r="I13" i="3"/>
  <c r="F19" i="6" s="1"/>
  <c r="H14" i="68"/>
  <c r="AB30" i="59" l="1"/>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AB7" i="59"/>
  <c r="AA7" i="59"/>
  <c r="Y7" i="59"/>
  <c r="Z7" i="59" s="1"/>
  <c r="X7" i="59"/>
  <c r="AB6" i="59"/>
  <c r="AA6" i="59"/>
  <c r="Z6" i="59"/>
  <c r="Y6" i="59"/>
  <c r="X6" i="59"/>
  <c r="AB5" i="59" l="1"/>
  <c r="AA5" i="59"/>
  <c r="Y5" i="59"/>
  <c r="X5" i="59"/>
  <c r="F25" i="12"/>
  <c r="C25" i="12" s="1"/>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P6" i="59"/>
  <c r="O6" i="59"/>
  <c r="Z5" i="59" s="1"/>
  <c r="N6" i="59"/>
  <c r="Q8" i="59" l="1"/>
  <c r="P8" i="59"/>
  <c r="O8" i="59"/>
  <c r="N8" i="59"/>
  <c r="AH7" i="59"/>
  <c r="AG7" i="59"/>
  <c r="AE7" i="59"/>
  <c r="AF7" i="59" s="1"/>
  <c r="AD7" i="59"/>
  <c r="Q7" i="59"/>
  <c r="P7" i="59"/>
  <c r="O7" i="59"/>
  <c r="N7" i="59"/>
  <c r="F8" i="59"/>
  <c r="F7" i="59"/>
  <c r="F6" i="59" s="1"/>
  <c r="F5" i="59" s="1"/>
  <c r="E8" i="59"/>
  <c r="C8" i="59"/>
  <c r="C7" i="59"/>
  <c r="C6" i="59" s="1"/>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P15" i="59"/>
  <c r="O15" i="59"/>
  <c r="N15" i="59"/>
  <c r="N16" i="59"/>
  <c r="Q16" i="59"/>
  <c r="P16" i="59"/>
  <c r="O16" i="59"/>
  <c r="A30" i="64"/>
  <c r="A30" i="51"/>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s="1"/>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s="1"/>
  <c r="C67" i="39" s="1"/>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F58" i="46" s="1"/>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B21" i="55" s="1"/>
  <c r="B72" i="63" s="1"/>
  <c r="C4" i="4"/>
  <c r="G66" i="36"/>
  <c r="J18" i="36"/>
  <c r="AE8" i="1"/>
  <c r="AE7" i="1"/>
  <c r="W18" i="36"/>
  <c r="AC18" i="36"/>
  <c r="AG6" i="1"/>
  <c r="L20" i="6"/>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K14" i="1" s="1"/>
  <c r="M14" i="1" s="1"/>
  <c r="P13" i="1"/>
  <c r="P12" i="1"/>
  <c r="AP7" i="1"/>
  <c r="G13" i="1"/>
  <c r="D46" i="36"/>
  <c r="E46" i="36" s="1"/>
  <c r="F46" i="36" s="1"/>
  <c r="G46" i="36" s="1"/>
  <c r="H46" i="36" s="1"/>
  <c r="H50" i="46"/>
  <c r="H48" i="46"/>
  <c r="F35" i="46"/>
  <c r="I17" i="46"/>
  <c r="D100" i="46"/>
  <c r="AF12" i="46"/>
  <c r="K100" i="46"/>
  <c r="AB12" i="46"/>
  <c r="AJ12" i="46"/>
  <c r="E10" i="46"/>
  <c r="E9" i="46"/>
  <c r="E11" i="46"/>
  <c r="E8" i="46"/>
  <c r="H55" i="46"/>
  <c r="H54" i="46"/>
  <c r="H52" i="46"/>
  <c r="H47" i="46"/>
  <c r="AD12" i="46"/>
  <c r="AH12" i="46"/>
  <c r="C12" i="59"/>
  <c r="C11" i="59"/>
  <c r="T11" i="59"/>
  <c r="B12" i="59"/>
  <c r="B11" i="59"/>
  <c r="S11" i="59"/>
  <c r="D12" i="59"/>
  <c r="V11" i="59"/>
  <c r="D11" i="59"/>
  <c r="E30" i="6"/>
  <c r="C7" i="46"/>
  <c r="D10" i="59"/>
  <c r="D9" i="59"/>
  <c r="F15" i="44"/>
  <c r="M6" i="15"/>
  <c r="C21" i="9"/>
  <c r="M25" i="44"/>
  <c r="F13" i="67"/>
  <c r="F14" i="67"/>
  <c r="E8" i="67"/>
  <c r="M28" i="44"/>
  <c r="M29" i="15"/>
  <c r="M9" i="15"/>
  <c r="F10" i="67"/>
  <c r="C19" i="9"/>
  <c r="M11" i="44"/>
  <c r="M8" i="44"/>
  <c r="E14" i="67"/>
  <c r="M24" i="44"/>
  <c r="F39" i="44"/>
  <c r="F45" i="44"/>
  <c r="J36" i="15"/>
  <c r="I6" i="65"/>
  <c r="F43" i="15"/>
  <c r="J5" i="65"/>
  <c r="F9" i="44"/>
  <c r="M26" i="15"/>
  <c r="J3" i="65"/>
  <c r="D20" i="9"/>
  <c r="J4" i="65"/>
  <c r="L47" i="15"/>
  <c r="M8" i="15"/>
  <c r="M24" i="15"/>
  <c r="F9" i="67"/>
  <c r="C20" i="9"/>
  <c r="E11" i="67"/>
  <c r="B13" i="67"/>
  <c r="F26" i="15"/>
  <c r="E13" i="67"/>
  <c r="M28" i="15"/>
  <c r="F40" i="44"/>
  <c r="F46" i="44"/>
  <c r="M27" i="15"/>
  <c r="M26" i="44"/>
  <c r="L48" i="15"/>
  <c r="L49" i="44"/>
  <c r="E12" i="67"/>
  <c r="M23" i="15"/>
  <c r="D21" i="9"/>
  <c r="F28" i="44"/>
  <c r="J15" i="15"/>
  <c r="F12" i="67"/>
  <c r="E9" i="67"/>
  <c r="F36" i="15"/>
  <c r="M10" i="44"/>
  <c r="B12" i="67"/>
  <c r="F43" i="44"/>
  <c r="F8" i="15"/>
  <c r="M22" i="15"/>
  <c r="B8" i="67"/>
  <c r="I5" i="65"/>
  <c r="M29" i="44"/>
  <c r="B11" i="67"/>
  <c r="J6" i="65"/>
  <c r="N5" i="65"/>
  <c r="B14" i="67"/>
  <c r="F37" i="15"/>
  <c r="F40" i="15"/>
  <c r="F11" i="67"/>
  <c r="M31" i="44"/>
  <c r="F38" i="15"/>
  <c r="F10" i="44"/>
  <c r="F8" i="44"/>
  <c r="N7" i="65"/>
  <c r="F24" i="43"/>
  <c r="E10" i="67"/>
  <c r="F9" i="15"/>
  <c r="D19" i="9"/>
  <c r="J17" i="44"/>
  <c r="N4" i="65"/>
  <c r="F6" i="15"/>
  <c r="I3" i="65"/>
  <c r="F38" i="44"/>
  <c r="B10" i="67"/>
  <c r="F42" i="15"/>
  <c r="B9" i="67"/>
  <c r="M30" i="44"/>
  <c r="J7" i="65"/>
  <c r="F18" i="44"/>
  <c r="N6" i="65"/>
  <c r="F13" i="15"/>
  <c r="I4" i="65"/>
  <c r="F8" i="67"/>
  <c r="F11" i="44"/>
  <c r="L48" i="44"/>
  <c r="N3" i="65"/>
  <c r="I7" i="65"/>
  <c r="F16" i="15"/>
  <c r="M6" i="1" l="1"/>
  <c r="AH6" i="1"/>
  <c r="C6" i="46"/>
  <c r="C26" i="43"/>
  <c r="D24" i="43" s="1"/>
  <c r="D86" i="9"/>
  <c r="F27" i="43"/>
  <c r="H61" i="46"/>
  <c r="H63" i="46"/>
  <c r="H66" i="46"/>
  <c r="H62" i="46"/>
  <c r="H59" i="46"/>
  <c r="H64" i="46"/>
  <c r="H60" i="46"/>
  <c r="H65" i="46"/>
  <c r="H58" i="46"/>
  <c r="F30" i="6"/>
  <c r="K17" i="4"/>
  <c r="D70" i="39"/>
  <c r="C72" i="39"/>
  <c r="C67" i="40"/>
  <c r="D65" i="40"/>
  <c r="G17" i="46"/>
  <c r="C16" i="46" s="1"/>
  <c r="F31" i="6"/>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C5" i="46"/>
  <c r="AP16" i="1"/>
  <c r="C18" i="11"/>
  <c r="K77" i="9"/>
  <c r="K79" i="9" s="1"/>
  <c r="K81" i="9" s="1"/>
  <c r="E12" i="52"/>
  <c r="B15" i="52"/>
  <c r="F31" i="15"/>
  <c r="F33" i="44"/>
  <c r="D6" i="59"/>
  <c r="C5" i="59"/>
  <c r="D5" i="59" s="1"/>
  <c r="E7" i="59"/>
  <c r="E6" i="59" s="1"/>
  <c r="E5" i="59" s="1"/>
  <c r="B7" i="59"/>
  <c r="B6" i="59" s="1"/>
  <c r="B5" i="59" s="1"/>
  <c r="B4" i="52"/>
  <c r="B7" i="52"/>
  <c r="E14" i="52"/>
  <c r="E6" i="52"/>
  <c r="E11" i="52"/>
  <c r="E9" i="52"/>
  <c r="E7" i="52"/>
  <c r="B9" i="52"/>
  <c r="E4" i="52"/>
  <c r="E13" i="52"/>
  <c r="B8" i="52"/>
  <c r="E10" i="52"/>
  <c r="B10" i="52"/>
  <c r="B6" i="52"/>
  <c r="B5" i="52"/>
  <c r="B11" i="52"/>
  <c r="B12" i="52"/>
  <c r="E8" i="52"/>
  <c r="B14" i="52"/>
  <c r="E5" i="52"/>
  <c r="Y3" i="59"/>
  <c r="Z3" i="59" s="1"/>
  <c r="D7" i="59"/>
  <c r="P22" i="46"/>
  <c r="P24" i="46"/>
  <c r="B68" i="40" s="1"/>
  <c r="P23" i="46"/>
  <c r="P25" i="46"/>
  <c r="B73" i="39" s="1"/>
  <c r="P21" i="46"/>
  <c r="L44" i="9"/>
  <c r="G20" i="9"/>
  <c r="E20" i="46"/>
  <c r="G21" i="9"/>
  <c r="L43" i="9"/>
  <c r="G19" i="9"/>
  <c r="D22" i="9"/>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7" i="15"/>
  <c r="E3" i="65"/>
  <c r="C19" i="44"/>
  <c r="C15" i="43"/>
  <c r="E2" i="65"/>
  <c r="C17" i="15"/>
  <c r="C18" i="44"/>
  <c r="C16" i="15"/>
  <c r="C6" i="15" l="1"/>
  <c r="F49" i="15"/>
  <c r="F58" i="15" s="1"/>
  <c r="M7" i="15"/>
  <c r="M17" i="15" s="1"/>
  <c r="D5" i="46"/>
  <c r="I109" i="46"/>
  <c r="I106"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H7" i="37"/>
  <c r="AB7" i="37" s="1"/>
  <c r="T42" i="37" s="1"/>
  <c r="G42" i="37" s="1"/>
  <c r="J12" i="40"/>
  <c r="AC12" i="40" s="1"/>
  <c r="AB7" i="36"/>
  <c r="T36" i="36" s="1"/>
  <c r="G36" i="36" s="1"/>
  <c r="U7" i="36"/>
  <c r="AA7" i="37"/>
  <c r="R42" i="37" s="1"/>
  <c r="S7" i="37"/>
  <c r="S7" i="36"/>
  <c r="AA7" i="36"/>
  <c r="R36" i="36" s="1"/>
  <c r="AA7" i="35"/>
  <c r="R38" i="35" s="1"/>
  <c r="S7" i="35"/>
  <c r="AC7" i="35"/>
  <c r="V38" i="35" s="1"/>
  <c r="I38" i="35" s="1"/>
  <c r="W7" i="35"/>
  <c r="E59" i="34"/>
  <c r="E58" i="21"/>
  <c r="E58" i="33"/>
  <c r="W7" i="37"/>
  <c r="AC7" i="37"/>
  <c r="V42" i="37" s="1"/>
  <c r="I42" i="37" s="1"/>
  <c r="U7" i="37"/>
  <c r="W7" i="36"/>
  <c r="AC7" i="36"/>
  <c r="V36" i="36" s="1"/>
  <c r="I36" i="36" s="1"/>
  <c r="U7" i="35"/>
  <c r="AB7" i="35"/>
  <c r="T38" i="35" s="1"/>
  <c r="G38" i="35" s="1"/>
  <c r="F12" i="40"/>
  <c r="S12" i="40" s="1"/>
  <c r="H12" i="40"/>
  <c r="U12" i="40" s="1"/>
  <c r="T10" i="1"/>
  <c r="T11" i="1"/>
  <c r="T7" i="1"/>
  <c r="T9" i="1"/>
  <c r="T13" i="1"/>
  <c r="M19" i="6"/>
  <c r="K27" i="6"/>
  <c r="O16" i="1"/>
  <c r="F12" i="39"/>
  <c r="S12" i="39" s="1"/>
  <c r="J12" i="39"/>
  <c r="AC12" i="39" s="1"/>
  <c r="E60" i="40"/>
  <c r="E65" i="39"/>
  <c r="E3" i="6"/>
  <c r="AY6" i="3"/>
  <c r="P6" i="1"/>
  <c r="L16" i="1"/>
  <c r="N16" i="1"/>
  <c r="E61" i="40"/>
  <c r="E66" i="39"/>
  <c r="U12" i="39"/>
  <c r="AB12" i="39"/>
  <c r="M19" i="44"/>
  <c r="M20" i="46"/>
  <c r="C19" i="46"/>
  <c r="B40" i="1"/>
  <c r="F17" i="11"/>
  <c r="C17" i="11" s="1"/>
  <c r="C19" i="11" s="1"/>
  <c r="Q62" i="15"/>
  <c r="Q75" i="15"/>
  <c r="C32" i="9"/>
  <c r="N43" i="9"/>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C29" i="43"/>
  <c r="S3" i="46" l="1"/>
  <c r="S6" i="46"/>
  <c r="S7" i="46"/>
  <c r="C23" i="46"/>
  <c r="C21" i="46" s="1"/>
  <c r="S5" i="46"/>
  <c r="S4" i="46"/>
  <c r="S2" i="46"/>
  <c r="G20" i="46"/>
  <c r="C20" i="46" s="1"/>
  <c r="E72" i="39"/>
  <c r="F70" i="39"/>
  <c r="F65" i="40"/>
  <c r="E67" i="40"/>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P16" i="1"/>
  <c r="C13" i="12" s="1"/>
  <c r="C17" i="12" s="1"/>
  <c r="C15" i="12"/>
  <c r="W12" i="39"/>
  <c r="I19" i="6"/>
  <c r="M27" i="6"/>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9" i="46"/>
  <c r="E39" i="46" s="1"/>
  <c r="J18" i="15"/>
  <c r="J5" i="15"/>
  <c r="C40" i="44"/>
  <c r="J28" i="44"/>
  <c r="J31" i="44" s="1"/>
  <c r="J26" i="44"/>
  <c r="O43" i="9"/>
  <c r="C42" i="9"/>
  <c r="C34" i="9"/>
  <c r="O38" i="9"/>
  <c r="C33" i="9"/>
  <c r="C52" i="15"/>
  <c r="C47" i="15" s="1"/>
  <c r="C10" i="15"/>
  <c r="C5" i="15" s="1"/>
  <c r="C20" i="11"/>
  <c r="C21" i="11" s="1"/>
  <c r="C22" i="11" s="1"/>
  <c r="C23" i="11" s="1"/>
  <c r="B2" i="11" s="1"/>
  <c r="F21" i="43"/>
  <c r="C23" i="43" s="1"/>
  <c r="D21" i="43" s="1"/>
  <c r="F24" i="15"/>
  <c r="C24" i="15" s="1"/>
  <c r="F26" i="12"/>
  <c r="F26" i="44"/>
  <c r="C26" i="44" s="1"/>
  <c r="C13" i="43"/>
  <c r="C14" i="15"/>
  <c r="D16" i="43"/>
  <c r="C16" i="44"/>
  <c r="F41" i="15"/>
  <c r="C14" i="43" l="1"/>
  <c r="C17" i="43"/>
  <c r="F68" i="15"/>
  <c r="C16" i="43"/>
  <c r="C18" i="43" s="1"/>
  <c r="C19" i="43" s="1"/>
  <c r="C25" i="43" s="1"/>
  <c r="C24" i="43" s="1"/>
  <c r="C34" i="46"/>
  <c r="G34" i="46" s="1"/>
  <c r="I34" i="46" s="1"/>
  <c r="T4" i="46"/>
  <c r="V4" i="46" s="1"/>
  <c r="T3" i="46"/>
  <c r="V3" i="46" s="1"/>
  <c r="T8" i="46"/>
  <c r="V8" i="46" s="1"/>
  <c r="T9" i="46"/>
  <c r="V9" i="46" s="1"/>
  <c r="T13" i="46"/>
  <c r="V13" i="46" s="1"/>
  <c r="T11" i="46"/>
  <c r="V11" i="46" s="1"/>
  <c r="T15" i="46"/>
  <c r="V15" i="46" s="1"/>
  <c r="T12" i="46"/>
  <c r="V12" i="46" s="1"/>
  <c r="C36" i="46"/>
  <c r="G36" i="46" s="1"/>
  <c r="I36" i="46" s="1"/>
  <c r="T16" i="46"/>
  <c r="V16" i="46" s="1"/>
  <c r="C35" i="46"/>
  <c r="G35" i="46" s="1"/>
  <c r="I35" i="46" s="1"/>
  <c r="T5" i="46"/>
  <c r="V5" i="46" s="1"/>
  <c r="C37" i="46"/>
  <c r="G37" i="46" s="1"/>
  <c r="I37" i="46" s="1"/>
  <c r="T2" i="46"/>
  <c r="V2" i="46" s="1"/>
  <c r="T6" i="46"/>
  <c r="V6" i="46" s="1"/>
  <c r="G70" i="39"/>
  <c r="F72" i="39"/>
  <c r="F67" i="40"/>
  <c r="G65" i="40"/>
  <c r="C20" i="44"/>
  <c r="C17" i="44"/>
  <c r="C15" i="15"/>
  <c r="C18" i="15"/>
  <c r="T10" i="46"/>
  <c r="V10" i="46" s="1"/>
  <c r="C33" i="46"/>
  <c r="E33" i="46" s="1"/>
  <c r="C29" i="46"/>
  <c r="T14" i="46"/>
  <c r="V14" i="46" s="1"/>
  <c r="T7" i="46"/>
  <c r="V7"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9" i="46"/>
  <c r="I39" i="46" s="1"/>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14" i="66"/>
  <c r="D63" i="9"/>
  <c r="N68" i="9"/>
  <c r="B5" i="11"/>
  <c r="B3" i="11"/>
  <c r="G8" i="68" s="1"/>
  <c r="B4" i="11"/>
  <c r="C27" i="12"/>
  <c r="D26" i="12" s="1"/>
  <c r="C32" i="12" s="1"/>
  <c r="D30" i="12" s="1"/>
  <c r="K26" i="9"/>
  <c r="K25" i="9"/>
  <c r="J26" i="15"/>
  <c r="J29" i="15" s="1"/>
  <c r="J24" i="15"/>
  <c r="C38" i="15"/>
  <c r="E42" i="9"/>
  <c r="P5" i="54" s="1"/>
  <c r="B46" i="63" s="1"/>
  <c r="M38" i="9"/>
  <c r="K27" i="9" s="1"/>
  <c r="Q58" i="44"/>
  <c r="Q67" i="44"/>
  <c r="Q49" i="44"/>
  <c r="Q55" i="44" s="1"/>
  <c r="F7" i="67"/>
  <c r="E37" i="46" l="1"/>
  <c r="G33" i="46"/>
  <c r="I33" i="46" s="1"/>
  <c r="C30" i="46"/>
  <c r="E30" i="46" s="1"/>
  <c r="C6" i="68"/>
  <c r="E36" i="46"/>
  <c r="E35" i="46"/>
  <c r="C21" i="44"/>
  <c r="C22" i="44" s="1"/>
  <c r="E34" i="46"/>
  <c r="C19" i="15"/>
  <c r="C20" i="15" s="1"/>
  <c r="H65" i="40"/>
  <c r="G67" i="40"/>
  <c r="H70" i="39"/>
  <c r="G72" i="39"/>
  <c r="E29" i="46"/>
  <c r="C26" i="46" s="1"/>
  <c r="B2" i="46" s="1"/>
  <c r="H7" i="34"/>
  <c r="U7" i="34" s="1"/>
  <c r="C27" i="46"/>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8" i="44"/>
  <c r="C22" i="43"/>
  <c r="C21" i="43" s="1"/>
  <c r="C28" i="43" s="1"/>
  <c r="C30" i="43" s="1"/>
  <c r="C25" i="44"/>
  <c r="C31" i="44" s="1"/>
  <c r="C15" i="44" s="1"/>
  <c r="C23" i="15"/>
  <c r="D16" i="6"/>
  <c r="D27" i="6"/>
  <c r="D30" i="6"/>
  <c r="R23" i="6"/>
  <c r="R25" i="6"/>
  <c r="R20" i="6"/>
  <c r="D7" i="66"/>
  <c r="D6" i="66"/>
  <c r="D8" i="66"/>
  <c r="R19" i="6"/>
  <c r="H27" i="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B7" i="67"/>
  <c r="E7" i="67"/>
  <c r="C26" i="15" l="1"/>
  <c r="C29" i="15" s="1"/>
  <c r="Q50" i="15" s="1"/>
  <c r="I70" i="39"/>
  <c r="H72" i="39"/>
  <c r="H67" i="40"/>
  <c r="I65" i="40"/>
  <c r="G52" i="33"/>
  <c r="H52" i="33" s="1"/>
  <c r="G53" i="33"/>
  <c r="H53" i="33" s="1"/>
  <c r="R50" i="34"/>
  <c r="E49" i="34"/>
  <c r="R49" i="33"/>
  <c r="E48" i="33"/>
  <c r="R49" i="21"/>
  <c r="E48" i="21"/>
  <c r="W7" i="34"/>
  <c r="AC7" i="34"/>
  <c r="V49" i="34" s="1"/>
  <c r="I49" i="34" s="1"/>
  <c r="G53" i="34"/>
  <c r="H53" i="34" s="1"/>
  <c r="R27" i="6"/>
  <c r="R6" i="1"/>
  <c r="D31" i="6"/>
  <c r="C28" i="12"/>
  <c r="C26" i="12" s="1"/>
  <c r="C31" i="12" s="1"/>
  <c r="C30" i="12" s="1"/>
  <c r="C36" i="12" s="1"/>
  <c r="B2" i="12" s="1"/>
  <c r="B3" i="12" s="1"/>
  <c r="E3" i="67"/>
  <c r="C97" i="9"/>
  <c r="C98" i="9" s="1"/>
  <c r="E98" i="9" s="1"/>
  <c r="E99" i="9" s="1"/>
  <c r="Q51" i="44"/>
  <c r="J21" i="44"/>
  <c r="B2" i="67"/>
  <c r="C35" i="44"/>
  <c r="C38" i="44"/>
  <c r="D4" i="46"/>
  <c r="B3" i="46"/>
  <c r="B4" i="46"/>
  <c r="C113" i="9"/>
  <c r="C114" i="9" s="1"/>
  <c r="E114" i="9" s="1"/>
  <c r="E115" i="9" s="1"/>
  <c r="J16" i="44"/>
  <c r="J24" i="44" s="1"/>
  <c r="D5" i="66"/>
  <c r="C5" i="66"/>
  <c r="C39" i="44"/>
  <c r="Q72" i="44"/>
  <c r="C43" i="44"/>
  <c r="M23" i="44"/>
  <c r="F35" i="15"/>
  <c r="F37" i="44"/>
  <c r="M21" i="15"/>
  <c r="J65" i="40" l="1"/>
  <c r="I67" i="40"/>
  <c r="J70" i="39"/>
  <c r="I72" i="39"/>
  <c r="J22" i="44"/>
  <c r="J19" i="44" s="1"/>
  <c r="J20" i="15"/>
  <c r="C36" i="44"/>
  <c r="C33" i="44" s="1"/>
  <c r="C32" i="44" s="1"/>
  <c r="C42" i="44" s="1"/>
  <c r="Q71" i="44" s="1"/>
  <c r="Q70" i="44" s="1"/>
  <c r="C34" i="15"/>
  <c r="F62" i="15"/>
  <c r="C61" i="15" s="1"/>
  <c r="R16" i="1"/>
  <c r="B4" i="12"/>
  <c r="C33" i="15"/>
  <c r="C31" i="15" s="1"/>
  <c r="C36" i="15"/>
  <c r="C56" i="15"/>
  <c r="C60" i="15" s="1"/>
  <c r="I53" i="34"/>
  <c r="J53" i="34" s="1"/>
  <c r="I54" i="34"/>
  <c r="J54" i="34" s="1"/>
  <c r="E53" i="21"/>
  <c r="F53" i="21" s="1"/>
  <c r="E52" i="21"/>
  <c r="F52" i="21" s="1"/>
  <c r="I53" i="21"/>
  <c r="J53" i="21" s="1"/>
  <c r="C13" i="15"/>
  <c r="C37" i="15" s="1"/>
  <c r="J19" i="15"/>
  <c r="J59" i="15"/>
  <c r="J60" i="15" s="1"/>
  <c r="Q49" i="15" s="1"/>
  <c r="J14" i="15"/>
  <c r="J22"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C99" i="9"/>
  <c r="J15" i="44"/>
  <c r="J25" i="44" s="1"/>
  <c r="C115" i="9"/>
  <c r="D76" i="9" s="1"/>
  <c r="D74" i="9" s="1"/>
  <c r="N74" i="9" s="1"/>
  <c r="O77" i="9" s="1"/>
  <c r="O78" i="9" s="1"/>
  <c r="B3" i="67"/>
  <c r="B4" i="67"/>
  <c r="K70" i="39" l="1"/>
  <c r="J72" i="39"/>
  <c r="K65" i="40"/>
  <c r="J67" i="40"/>
  <c r="J17" i="15"/>
  <c r="C58" i="15"/>
  <c r="J18" i="44"/>
  <c r="J27" i="44" s="1"/>
  <c r="J13" i="15"/>
  <c r="J23" i="15" s="1"/>
  <c r="C30" i="15"/>
  <c r="C39" i="15" s="1"/>
  <c r="Q70" i="15" s="1"/>
  <c r="Q71" i="15"/>
  <c r="C63" i="15"/>
  <c r="C55" i="15"/>
  <c r="C64" i="15" s="1"/>
  <c r="J35" i="15"/>
  <c r="C44" i="44"/>
  <c r="C45" i="44" s="1"/>
  <c r="Q77" i="9"/>
  <c r="O79" i="9"/>
  <c r="O81" i="9" s="1"/>
  <c r="L51" i="15"/>
  <c r="L65" i="40" l="1"/>
  <c r="K67" i="40"/>
  <c r="K72" i="39"/>
  <c r="L70" i="39"/>
  <c r="J16" i="15"/>
  <c r="J25" i="15" s="1"/>
  <c r="C40" i="15"/>
  <c r="Q57" i="15" s="1"/>
  <c r="Q69" i="15"/>
  <c r="J39" i="15"/>
  <c r="J40" i="15" s="1"/>
  <c r="C57" i="15"/>
  <c r="C66" i="15" s="1"/>
  <c r="C67" i="15" s="1"/>
  <c r="C70" i="15" s="1"/>
  <c r="B2" i="44"/>
  <c r="B3" i="44" s="1"/>
  <c r="L52" i="44"/>
  <c r="Q68" i="15"/>
  <c r="L57" i="15"/>
  <c r="L60" i="15" s="1"/>
  <c r="O80" i="9"/>
  <c r="Q67" i="15" l="1"/>
  <c r="L46" i="15"/>
  <c r="M70" i="39"/>
  <c r="L72" i="39"/>
  <c r="L67" i="40"/>
  <c r="M65" i="40"/>
  <c r="J42" i="15"/>
  <c r="J43" i="15" s="1"/>
  <c r="B2" i="15"/>
  <c r="C43" i="15"/>
  <c r="Q66" i="15"/>
  <c r="Q48" i="15"/>
  <c r="Q54" i="15" s="1"/>
  <c r="C46" i="15"/>
  <c r="B4" i="44"/>
  <c r="B5" i="44"/>
  <c r="L58" i="44"/>
  <c r="L61" i="44" s="1"/>
  <c r="L47" i="44" s="1"/>
  <c r="Q69" i="44"/>
  <c r="Q58" i="15"/>
  <c r="Q63" i="15" s="1"/>
  <c r="Q76" i="15" l="1"/>
  <c r="B3" i="15"/>
  <c r="C10" i="43"/>
  <c r="C6" i="43" s="1"/>
  <c r="M67" i="40"/>
  <c r="H9" i="40" s="1"/>
  <c r="N65" i="40"/>
  <c r="N67" i="40" s="1"/>
  <c r="M72" i="39"/>
  <c r="N70" i="39"/>
  <c r="N72" i="39" s="1"/>
  <c r="Q68" i="44"/>
  <c r="Q77" i="44" s="1"/>
  <c r="Q59" i="44"/>
  <c r="Q64" i="44" s="1"/>
  <c r="C31" i="43" l="1"/>
  <c r="C32" i="43" s="1"/>
  <c r="J9" i="39"/>
  <c r="F9" i="40"/>
  <c r="J9" i="40"/>
  <c r="F9" i="39"/>
  <c r="U9" i="40"/>
  <c r="AB9" i="40"/>
  <c r="T44" i="40" s="1"/>
  <c r="G44" i="40" s="1"/>
  <c r="H9" i="39"/>
  <c r="B2" i="43" l="1"/>
  <c r="C33" i="43"/>
  <c r="G48" i="40"/>
  <c r="H48" i="40" s="1"/>
  <c r="S9" i="39"/>
  <c r="AA9" i="39"/>
  <c r="R49" i="39" s="1"/>
  <c r="AA9" i="40"/>
  <c r="R44" i="40" s="1"/>
  <c r="S9" i="40"/>
  <c r="AB9" i="39"/>
  <c r="T49" i="39" s="1"/>
  <c r="G49" i="39" s="1"/>
  <c r="U9" i="39"/>
  <c r="AC9" i="40"/>
  <c r="V44" i="40" s="1"/>
  <c r="I44" i="40" s="1"/>
  <c r="W9" i="40"/>
  <c r="AC9" i="39"/>
  <c r="V49" i="39" s="1"/>
  <c r="I49" i="39" s="1"/>
  <c r="W9" i="39"/>
  <c r="B4" i="43"/>
  <c r="B3" i="43"/>
  <c r="B5" i="43"/>
  <c r="E6" i="68" l="1"/>
  <c r="G6" i="68" s="1"/>
  <c r="I53" i="39"/>
  <c r="J53" i="39" s="1"/>
  <c r="E49" i="39"/>
  <c r="I54" i="39" s="1"/>
  <c r="J54" i="39" s="1"/>
  <c r="R50" i="39"/>
  <c r="I48" i="40"/>
  <c r="J48" i="40" s="1"/>
  <c r="G54" i="39"/>
  <c r="H54" i="39" s="1"/>
  <c r="G53" i="39"/>
  <c r="H53" i="39" s="1"/>
  <c r="R45" i="40"/>
  <c r="E44" i="40"/>
  <c r="G49" i="40"/>
  <c r="H49" i="40" s="1"/>
  <c r="E49" i="40" l="1"/>
  <c r="F49" i="40" s="1"/>
  <c r="E48" i="40"/>
  <c r="F48" i="40" s="1"/>
  <c r="I49" i="40"/>
  <c r="J49" i="40" s="1"/>
  <c r="C50" i="39"/>
  <c r="C49" i="39"/>
  <c r="C45" i="40"/>
  <c r="C44" i="40"/>
  <c r="E53" i="39"/>
  <c r="F53" i="39" s="1"/>
  <c r="E54" i="39"/>
  <c r="F54" i="39" s="1"/>
  <c r="B61" i="40" l="1"/>
  <c r="F61" i="40" s="1"/>
  <c r="B55" i="40"/>
  <c r="F55" i="40" s="1"/>
  <c r="B57" i="40"/>
  <c r="F57" i="40" s="1"/>
  <c r="B54" i="40"/>
  <c r="F54" i="40" s="1"/>
  <c r="B58" i="40"/>
  <c r="F58" i="40" s="1"/>
  <c r="B56" i="40"/>
  <c r="F56" i="40" s="1"/>
  <c r="B60" i="40"/>
  <c r="F60" i="40" s="1"/>
  <c r="B53" i="40"/>
  <c r="F53" i="40" s="1"/>
  <c r="B62" i="40"/>
  <c r="F62" i="40" s="1"/>
  <c r="B59" i="40"/>
  <c r="F59" i="40" s="1"/>
  <c r="F63" i="40"/>
  <c r="B2"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B4" i="39" l="1"/>
  <c r="B3" i="39"/>
  <c r="B5" i="39"/>
  <c r="B3" i="40"/>
  <c r="B5" i="40"/>
  <c r="B4" i="40"/>
  <c r="G14" i="68" l="1"/>
  <c r="G12" i="68" l="1"/>
  <c r="J11" i="68" s="1"/>
  <c r="K11" i="68" s="1"/>
  <c r="J7" i="68"/>
  <c r="K7"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<sst xmlns="http://schemas.openxmlformats.org/spreadsheetml/2006/main" count="7398" uniqueCount="3278">
  <si>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</si>
  <si>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</si>
  <si>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</si>
  <si>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</si>
  <si>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</si>
  <si>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</si>
  <si>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</si>
  <si>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</si>
  <si>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</si>
  <si>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</si>
  <si>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</si>
  <si>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</si>
  <si>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</si>
  <si>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</si>
  <si>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</si>
  <si>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</si>
  <si>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</si>
  <si>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</si>
  <si>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</si>
  <si>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</si>
  <si>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</si>
  <si>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</si>
  <si>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</si>
  <si>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</si>
  <si>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</si>
  <si>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</si>
  <si>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</si>
  <si>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</si>
  <si>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</si>
  <si>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</si>
  <si>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</si>
  <si>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</si>
  <si>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</si>
  <si>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</si>
  <si>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</si>
  <si>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</si>
  <si>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</si>
  <si>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</si>
  <si>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</si>
  <si>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</si>
  <si>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</si>
  <si>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</si>
  <si>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</si>
  <si>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</si>
  <si>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</si>
  <si>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</si>
  <si>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</si>
  <si>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</si>
  <si>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</si>
  <si>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</si>
  <si>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</si>
  <si>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</si>
  <si>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</si>
  <si>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</si>
  <si>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</si>
  <si>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</si>
  <si>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</si>
  <si>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</si>
  <si>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</si>
  <si>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</si>
  <si>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</si>
  <si>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</si>
  <si>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</si>
  <si>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</si>
  <si>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</si>
  <si>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</si>
  <si>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</si>
  <si>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</si>
  <si>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</si>
  <si>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</si>
  <si>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</si>
  <si>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</si>
  <si>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</si>
  <si>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</si>
  <si>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</si>
  <si>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</si>
  <si>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</si>
  <si>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</si>
  <si>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</si>
  <si>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</si>
  <si>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</si>
  <si>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</si>
  <si>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</si>
  <si>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</si>
  <si>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</si>
  <si>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</si>
  <si>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</si>
  <si>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</si>
  <si>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</si>
  <si>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</si>
  <si>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</si>
  <si>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</si>
  <si>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</si>
  <si>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</si>
  <si>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</si>
  <si>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</si>
  <si>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</si>
  <si>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</si>
  <si>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</si>
  <si>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</si>
  <si>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</si>
  <si>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</si>
  <si>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</si>
  <si>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</si>
  <si>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</si>
  <si>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</si>
  <si>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</si>
  <si>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</si>
  <si>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</si>
  <si>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</si>
  <si>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</si>
  <si>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</si>
  <si>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</si>
  <si>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</si>
  <si>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</si>
  <si>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</si>
  <si>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</si>
  <si>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</si>
  <si>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</si>
  <si>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</si>
  <si>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</si>
  <si>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</si>
  <si>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</si>
  <si>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</si>
  <si>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</si>
  <si>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</si>
  <si>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</si>
  <si>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</si>
  <si>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</si>
  <si>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</si>
  <si>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</si>
  <si>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</si>
  <si>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</si>
  <si>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</si>
  <si>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</si>
  <si>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</si>
  <si>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</si>
  <si>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</si>
  <si>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</si>
  <si>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</si>
  <si>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</si>
  <si>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</si>
  <si>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</si>
  <si>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</si>
  <si>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</si>
  <si>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</si>
  <si>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</si>
  <si>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</si>
  <si>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</si>
  <si>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</si>
  <si>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</si>
  <si>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</si>
  <si>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</si>
  <si>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</si>
  <si>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</si>
  <si>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</si>
  <si>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</si>
  <si>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</si>
  <si>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</si>
  <si>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</si>
  <si>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</si>
  <si>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</si>
  <si>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</si>
  <si>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</si>
  <si>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</si>
  <si>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</si>
  <si>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</si>
  <si>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</si>
  <si>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</si>
  <si>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</si>
  <si>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</si>
  <si>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</si>
  <si>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</si>
  <si>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</si>
  <si>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</si>
  <si>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</si>
  <si>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</si>
  <si>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</si>
  <si>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</si>
  <si>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</si>
  <si>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</si>
  <si>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</si>
  <si>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</si>
  <si>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</si>
  <si>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</si>
  <si>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</si>
  <si>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</si>
  <si>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</si>
  <si>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</si>
  <si>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</si>
  <si>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</si>
  <si>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</si>
  <si>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</si>
  <si>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</si>
  <si>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</si>
  <si>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</si>
  <si>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</si>
  <si>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</si>
  <si>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</si>
  <si>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</si>
  <si>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</si>
  <si>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</si>
  <si>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</si>
  <si>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</si>
  <si>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</si>
  <si>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</si>
  <si>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</si>
  <si>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</si>
  <si>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</si>
  <si>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</si>
  <si>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</si>
  <si>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</si>
  <si>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</si>
  <si>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</si>
  <si>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</si>
  <si>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</si>
  <si>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</si>
  <si>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</si>
  <si>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</si>
  <si>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</si>
  <si>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</si>
  <si>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</si>
  <si>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</si>
  <si>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</si>
  <si>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</si>
  <si>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</si>
  <si>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</si>
  <si>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</si>
  <si>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</si>
  <si>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</si>
  <si>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</si>
  <si>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</si>
  <si>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</si>
  <si>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</si>
  <si>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</si>
  <si>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</si>
  <si>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</si>
  <si>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</si>
  <si>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</si>
  <si>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</si>
  <si>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</si>
  <si>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</si>
  <si>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</si>
  <si>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</si>
  <si>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</si>
  <si>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</si>
  <si>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</si>
  <si>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</si>
  <si>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</si>
  <si>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</si>
  <si>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</si>
  <si>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</si>
  <si>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</si>
  <si>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</si>
  <si>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</si>
  <si>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</si>
  <si>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</si>
  <si>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</si>
  <si>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</si>
  <si>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</si>
  <si>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</si>
  <si>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</si>
  <si>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</si>
  <si>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</si>
  <si>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</si>
  <si>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</si>
  <si>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</si>
  <si>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</si>
  <si>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</si>
  <si>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</si>
  <si>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</si>
  <si>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</si>
  <si>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</si>
  <si>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</si>
  <si>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</si>
  <si>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</si>
  <si>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</si>
  <si>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</si>
  <si>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</si>
  <si>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</si>
  <si>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</si>
  <si>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</si>
  <si>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</si>
  <si>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</si>
  <si>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</si>
  <si>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</si>
  <si>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</si>
  <si>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</si>
  <si>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</si>
  <si>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</si>
  <si>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</si>
  <si>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</si>
  <si>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</si>
  <si>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</si>
  <si>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</si>
  <si>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</si>
  <si>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</si>
  <si>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</si>
  <si>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</si>
  <si>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</si>
  <si>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</si>
  <si>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</si>
  <si>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</si>
  <si>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</si>
  <si>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</si>
  <si>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</si>
  <si>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</si>
  <si>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</si>
  <si>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</si>
  <si>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</si>
  <si>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</si>
  <si>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</si>
  <si>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</si>
  <si>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</si>
  <si>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</si>
  <si>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</si>
  <si>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</si>
  <si>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</si>
  <si>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</si>
  <si>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</si>
  <si>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</si>
  <si>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</si>
  <si>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</si>
  <si>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</si>
  <si>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</si>
  <si>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</si>
  <si>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</si>
  <si>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</si>
  <si>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</si>
  <si>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</si>
  <si>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</si>
  <si>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</si>
  <si>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</si>
  <si>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</si>
  <si>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</si>
  <si>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</si>
  <si>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</si>
  <si>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</si>
  <si>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</si>
  <si>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</si>
  <si>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</si>
  <si>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</si>
  <si>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</si>
  <si>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</si>
  <si>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</si>
  <si>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</si>
  <si>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</si>
  <si>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</si>
  <si>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</si>
  <si>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</si>
  <si>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</si>
  <si>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</si>
  <si>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</si>
  <si>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</si>
  <si>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</si>
  <si>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</si>
  <si>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</si>
  <si>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</si>
  <si>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</si>
  <si>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</si>
  <si>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</si>
  <si>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</si>
  <si>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</si>
  <si>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</si>
  <si>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</si>
  <si>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</si>
  <si>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</si>
  <si>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</si>
  <si>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</si>
  <si>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</si>
  <si>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</si>
  <si>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</si>
  <si>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</si>
  <si>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</si>
  <si>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</si>
  <si>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</si>
  <si>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</si>
  <si>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</si>
  <si>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</si>
  <si>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</si>
  <si>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</si>
  <si>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</si>
  <si>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</si>
  <si>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</si>
  <si>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</si>
  <si>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</si>
  <si>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</si>
  <si>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</si>
  <si>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</si>
  <si>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</si>
  <si>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</si>
  <si>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</si>
  <si>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</si>
  <si>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</si>
  <si>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</si>
  <si>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</si>
  <si>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</si>
  <si>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</si>
  <si>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</si>
  <si>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</si>
  <si>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</si>
  <si>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</si>
  <si>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</si>
  <si>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</si>
  <si>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</si>
  <si>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</si>
  <si>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</si>
  <si>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</si>
  <si>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</si>
  <si>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</si>
  <si>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</si>
  <si>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</si>
  <si>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</si>
  <si>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</si>
  <si>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</si>
  <si>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</si>
  <si>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</si>
  <si>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</si>
  <si>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</si>
  <si>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</si>
  <si>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</si>
  <si>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</si>
  <si>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</si>
  <si>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</si>
  <si>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</si>
  <si>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</si>
  <si>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</si>
  <si>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</si>
  <si>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</si>
  <si>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</si>
  <si>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</si>
  <si>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</si>
  <si>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</si>
  <si>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</si>
  <si>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</si>
  <si>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</si>
  <si>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</si>
  <si>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</si>
  <si>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</si>
  <si>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</si>
  <si>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</si>
  <si>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</si>
  <si>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</si>
  <si>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</si>
  <si>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</si>
  <si>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</si>
  <si>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</si>
  <si>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</si>
  <si>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</si>
  <si>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</si>
  <si>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</si>
  <si>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</si>
  <si>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</si>
  <si>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</si>
  <si>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</si>
  <si>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</si>
  <si>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</si>
  <si>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</si>
  <si>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</si>
  <si>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</si>
  <si>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</si>
  <si>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</si>
  <si>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</si>
  <si>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</si>
  <si>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</si>
  <si>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</si>
  <si>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</si>
  <si>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</si>
  <si>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</si>
  <si>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</si>
  <si>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</si>
  <si>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</si>
  <si>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</si>
  <si>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</si>
  <si>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</si>
  <si>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</si>
  <si>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</si>
  <si>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</si>
  <si>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</si>
  <si>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</si>
  <si>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</si>
  <si>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</si>
  <si>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</si>
  <si>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</si>
  <si>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</si>
  <si>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</si>
  <si>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</si>
  <si>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</si>
  <si>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</si>
  <si>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</si>
  <si>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</si>
  <si>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</si>
  <si>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</si>
  <si>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</si>
  <si>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</si>
  <si>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</si>
  <si>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</si>
  <si>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</si>
  <si>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</si>
  <si>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</si>
  <si>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</si>
  <si>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</si>
  <si>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</si>
  <si>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</si>
  <si>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</si>
  <si>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</si>
  <si>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</si>
  <si>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</si>
  <si>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</si>
  <si>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</si>
  <si>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</si>
  <si>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</si>
  <si>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</si>
  <si>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</si>
  <si>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</si>
  <si>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</si>
  <si>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</si>
  <si>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</si>
  <si>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</si>
  <si>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</si>
  <si>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</si>
  <si>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</si>
  <si>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</si>
  <si>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</si>
  <si>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</si>
  <si>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</si>
  <si>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</si>
  <si>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</si>
  <si>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</si>
  <si>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</si>
  <si>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</si>
  <si>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</si>
  <si>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</si>
  <si>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</si>
  <si>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</si>
  <si>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</si>
  <si>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</si>
  <si>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</si>
  <si>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</si>
  <si>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</si>
  <si>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</si>
  <si>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</si>
  <si>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</si>
  <si>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</si>
  <si>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</si>
  <si>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</si>
  <si>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</si>
  <si>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</si>
  <si>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</si>
  <si>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</si>
  <si>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</si>
  <si>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</si>
  <si>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</si>
  <si>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</si>
  <si>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</si>
  <si>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</si>
  <si>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</si>
  <si>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</si>
  <si>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</si>
  <si>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</si>
  <si>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</si>
  <si>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</si>
  <si>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</si>
  <si>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</si>
  <si>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</si>
  <si>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</si>
  <si>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</si>
  <si>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</si>
  <si>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</si>
  <si>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</si>
  <si>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</si>
  <si>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</si>
  <si>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</si>
  <si>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</si>
  <si>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</si>
  <si>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</si>
  <si>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</si>
  <si>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</si>
  <si>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</si>
  <si>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</si>
  <si>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</si>
  <si>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</si>
  <si>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</si>
  <si>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</si>
  <si>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</si>
  <si>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</si>
  <si>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</si>
  <si>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</si>
  <si>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</si>
  <si>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</si>
  <si>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</si>
  <si>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</si>
  <si>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</si>
  <si>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</si>
  <si>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</si>
  <si>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</si>
  <si>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</si>
  <si>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</si>
  <si>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</si>
  <si>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</si>
  <si>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</si>
  <si>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</si>
  <si>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</si>
  <si>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</si>
  <si>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</si>
  <si>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</si>
  <si>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</si>
  <si>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</si>
  <si>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</si>
  <si>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</si>
  <si>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</si>
  <si>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</si>
  <si>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</si>
  <si>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</si>
  <si>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</si>
  <si>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</si>
  <si>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</si>
  <si>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</si>
  <si>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</si>
  <si>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</si>
  <si>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</si>
  <si>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</si>
  <si>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</si>
  <si>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</si>
  <si>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</si>
  <si>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</si>
  <si>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</si>
  <si>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</si>
  <si>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</si>
  <si>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</si>
  <si>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</si>
  <si>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</si>
  <si>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</si>
  <si>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</si>
  <si>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</si>
  <si>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</si>
  <si>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</si>
  <si>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</si>
  <si>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</si>
  <si>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</si>
  <si>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</si>
  <si>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</si>
  <si>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</si>
  <si>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</si>
  <si>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</si>
  <si>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</si>
  <si>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</si>
  <si>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</si>
  <si>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</si>
  <si>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</si>
  <si>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</si>
  <si>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</si>
  <si>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</si>
  <si>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</si>
  <si>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</si>
  <si>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</si>
  <si>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</si>
  <si>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</si>
  <si>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</si>
  <si>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</si>
  <si>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</si>
  <si>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</si>
  <si>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</si>
  <si>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</si>
  <si>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</si>
  <si>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</si>
  <si>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</si>
  <si>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</si>
  <si>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</si>
  <si>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</si>
  <si>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</si>
  <si>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</si>
  <si>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</si>
  <si>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</si>
  <si>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</si>
  <si>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</si>
  <si>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</si>
  <si>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</si>
  <si>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</si>
  <si>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</si>
  <si>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</si>
  <si>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</si>
  <si>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</si>
  <si>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</si>
  <si>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</si>
  <si>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</si>
  <si>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</si>
  <si>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</si>
  <si>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</si>
  <si>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</si>
  <si>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</si>
  <si>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</si>
  <si>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</si>
  <si>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</si>
  <si>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</si>
  <si>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</si>
  <si>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</si>
  <si>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</si>
  <si>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</si>
  <si>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</si>
  <si>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</si>
  <si>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</si>
  <si>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</si>
  <si>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</si>
  <si>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</si>
  <si>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</si>
  <si>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</si>
  <si>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</si>
  <si>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</si>
  <si>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</si>
  <si>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</si>
  <si>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</si>
  <si>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</si>
  <si>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</si>
  <si>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</si>
  <si>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</si>
  <si>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</si>
  <si>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</si>
  <si>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</si>
  <si>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</si>
  <si>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</si>
  <si>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</si>
  <si>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</si>
  <si>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</si>
  <si>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</si>
  <si>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</si>
  <si>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</si>
  <si>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</si>
  <si>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</si>
  <si>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</si>
  <si>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</si>
  <si>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</si>
  <si>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</si>
  <si>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</si>
  <si>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</si>
  <si>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</si>
  <si>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</si>
  <si>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</si>
  <si>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</si>
  <si>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</si>
  <si>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</si>
  <si>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</si>
  <si>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</si>
  <si>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</si>
  <si>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</si>
  <si>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</si>
  <si>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</si>
  <si>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</si>
  <si>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</si>
  <si>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</si>
  <si>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</si>
  <si>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</si>
  <si>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</si>
  <si>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</si>
  <si>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</si>
  <si>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</si>
  <si>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</si>
  <si>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</si>
  <si>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</si>
  <si>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</si>
  <si>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</si>
  <si>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</si>
  <si>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</si>
  <si>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</si>
  <si>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</si>
  <si>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</si>
  <si>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</si>
  <si>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</si>
  <si>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</si>
  <si>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</si>
  <si>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</si>
  <si>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</si>
  <si>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</si>
  <si>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</si>
  <si>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</si>
  <si>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</si>
  <si>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</si>
  <si>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</si>
  <si>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</si>
  <si>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</si>
  <si>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</si>
  <si>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</si>
  <si>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</si>
  <si>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</si>
  <si>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</si>
  <si>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</si>
  <si>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</si>
  <si>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</si>
  <si>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</si>
  <si>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</si>
  <si>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</si>
  <si>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</si>
  <si>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</si>
  <si>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</si>
  <si>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</si>
  <si>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</si>
  <si>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</si>
  <si>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</si>
  <si>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</si>
  <si>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</si>
  <si>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</si>
  <si>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</si>
  <si>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</si>
  <si>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</si>
  <si>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</si>
  <si>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</si>
  <si>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</si>
  <si>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</si>
  <si>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</si>
  <si>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</si>
  <si>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</si>
  <si>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</si>
  <si>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</si>
  <si>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</si>
  <si>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</si>
  <si>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</si>
  <si>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</si>
  <si>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</si>
  <si>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</si>
  <si>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</si>
  <si>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</si>
  <si>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</si>
  <si>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</si>
  <si>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</si>
  <si>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</si>
  <si>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</si>
  <si>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</si>
  <si>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</si>
  <si>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</si>
  <si>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</si>
  <si>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</si>
  <si>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</si>
  <si>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</si>
  <si>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</si>
  <si>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</si>
  <si>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</si>
  <si>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</si>
  <si>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</si>
  <si>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</si>
  <si>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</si>
  <si>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</si>
  <si>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</si>
  <si>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</si>
  <si>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</si>
  <si>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</si>
  <si>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</si>
  <si>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</si>
  <si>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</si>
  <si>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</si>
  <si>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</si>
  <si>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</si>
  <si>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</si>
  <si>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</si>
  <si>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</si>
  <si>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</si>
  <si>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</si>
  <si>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</si>
  <si>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</si>
  <si>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</si>
  <si>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</si>
  <si>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</si>
  <si>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</si>
  <si>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</si>
  <si>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</si>
  <si>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</si>
  <si>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</si>
  <si>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</si>
  <si>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</si>
  <si>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</si>
  <si>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</si>
  <si>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</si>
  <si>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</si>
  <si>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</si>
  <si>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</si>
  <si>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</si>
  <si>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</si>
  <si>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</si>
  <si>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</si>
  <si>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</si>
  <si>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</si>
  <si>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</si>
  <si>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</si>
  <si>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</si>
  <si>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</si>
  <si>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</si>
  <si>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</si>
  <si>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</si>
  <si>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</si>
  <si>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</si>
  <si>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</si>
  <si>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</si>
  <si>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</si>
  <si>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</si>
  <si>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</si>
  <si>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</si>
  <si>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</si>
  <si>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</si>
  <si>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</si>
  <si>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</si>
  <si>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</si>
  <si>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</si>
  <si>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</si>
  <si>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</si>
  <si>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</si>
  <si>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</si>
  <si>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</si>
  <si>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</si>
  <si>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</si>
  <si>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</si>
  <si>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</si>
  <si>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</si>
  <si>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</si>
  <si>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</si>
  <si>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</si>
  <si>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</si>
  <si>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</si>
  <si>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</si>
  <si>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</si>
  <si>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</si>
  <si>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</si>
  <si>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</si>
  <si>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</si>
  <si>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</si>
  <si>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</si>
  <si>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</si>
  <si>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</si>
  <si>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</si>
  <si>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</si>
  <si>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</si>
  <si>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</si>
  <si>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</si>
  <si>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</si>
  <si>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</si>
  <si>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</si>
  <si>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</si>
  <si>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</si>
  <si>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</si>
  <si>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</si>
  <si>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</si>
  <si>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</si>
  <si>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</si>
  <si>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</si>
  <si>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</si>
  <si>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</si>
  <si>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</si>
  <si>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</si>
  <si>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</si>
  <si>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</si>
  <si>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</si>
  <si>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</si>
  <si>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</si>
  <si>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</si>
  <si>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</si>
  <si>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</si>
  <si>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</si>
  <si>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</si>
  <si>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</si>
  <si>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</si>
  <si>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</si>
  <si>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</si>
  <si>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</si>
  <si>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</si>
  <si>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</si>
  <si>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</si>
  <si>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</si>
  <si>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</si>
  <si>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</si>
  <si>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</si>
  <si>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</si>
  <si>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</si>
  <si>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</si>
  <si>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</si>
  <si>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</si>
  <si>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</si>
  <si>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</si>
  <si>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</si>
  <si>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</si>
  <si>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</si>
  <si>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</si>
  <si>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</si>
  <si>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</si>
  <si>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</si>
  <si>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</si>
  <si>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</si>
  <si>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</si>
  <si>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</si>
  <si>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</si>
  <si>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</si>
  <si>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</si>
  <si>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</si>
  <si>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</si>
  <si>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</si>
  <si>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</si>
  <si>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</si>
  <si>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</si>
  <si>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</si>
  <si>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</si>
  <si>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</si>
  <si>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</si>
  <si>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</si>
  <si>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</si>
  <si>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</si>
  <si>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</si>
  <si>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</si>
  <si>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</si>
  <si>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</si>
  <si>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</si>
  <si>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</si>
  <si>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</si>
  <si>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</si>
  <si>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</si>
  <si>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</si>
  <si>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</si>
  <si>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</si>
  <si>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</si>
  <si>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</si>
  <si>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</si>
  <si>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</si>
  <si>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</si>
  <si>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</si>
  <si>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</si>
  <si>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</si>
  <si>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</si>
  <si>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</si>
  <si>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</si>
  <si>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</si>
  <si>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</si>
  <si>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</si>
  <si>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</si>
  <si>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</si>
  <si>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</si>
  <si>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</si>
  <si>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</si>
  <si>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</si>
  <si>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</si>
  <si>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</si>
  <si>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</si>
  <si>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</si>
  <si>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</si>
  <si>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</si>
  <si>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</si>
  <si>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</si>
  <si>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</si>
  <si>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</si>
  <si>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</si>
  <si>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</si>
  <si>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</si>
  <si>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</si>
  <si>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</si>
  <si>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</si>
  <si>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</si>
  <si>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</si>
  <si>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</si>
  <si>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</si>
  <si>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</si>
  <si>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</si>
  <si>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</si>
  <si>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</si>
  <si>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</si>
  <si>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</si>
  <si>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</si>
  <si>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</si>
  <si>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</si>
  <si>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</si>
  <si>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</si>
  <si>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</si>
  <si>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</si>
  <si>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</si>
  <si>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</si>
  <si>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</si>
  <si>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</si>
  <si>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</si>
  <si>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</si>
  <si>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</si>
  <si>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</si>
  <si>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</si>
  <si>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</si>
  <si>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</si>
  <si>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</si>
  <si>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</si>
  <si>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</si>
  <si>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</si>
  <si>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</si>
  <si>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</si>
  <si>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</si>
  <si>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</si>
  <si>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</si>
  <si>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</si>
  <si>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</si>
  <si>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</si>
  <si>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</si>
  <si>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</si>
  <si>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</si>
  <si>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</si>
  <si>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</si>
  <si>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</si>
  <si>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</si>
  <si>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</si>
  <si>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</si>
  <si>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</si>
  <si>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</si>
  <si>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</si>
  <si>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</si>
  <si>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</si>
  <si>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</si>
  <si>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</si>
  <si>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</si>
  <si>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</si>
  <si>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</si>
  <si>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</si>
  <si>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</si>
  <si>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</si>
  <si>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</si>
  <si>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</si>
  <si>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</si>
  <si>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</si>
  <si>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</si>
  <si>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</si>
  <si>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</si>
  <si>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</si>
  <si>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</si>
  <si>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</si>
  <si>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</si>
  <si>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</si>
  <si>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</si>
  <si>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</si>
  <si>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</si>
  <si>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</si>
  <si>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</si>
  <si>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</si>
  <si>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</si>
  <si>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</si>
  <si>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</si>
  <si>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</si>
  <si>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</si>
  <si>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</si>
  <si>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</si>
  <si>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</si>
  <si>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</si>
  <si>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</si>
  <si>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</si>
  <si>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</si>
  <si>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</si>
  <si>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</si>
  <si>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</si>
  <si>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</si>
  <si>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</si>
  <si>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</si>
  <si>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</si>
  <si>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</si>
  <si>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</si>
  <si>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</si>
  <si>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</si>
  <si>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</si>
  <si>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</si>
  <si>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</si>
  <si>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</si>
  <si>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</si>
  <si>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</si>
  <si>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</si>
  <si>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</si>
  <si>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</si>
  <si>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</si>
  <si>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</si>
  <si>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</si>
  <si>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</si>
  <si>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</si>
  <si>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</si>
  <si>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</si>
  <si>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</si>
  <si>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</si>
  <si>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</si>
  <si>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</si>
  <si>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</si>
  <si>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</si>
  <si>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</si>
  <si>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</si>
  <si>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</si>
  <si>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</si>
  <si>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</si>
  <si>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</si>
  <si>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</si>
  <si>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</si>
  <si>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</si>
  <si>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</si>
  <si>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</si>
  <si>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</si>
  <si>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</si>
  <si>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</si>
  <si>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</si>
  <si>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</si>
  <si>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</si>
  <si>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</si>
  <si>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</si>
  <si>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</si>
  <si>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</si>
  <si>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</si>
  <si>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</si>
  <si>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</si>
  <si>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</si>
  <si>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</si>
  <si>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</si>
  <si>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</si>
  <si>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</si>
  <si>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</si>
  <si>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</si>
  <si>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</si>
  <si>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</si>
  <si>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</si>
  <si>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</si>
  <si>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</si>
  <si>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</si>
  <si>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</si>
  <si>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</si>
  <si>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</si>
  <si>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</si>
  <si>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</si>
  <si>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</si>
  <si>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</si>
  <si>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</si>
  <si>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</si>
  <si>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</si>
  <si>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</si>
  <si>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</si>
  <si>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</si>
  <si>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</si>
  <si>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</si>
  <si>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</si>
  <si>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</si>
  <si>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</si>
  <si>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</si>
  <si>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</si>
  <si>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</si>
  <si>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</si>
  <si>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</si>
  <si>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</si>
  <si>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</si>
  <si>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</si>
  <si>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</si>
  <si>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</si>
  <si>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</si>
  <si>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</si>
  <si>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</si>
  <si>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</si>
  <si>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</si>
  <si>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</si>
  <si>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</si>
  <si>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</si>
  <si>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</si>
  <si>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</si>
  <si>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</si>
  <si>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</si>
  <si>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</si>
  <si>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</si>
  <si>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</si>
  <si>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</si>
  <si>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</si>
  <si>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</si>
  <si>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</si>
  <si>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</si>
  <si>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</si>
  <si>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</si>
  <si>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</si>
  <si>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</si>
  <si>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</si>
  <si>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</si>
  <si>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</si>
  <si>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</si>
  <si>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</si>
  <si>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</si>
  <si>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</si>
  <si>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</si>
  <si>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</si>
  <si>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</si>
  <si>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</si>
  <si>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</si>
  <si>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</si>
  <si>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</si>
  <si>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</si>
  <si>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</si>
  <si>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</si>
  <si>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</si>
  <si>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</si>
  <si>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</si>
  <si>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</si>
  <si>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</si>
  <si>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</si>
  <si>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</si>
  <si>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</si>
  <si>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</si>
  <si>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</si>
  <si>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</si>
  <si>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</si>
  <si>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</si>
  <si>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</si>
  <si>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</si>
  <si>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</si>
  <si>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</si>
  <si>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</si>
  <si>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</si>
  <si>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</si>
  <si>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</si>
  <si>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</si>
  <si>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</si>
  <si>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</si>
  <si>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</si>
  <si>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</si>
  <si>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</si>
  <si>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</si>
  <si>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</si>
  <si>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</si>
  <si>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</si>
  <si>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</si>
  <si>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</si>
  <si>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</si>
  <si>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</si>
  <si>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</si>
  <si>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</si>
  <si>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</si>
  <si>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</si>
  <si>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</si>
  <si>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</si>
  <si>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</si>
  <si>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</si>
  <si>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</si>
  <si>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</si>
  <si>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</si>
  <si>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</si>
  <si>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</si>
  <si>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</si>
  <si>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</si>
  <si>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</si>
  <si>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</si>
  <si>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</si>
  <si>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</si>
  <si>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</si>
  <si>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</si>
  <si>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</si>
  <si>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</si>
  <si>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</si>
  <si>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</si>
  <si>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</si>
  <si>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</si>
  <si>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</si>
  <si>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</si>
  <si>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</si>
  <si>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</si>
  <si>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</si>
  <si>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</si>
  <si>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</si>
  <si>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</si>
  <si>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</si>
  <si>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</si>
  <si>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</si>
  <si>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</si>
  <si>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</si>
  <si>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</si>
  <si>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</si>
  <si>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</si>
  <si>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</si>
  <si>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</si>
  <si>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</si>
  <si>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</si>
  <si>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</si>
  <si>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</si>
  <si>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</si>
  <si>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</si>
  <si>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</si>
  <si>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</si>
  <si>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</si>
  <si>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</si>
  <si>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</si>
  <si>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</si>
  <si>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</si>
  <si>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</si>
  <si>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</si>
  <si>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</si>
  <si>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</si>
  <si>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</si>
  <si>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</si>
  <si>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</si>
  <si>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</si>
  <si>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</si>
  <si>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</si>
  <si>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</si>
  <si>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</si>
  <si>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</si>
  <si>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</si>
  <si>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</si>
  <si>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</si>
  <si>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</si>
  <si>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</si>
  <si>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</si>
  <si>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</si>
  <si>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</si>
  <si>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</si>
  <si>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</si>
  <si>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</si>
  <si>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</si>
  <si>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</si>
  <si>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</si>
  <si>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</si>
  <si>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</si>
  <si>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</si>
  <si>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</si>
  <si>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</si>
  <si>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</si>
  <si>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</si>
  <si>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</si>
  <si>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</si>
  <si>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</si>
  <si>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</si>
  <si>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</si>
  <si>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</si>
  <si>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</si>
  <si>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</si>
  <si>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</si>
  <si>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</si>
  <si>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</si>
  <si>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</si>
  <si>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</si>
  <si>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</si>
  <si>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</si>
  <si>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</si>
  <si>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</si>
  <si>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</si>
  <si>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</si>
  <si>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</si>
  <si>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</si>
  <si>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</si>
  <si>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</si>
  <si>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</si>
  <si>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</si>
  <si>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</si>
  <si>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</si>
  <si>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</si>
  <si>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</si>
  <si>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</si>
  <si>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</si>
  <si>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</si>
  <si>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</si>
  <si>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</si>
  <si>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</si>
  <si>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</si>
  <si>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</si>
  <si>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</si>
  <si>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</si>
  <si>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</si>
  <si>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</si>
  <si>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</si>
  <si>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</si>
  <si>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</si>
  <si>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</si>
  <si>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</si>
  <si>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</si>
  <si>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</si>
  <si>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</si>
  <si>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</si>
  <si>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</si>
  <si>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</si>
  <si>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</si>
  <si>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</si>
  <si>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</si>
  <si>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</si>
  <si>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</si>
  <si>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</si>
  <si>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</si>
  <si>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</si>
  <si>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</si>
  <si>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</si>
  <si>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</si>
  <si>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</si>
  <si>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</si>
  <si>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</si>
  <si>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</si>
  <si>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</si>
  <si>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</si>
  <si>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</si>
  <si>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</si>
  <si>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</si>
  <si>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</si>
  <si>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</si>
  <si>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</si>
  <si>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</si>
  <si>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</si>
  <si>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</si>
  <si>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</si>
  <si>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</si>
  <si>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</si>
  <si>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</si>
  <si>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</si>
  <si>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</si>
  <si>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</si>
  <si>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</si>
  <si>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</si>
  <si>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</si>
  <si>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</si>
  <si>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</si>
  <si>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</si>
  <si>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</si>
  <si>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</si>
  <si>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</si>
  <si>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</si>
  <si>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</si>
  <si>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</si>
  <si>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</si>
  <si>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</si>
  <si>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</si>
  <si>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</si>
  <si>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</si>
  <si>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</si>
  <si>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</si>
  <si>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</si>
  <si>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</si>
  <si>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</si>
  <si>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</si>
  <si>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</si>
  <si>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</si>
  <si>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</si>
  <si>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</si>
  <si>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</si>
  <si>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</si>
  <si>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</si>
  <si>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</si>
  <si>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</si>
  <si>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</si>
  <si>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</si>
  <si>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</si>
  <si>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</si>
  <si>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</si>
  <si>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</si>
  <si>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</si>
  <si>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</si>
  <si>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</si>
  <si>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</si>
  <si>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</si>
  <si>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</si>
  <si>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</si>
  <si>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</si>
  <si>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</si>
  <si>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</si>
  <si>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</si>
  <si>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</si>
  <si>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</si>
  <si>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</si>
  <si>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</si>
  <si>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</si>
  <si>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</si>
  <si>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</si>
  <si>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</si>
  <si>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</si>
  <si>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</si>
  <si>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</si>
  <si>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</si>
  <si>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</si>
  <si>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</si>
  <si>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</si>
  <si>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</si>
  <si>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</si>
  <si>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</si>
  <si>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</si>
  <si>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</si>
  <si>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</si>
  <si>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</si>
  <si>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</si>
  <si>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</si>
  <si>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</si>
  <si>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</si>
  <si>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</si>
  <si>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</si>
  <si>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</si>
  <si>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</si>
  <si>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</si>
  <si>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</si>
  <si>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</si>
  <si>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</si>
  <si>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</si>
  <si>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</si>
  <si>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</si>
  <si>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</si>
  <si>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</si>
  <si>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</si>
  <si>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</si>
  <si>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</si>
  <si>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</si>
  <si>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</si>
  <si>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</si>
  <si>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</si>
  <si>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</si>
  <si>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</si>
  <si>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</si>
  <si>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</si>
  <si>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</si>
  <si>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</si>
  <si>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</si>
  <si>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</si>
  <si>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</si>
  <si>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</si>
  <si>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</si>
  <si>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</si>
  <si>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</si>
  <si>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</si>
  <si>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</si>
  <si>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</si>
  <si>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</si>
  <si>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</si>
  <si>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</si>
  <si>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</si>
  <si>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</si>
  <si>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</si>
  <si>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</si>
  <si>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</si>
  <si>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</si>
  <si>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</si>
  <si>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</si>
  <si>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</si>
  <si>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</si>
  <si>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</si>
  <si>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</si>
  <si>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</si>
  <si>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</si>
  <si>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</si>
  <si>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</si>
  <si>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</si>
  <si>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</si>
  <si>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</si>
  <si>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</si>
  <si>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</si>
  <si>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</si>
  <si>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</si>
  <si>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</si>
  <si>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</si>
  <si>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</si>
  <si>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</si>
  <si>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</si>
  <si>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</si>
  <si>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</si>
  <si>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</si>
  <si>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</si>
  <si>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</si>
  <si>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</si>
  <si>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</si>
  <si>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</si>
  <si>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</si>
  <si>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</si>
  <si>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</si>
  <si>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</si>
  <si>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</si>
  <si>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</si>
  <si>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</si>
  <si>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</si>
  <si>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</si>
  <si>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</si>
  <si>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</si>
  <si>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</si>
  <si>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</si>
  <si>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</si>
  <si>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</si>
  <si>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</si>
  <si>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</si>
  <si>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</si>
  <si>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</si>
  <si>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</si>
  <si>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</si>
  <si>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</si>
  <si>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</si>
  <si>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</si>
  <si>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</si>
  <si>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</si>
  <si>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</si>
  <si>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</si>
  <si>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</si>
  <si>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</si>
  <si>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</si>
  <si>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</si>
  <si>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</si>
  <si>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</si>
  <si>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</si>
  <si>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</si>
  <si>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</si>
  <si>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</si>
  <si>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</si>
  <si>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</si>
  <si>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</si>
  <si>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</si>
  <si>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</si>
  <si>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</si>
  <si>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</si>
  <si>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</si>
  <si>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</si>
  <si>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</si>
  <si>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</si>
  <si>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</si>
  <si>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</si>
  <si>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</si>
  <si>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</si>
  <si>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</si>
  <si>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</si>
  <si>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</si>
  <si>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</si>
  <si>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</si>
  <si>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</si>
  <si>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</si>
  <si>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</si>
  <si>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</si>
  <si>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</si>
  <si>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</si>
  <si>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</si>
  <si>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</si>
  <si>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</si>
  <si>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</si>
  <si>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</si>
  <si>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</si>
  <si>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</si>
  <si>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</si>
  <si>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</si>
  <si>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</si>
  <si>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</si>
  <si>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</si>
  <si>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</si>
  <si>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</si>
  <si>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</si>
  <si>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</si>
  <si>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</si>
  <si>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</si>
  <si>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</si>
  <si>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</si>
  <si>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</si>
  <si>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</si>
  <si>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</si>
  <si>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</si>
  <si>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</si>
  <si>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</si>
  <si>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</si>
  <si>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</si>
  <si>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</si>
  <si>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</si>
  <si>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</si>
  <si>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</si>
  <si>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</si>
  <si>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</si>
  <si>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</si>
  <si>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</si>
  <si>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</si>
  <si>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</si>
  <si>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</si>
  <si>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</si>
  <si>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</si>
  <si>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</si>
  <si>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</si>
  <si>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</si>
  <si>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</si>
  <si>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</si>
  <si>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</si>
  <si>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</si>
  <si>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</si>
  <si>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</si>
  <si>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</si>
  <si>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</si>
  <si>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</si>
  <si>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</si>
  <si>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</si>
  <si>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</si>
  <si>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</si>
  <si>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</si>
  <si>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</si>
  <si>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</si>
  <si>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</si>
  <si>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</si>
  <si>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</si>
  <si>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</si>
  <si>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</si>
  <si>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</si>
  <si>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</si>
  <si>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</si>
  <si>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</si>
  <si>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</si>
  <si>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</si>
  <si>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</si>
  <si>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</si>
  <si>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</si>
  <si>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</si>
  <si>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</si>
  <si>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</si>
  <si>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</si>
  <si>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</si>
  <si>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</si>
  <si>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</si>
  <si>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</si>
  <si>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</si>
  <si>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</si>
  <si>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</si>
  <si>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</si>
  <si>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</si>
  <si>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</si>
  <si>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</si>
  <si>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</si>
  <si>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</si>
  <si>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</si>
  <si>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</si>
  <si>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</si>
  <si>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</si>
  <si>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</si>
  <si>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</si>
  <si>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</si>
  <si>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</si>
  <si>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</si>
  <si>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</si>
  <si>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</si>
  <si>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</si>
  <si>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</si>
  <si>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</si>
  <si>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</si>
  <si>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</si>
  <si>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</si>
  <si>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</si>
  <si>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</si>
  <si>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</si>
  <si>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</si>
  <si>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</si>
  <si>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</si>
  <si>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</si>
  <si>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</si>
  <si>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</si>
  <si>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</si>
  <si>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</si>
  <si>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</si>
  <si>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</si>
  <si>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</si>
  <si>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</si>
  <si>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</si>
  <si>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</si>
  <si>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</si>
  <si>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</si>
  <si>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</si>
  <si>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</si>
  <si>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</si>
  <si>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</si>
  <si>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</si>
  <si>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</si>
  <si>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</si>
  <si>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</si>
  <si>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</si>
  <si>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</si>
  <si>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</si>
  <si>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</si>
  <si>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</si>
  <si>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</si>
  <si>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</si>
  <si>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</si>
  <si>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</si>
  <si>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</si>
  <si>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</si>
  <si>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</si>
  <si>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</si>
  <si>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</si>
  <si>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</si>
  <si>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</si>
  <si>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</si>
  <si>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</si>
  <si>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</si>
  <si>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</si>
  <si>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</si>
  <si>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</si>
  <si>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</si>
  <si>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</si>
  <si>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</si>
  <si>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</si>
  <si>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</si>
  <si>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</si>
  <si>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</si>
  <si>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</si>
  <si>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</si>
  <si>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</si>
  <si>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</si>
  <si>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</si>
  <si>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</si>
  <si>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</si>
  <si>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</si>
  <si>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</si>
  <si>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</si>
  <si>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</si>
  <si>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</si>
  <si>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</si>
  <si>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</si>
  <si>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</si>
  <si>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</si>
  <si>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</si>
  <si>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</si>
  <si>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</si>
  <si>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</si>
  <si>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</si>
  <si>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</si>
  <si>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</si>
  <si>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</si>
  <si>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</si>
  <si>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</si>
  <si>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</si>
  <si>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</si>
  <si>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</si>
  <si>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</si>
  <si>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</si>
  <si>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</si>
  <si>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</si>
  <si>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</si>
  <si>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</si>
  <si>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</si>
  <si>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</si>
  <si>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</si>
  <si>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</si>
  <si>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</si>
  <si>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</si>
  <si>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</si>
  <si>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</si>
  <si>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</si>
  <si>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</si>
  <si>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</si>
  <si>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</si>
  <si>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</si>
  <si>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</si>
  <si>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</si>
  <si>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</si>
  <si>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</si>
  <si>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</si>
  <si>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</si>
  <si>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</si>
  <si>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</si>
  <si>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</si>
  <si>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</si>
  <si>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</si>
  <si>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</si>
  <si>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</si>
  <si>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</si>
  <si>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</si>
  <si>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</si>
  <si>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</si>
  <si>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</si>
  <si>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</si>
  <si>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</si>
  <si>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</si>
  <si>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</si>
  <si>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</si>
  <si>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</si>
  <si>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</si>
  <si>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</si>
  <si>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</si>
  <si>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</si>
  <si>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</si>
  <si>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</si>
  <si>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</si>
  <si>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</si>
  <si>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</si>
  <si>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</si>
  <si>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</si>
  <si>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</si>
  <si>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</si>
  <si>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</si>
  <si>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</si>
  <si>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</si>
  <si>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</si>
  <si>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</si>
  <si>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</si>
  <si>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</si>
  <si>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</si>
  <si>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</si>
  <si>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</si>
  <si>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</si>
  <si>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</si>
  <si>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</si>
  <si>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</si>
  <si>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</si>
  <si>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</si>
  <si>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</si>
  <si>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</si>
  <si>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</si>
  <si>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</si>
  <si>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</si>
  <si>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</si>
  <si>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</si>
  <si>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</si>
  <si>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</si>
  <si>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</si>
  <si>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</si>
  <si>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</si>
  <si>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</si>
  <si>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</si>
  <si>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</si>
  <si>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</si>
  <si>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</si>
  <si>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</si>
  <si>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</si>
  <si>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</si>
  <si>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</si>
  <si>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</si>
  <si>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</si>
  <si>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</si>
  <si>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</si>
  <si>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</si>
  <si>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</si>
  <si>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</si>
  <si>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</si>
  <si>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</si>
  <si>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</si>
  <si>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</si>
  <si>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</si>
  <si>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</si>
  <si>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</si>
  <si>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</si>
  <si>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</si>
  <si>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</si>
  <si>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</si>
  <si>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</si>
  <si>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</si>
  <si>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</si>
  <si>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</si>
  <si>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</si>
  <si>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</si>
  <si>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</si>
  <si>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</si>
  <si>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</si>
  <si>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</si>
  <si>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</si>
  <si>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</si>
  <si>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</si>
  <si>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</si>
  <si>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</si>
  <si>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</si>
  <si>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</si>
  <si>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</si>
  <si>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</si>
  <si>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</si>
  <si>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</si>
  <si>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</si>
  <si>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</si>
  <si>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</si>
  <si>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</si>
  <si>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</si>
  <si>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</si>
  <si>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</si>
  <si>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</si>
  <si>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</si>
  <si>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</si>
  <si>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</si>
  <si>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</si>
  <si>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</si>
  <si>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</si>
  <si>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</si>
  <si>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</si>
  <si>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</si>
  <si>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</si>
  <si>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</si>
  <si>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</si>
  <si>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</si>
  <si>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</si>
  <si>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</si>
  <si>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</si>
  <si>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</si>
  <si>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</si>
  <si>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</si>
  <si>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</si>
  <si>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</si>
  <si>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</si>
  <si>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</si>
  <si>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</si>
  <si>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</si>
  <si>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</si>
  <si>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</si>
  <si>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</si>
  <si>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</si>
  <si>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</si>
  <si>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</si>
  <si>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</si>
  <si>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</si>
  <si>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</si>
  <si>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</si>
  <si>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</si>
  <si>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</si>
  <si>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</si>
  <si>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</si>
  <si>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</si>
  <si>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</si>
  <si>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</si>
  <si>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</si>
  <si>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</si>
  <si>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</si>
  <si>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</si>
  <si>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</si>
  <si>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</si>
  <si>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</si>
  <si>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</si>
  <si>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</si>
  <si>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</si>
  <si>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</si>
  <si>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</si>
  <si>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</si>
  <si>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</si>
  <si>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</si>
  <si>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</si>
  <si>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</si>
  <si>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</si>
  <si>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</si>
  <si>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</si>
  <si>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</si>
  <si>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</si>
  <si>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</si>
  <si>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</si>
  <si>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</si>
  <si>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</si>
  <si>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</si>
  <si>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</si>
  <si>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</si>
  <si>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</si>
  <si>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</si>
  <si>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</si>
  <si>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</si>
  <si>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</si>
  <si>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</si>
  <si>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</si>
  <si>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</si>
  <si>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</si>
  <si>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</si>
  <si>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</si>
  <si>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</si>
  <si>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</si>
  <si>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</si>
  <si>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</si>
  <si>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</si>
  <si>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</si>
  <si>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</si>
  <si>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</si>
  <si>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</si>
  <si>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</si>
  <si>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</si>
  <si>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</si>
  <si>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</si>
  <si>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</si>
  <si>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</si>
  <si>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</si>
  <si>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</si>
  <si>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</si>
  <si>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</si>
  <si>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</si>
  <si>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</si>
  <si>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</si>
  <si>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</si>
  <si>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</si>
  <si>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</si>
  <si>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</si>
  <si>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</si>
  <si>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</si>
  <si>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</si>
  <si>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</si>
  <si>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</si>
  <si>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</si>
  <si>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</si>
  <si>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</si>
  <si>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</si>
  <si>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</si>
  <si>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</si>
  <si>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</si>
  <si>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</si>
  <si>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</si>
  <si>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</si>
  <si>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</si>
  <si>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</si>
  <si>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</si>
  <si>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</si>
  <si>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</si>
  <si>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</si>
  <si>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</si>
  <si>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</si>
  <si>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</si>
  <si>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</si>
  <si>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</si>
  <si>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</si>
  <si>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</si>
  <si>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</si>
  <si>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</si>
  <si>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</si>
  <si>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</si>
  <si>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</si>
  <si>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</si>
  <si>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</si>
  <si>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</si>
  <si>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</si>
  <si>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</si>
  <si>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</si>
  <si>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</si>
  <si>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</si>
  <si>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</si>
  <si>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</si>
  <si>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</si>
  <si>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</si>
  <si>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</si>
  <si>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</si>
  <si>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</si>
  <si>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</si>
  <si>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</si>
  <si>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</si>
  <si>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</si>
  <si>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</si>
  <si>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</si>
  <si>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</si>
  <si>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</si>
  <si>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</si>
  <si>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</si>
  <si>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</si>
  <si>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</si>
  <si>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</si>
  <si>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</si>
  <si>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</si>
  <si>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</si>
  <si>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</si>
  <si>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</si>
  <si>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</si>
  <si>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</si>
  <si>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</si>
  <si>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</si>
  <si>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</si>
  <si>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</si>
  <si>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</si>
  <si>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</si>
  <si>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</si>
  <si>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</si>
  <si>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</si>
  <si>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</si>
  <si>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</si>
  <si>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</si>
  <si>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</si>
  <si>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</si>
  <si>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</si>
  <si>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</si>
  <si>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</si>
  <si>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</si>
  <si>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</si>
  <si>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</si>
  <si>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</si>
  <si>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</si>
  <si>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</si>
  <si>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</si>
  <si>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</si>
  <si>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</si>
  <si>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</si>
  <si>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</si>
  <si>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</si>
  <si>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</si>
  <si>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</si>
  <si>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</si>
  <si>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</si>
  <si>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</si>
  <si>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</si>
  <si>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</si>
  <si>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</si>
  <si>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</si>
  <si>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</si>
  <si>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</si>
  <si>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</si>
  <si>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</si>
  <si>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</si>
  <si>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</si>
  <si>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</si>
  <si>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</si>
  <si>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</si>
  <si>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</si>
  <si>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</si>
  <si>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</si>
  <si>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</si>
  <si>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</si>
  <si>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</si>
  <si>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</si>
  <si>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</si>
  <si>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</si>
  <si>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</si>
  <si>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</si>
  <si>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</si>
  <si>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</si>
  <si>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</si>
  <si>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</si>
  <si>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</si>
  <si>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</si>
  <si>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</si>
  <si>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</si>
  <si>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</si>
  <si>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</si>
  <si>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</si>
  <si>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</si>
  <si>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</si>
  <si>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</si>
  <si>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</si>
  <si>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</si>
  <si>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</si>
  <si>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</si>
  <si>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</si>
  <si>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</si>
  <si>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</si>
  <si>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</si>
  <si>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</si>
  <si>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</si>
  <si>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</si>
  <si>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</si>
  <si>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</si>
  <si>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</si>
  <si>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</si>
  <si>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</si>
  <si>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</si>
  <si>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</si>
  <si>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</si>
  <si>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</si>
  <si>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</si>
  <si>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</si>
  <si>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</si>
  <si>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</si>
  <si>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</si>
  <si>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</si>
  <si>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</si>
  <si>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</si>
  <si>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</si>
  <si>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</si>
  <si>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</si>
  <si>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</si>
  <si>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</si>
  <si>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</si>
  <si>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</si>
  <si>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</si>
  <si>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</si>
  <si>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</si>
  <si>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</si>
  <si>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</si>
  <si>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</si>
  <si>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</si>
  <si>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</si>
  <si>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</si>
  <si>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</si>
  <si>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</si>
  <si>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</si>
  <si>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</si>
  <si>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</si>
  <si>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</si>
  <si>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</si>
  <si>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</si>
  <si>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</si>
  <si>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</si>
  <si>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</si>
  <si>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</si>
  <si>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</si>
  <si>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</si>
  <si>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</si>
  <si>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</si>
  <si>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</si>
  <si>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</si>
  <si>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</si>
  <si>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</si>
  <si>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</si>
  <si>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</si>
  <si>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</si>
  <si>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</si>
  <si>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</si>
  <si>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</si>
  <si>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</si>
  <si>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</si>
  <si>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</si>
  <si>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</si>
  <si>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</si>
  <si>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</si>
  <si>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</si>
  <si>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</si>
  <si>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</si>
  <si>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</si>
  <si>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</si>
  <si>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</si>
  <si>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</si>
  <si>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</si>
  <si>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</si>
  <si>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</si>
  <si>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</si>
  <si>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</si>
  <si>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</si>
  <si>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</si>
  <si>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</si>
  <si>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</si>
  <si>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</si>
  <si>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</si>
  <si>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</si>
  <si>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</si>
  <si>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</si>
  <si>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</si>
  <si>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</si>
  <si>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</si>
  <si>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</si>
  <si>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</si>
  <si>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</si>
  <si>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</si>
  <si>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</si>
  <si>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</si>
  <si>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</si>
  <si>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</si>
  <si>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</si>
  <si>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</si>
  <si>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</si>
  <si>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</si>
  <si>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</si>
  <si>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</si>
  <si>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</si>
  <si>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</si>
  <si>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</si>
  <si>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</si>
  <si>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</si>
  <si>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</si>
  <si>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</si>
  <si>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</si>
  <si>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</si>
  <si>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</si>
  <si>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</si>
  <si>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</si>
  <si>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</si>
  <si>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</si>
  <si>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</si>
  <si>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</si>
  <si>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</si>
  <si>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</si>
  <si>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</si>
  <si>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</si>
  <si>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</si>
  <si>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</si>
  <si>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</si>
  <si>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</si>
  <si>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</si>
  <si>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</si>
  <si>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</si>
  <si>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</si>
  <si>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</si>
  <si>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</si>
  <si>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</si>
  <si>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</si>
  <si>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</si>
  <si>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</si>
  <si>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</si>
  <si>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</si>
  <si>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</si>
  <si>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</si>
  <si>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</si>
  <si>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</si>
  <si>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</si>
  <si>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</si>
  <si>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</si>
  <si>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</si>
  <si>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</si>
  <si>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</si>
  <si>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</si>
  <si>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</si>
  <si>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</si>
  <si>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</si>
  <si>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</si>
  <si>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</si>
  <si>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</si>
  <si>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</si>
  <si>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</si>
  <si>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</si>
  <si>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</si>
  <si>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</si>
  <si>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</si>
  <si>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</si>
  <si>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</si>
  <si>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</si>
  <si>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</si>
  <si>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</si>
  <si>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</si>
  <si>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</si>
  <si>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</si>
  <si>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</si>
  <si>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</si>
  <si>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</si>
  <si>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</si>
  <si>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</si>
  <si>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</si>
  <si>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</si>
  <si>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</si>
  <si>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</si>
  <si>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</si>
  <si>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</si>
  <si>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</si>
  <si>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</si>
  <si>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</si>
  <si>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</si>
  <si>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</si>
  <si>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</si>
  <si>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</si>
  <si>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</si>
  <si>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</si>
  <si>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</si>
  <si>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</si>
  <si>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</si>
  <si>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</si>
  <si>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</si>
  <si>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</si>
  <si>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</si>
  <si>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</si>
  <si>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</si>
  <si>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</si>
  <si>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</si>
  <si>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</si>
  <si>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</si>
  <si>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</si>
  <si>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</si>
  <si>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</si>
  <si>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</si>
  <si>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</si>
  <si>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</si>
  <si>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</si>
  <si>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</si>
  <si>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</si>
  <si>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</si>
  <si>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</si>
  <si>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</si>
  <si>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</si>
  <si>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</si>
  <si>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</si>
  <si>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</si>
  <si>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</si>
  <si>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</si>
  <si>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</si>
  <si>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</si>
  <si>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</si>
  <si>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</si>
  <si>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</si>
  <si>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</si>
  <si>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</si>
  <si>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</si>
  <si>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</si>
  <si>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</si>
  <si>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</si>
  <si>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</si>
  <si>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</si>
  <si>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</si>
  <si>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</si>
  <si>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</si>
  <si>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</si>
  <si>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</si>
  <si>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</si>
  <si>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</si>
  <si>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</si>
  <si>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</si>
  <si>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</si>
  <si>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</si>
  <si>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</si>
  <si>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</si>
  <si>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</si>
  <si>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</si>
  <si>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</si>
  <si>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</si>
  <si>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</si>
  <si>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</si>
  <si>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</si>
  <si>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</si>
  <si>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</si>
  <si>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</si>
  <si>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</si>
  <si>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</si>
  <si>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</si>
  <si>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</si>
  <si>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</si>
  <si>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</si>
  <si>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</si>
  <si>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</si>
  <si>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</si>
  <si>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</si>
  <si>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</si>
  <si>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</si>
  <si>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</si>
  <si>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</si>
  <si>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</si>
  <si>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</si>
  <si>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</si>
  <si>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</si>
  <si>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</si>
  <si>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</si>
  <si>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</si>
  <si>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</si>
  <si>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</si>
  <si>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</si>
  <si>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</si>
  <si>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</si>
  <si>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</si>
  <si>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</si>
  <si>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</si>
  <si>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</si>
  <si>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</si>
  <si>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</si>
  <si>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</si>
  <si>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</si>
  <si>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</si>
  <si>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</si>
  <si>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</si>
  <si>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</si>
  <si>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</si>
  <si>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</si>
  <si>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</si>
  <si>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</si>
  <si>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</si>
  <si>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</si>
  <si>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</si>
  <si>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</si>
  <si>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</si>
  <si>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</si>
  <si>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</si>
  <si>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</si>
  <si>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</si>
  <si>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</si>
  <si>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</si>
  <si>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</si>
  <si>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</si>
  <si>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</si>
  <si>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</si>
  <si>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</si>
  <si>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</si>
  <si>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</si>
  <si>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</si>
  <si>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</si>
  <si>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</si>
  <si>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</si>
  <si>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</si>
  <si>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</si>
  <si>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</si>
  <si>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</si>
  <si>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</si>
  <si>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</si>
  <si>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</si>
  <si>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</si>
  <si>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</si>
  <si>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</si>
  <si>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</si>
  <si>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</si>
  <si>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</si>
  <si>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</si>
  <si>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</si>
  <si>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</si>
  <si>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</si>
  <si>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</si>
  <si>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</si>
  <si>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</si>
  <si>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</si>
  <si>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</si>
  <si>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</si>
  <si>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</si>
  <si>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</si>
  <si>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</si>
  <si>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</si>
  <si>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</si>
  <si>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</si>
  <si>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</si>
  <si>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</si>
  <si>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</si>
  <si>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</si>
  <si>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</si>
  <si>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</si>
  <si>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</si>
  <si>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</si>
  <si>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</si>
  <si>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</si>
  <si>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</si>
  <si>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</si>
  <si>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</si>
  <si>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</si>
  <si>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</si>
  <si>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</si>
  <si>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</si>
  <si>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</si>
  <si>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</si>
  <si>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</si>
  <si>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</si>
  <si>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</si>
  <si>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</si>
  <si>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</si>
  <si>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</si>
  <si>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</si>
  <si>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</si>
  <si>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</si>
  <si>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</si>
  <si>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</si>
  <si>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</si>
  <si>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</si>
  <si>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</si>
  <si>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</si>
  <si>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</si>
  <si>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</si>
  <si>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</si>
  <si>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</si>
  <si>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</si>
  <si>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</si>
  <si>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</si>
  <si>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</si>
  <si>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</si>
  <si>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</si>
  <si>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</si>
  <si>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</si>
  <si>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</si>
  <si>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</si>
  <si>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</si>
  <si>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</si>
  <si>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</si>
  <si>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</si>
  <si>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</si>
  <si>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</si>
  <si>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</si>
  <si>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</si>
  <si>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</si>
  <si>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</si>
  <si>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</si>
  <si>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</si>
  <si>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</si>
  <si>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</si>
  <si>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</si>
  <si>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</si>
  <si>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</si>
  <si>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</si>
  <si>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</si>
  <si>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</si>
  <si>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</si>
  <si>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</si>
  <si>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</si>
  <si>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</si>
  <si>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</si>
  <si>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</si>
  <si>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</si>
  <si>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</si>
  <si>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</si>
  <si>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</si>
  <si>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</si>
  <si>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</si>
  <si>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</si>
  <si>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</si>
  <si>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</si>
  <si>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</si>
  <si>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</si>
  <si>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</si>
  <si>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</si>
  <si>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</si>
  <si>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</si>
  <si>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</si>
  <si>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</si>
  <si>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</si>
  <si>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</si>
  <si>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</si>
  <si>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</si>
  <si>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</si>
  <si>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</si>
  <si>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</si>
  <si>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</si>
  <si>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</si>
  <si>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</si>
  <si>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</si>
  <si>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</si>
  <si>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</si>
  <si>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</si>
  <si>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</si>
  <si>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</si>
  <si>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</si>
  <si>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</si>
  <si>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</si>
  <si>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</si>
  <si>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</si>
  <si>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</si>
  <si>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</si>
  <si>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</si>
  <si>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</si>
  <si>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</si>
  <si>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</si>
  <si>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</si>
  <si>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</si>
  <si>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</si>
  <si>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</si>
  <si>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</si>
  <si>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</si>
  <si>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</si>
  <si>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</si>
  <si>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</si>
  <si>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</si>
  <si>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</si>
  <si>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</si>
  <si>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</si>
  <si>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</si>
  <si>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</si>
  <si>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</si>
  <si>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</si>
  <si>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</si>
  <si>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</si>
  <si>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</si>
  <si>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</si>
  <si>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</si>
  <si>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</si>
  <si>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</si>
  <si>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</si>
  <si>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</si>
  <si>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</si>
  <si>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</si>
  <si>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</si>
  <si>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</si>
  <si>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</si>
  <si>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</si>
  <si>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</si>
  <si>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</si>
  <si>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</si>
  <si>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</si>
  <si>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</si>
  <si>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</si>
  <si>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</si>
  <si>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</si>
  <si>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</si>
  <si>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</si>
  <si>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</si>
  <si>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</si>
  <si>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</si>
  <si>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</si>
  <si>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</si>
  <si>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</si>
  <si>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</si>
  <si>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</si>
  <si>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</si>
  <si>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</si>
  <si>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</si>
  <si>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</si>
  <si>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</si>
  <si>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</si>
  <si>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</si>
  <si>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</si>
  <si>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</si>
  <si>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</si>
  <si>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</si>
  <si>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</si>
  <si>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</si>
  <si>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</si>
  <si>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</si>
  <si>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</si>
  <si>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</si>
  <si>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</si>
  <si>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</si>
  <si>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</si>
  <si>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</si>
  <si>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</si>
  <si>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</si>
  <si>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</si>
  <si>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</si>
  <si>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</si>
  <si>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</si>
  <si>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</si>
  <si>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</si>
  <si>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</si>
  <si>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</si>
  <si>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</si>
  <si>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</si>
  <si>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</si>
  <si>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</si>
  <si>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</si>
  <si>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</si>
  <si>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</si>
  <si>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</si>
  <si>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</si>
  <si>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</si>
  <si>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</si>
  <si>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</si>
  <si>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</si>
  <si>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</si>
  <si>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</si>
  <si>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</si>
  <si>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</si>
  <si>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</si>
  <si>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</si>
  <si>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</si>
  <si>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</si>
  <si>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</si>
  <si>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</si>
  <si>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</si>
  <si>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</si>
  <si>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</si>
  <si>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</si>
  <si>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</si>
  <si>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</si>
  <si>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</si>
  <si>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</si>
  <si>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</si>
  <si>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</si>
  <si>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</si>
  <si>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</si>
  <si>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</si>
  <si>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</si>
  <si>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</si>
  <si>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</si>
  <si>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</si>
  <si>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</si>
  <si>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</si>
  <si>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</si>
  <si>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</si>
  <si>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</si>
  <si>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</si>
  <si>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</si>
  <si>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</si>
  <si>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</si>
  <si>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</si>
  <si>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</si>
  <si>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</si>
  <si>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</si>
  <si>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</si>
  <si>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</si>
  <si>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</si>
  <si>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</si>
  <si>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</si>
  <si>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</si>
  <si>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</si>
  <si>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</si>
  <si>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</si>
  <si>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</si>
  <si>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</si>
  <si>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</si>
  <si>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</si>
  <si>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</si>
  <si>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</si>
  <si>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</si>
  <si>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</si>
  <si>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</si>
  <si>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</si>
  <si>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</si>
  <si>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</si>
  <si>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</si>
  <si>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</si>
  <si>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</si>
  <si>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</si>
  <si>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</si>
  <si>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</si>
  <si>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</si>
  <si>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</si>
  <si>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</si>
  <si>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</si>
  <si>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</si>
  <si>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</si>
  <si>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</si>
  <si>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</si>
  <si>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</si>
  <si>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</si>
  <si>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</si>
  <si>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</si>
  <si>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</si>
  <si>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</si>
  <si>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</si>
  <si>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</si>
  <si>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</si>
  <si>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</si>
  <si>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</si>
  <si>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</si>
  <si>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</si>
  <si>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</si>
  <si>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</si>
  <si>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</si>
  <si>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</si>
  <si>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</si>
  <si>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</si>
  <si>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</si>
  <si>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</si>
  <si>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</si>
  <si>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</si>
  <si>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</si>
  <si>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</si>
  <si>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</si>
  <si>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</si>
  <si>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</si>
  <si>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</si>
  <si>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</si>
  <si>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</si>
  <si>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</si>
  <si>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</si>
  <si>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</si>
  <si>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</si>
  <si>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</si>
  <si>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</si>
  <si>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</si>
  <si>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</si>
  <si>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</si>
  <si>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</si>
  <si>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</si>
  <si>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</si>
  <si>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</si>
  <si>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</si>
  <si>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</si>
  <si>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</si>
  <si>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</si>
  <si>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</si>
  <si>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</si>
  <si>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</si>
  <si>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</si>
  <si>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</si>
  <si>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</si>
  <si>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</si>
  <si>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</si>
  <si>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</si>
  <si>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</si>
  <si>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</si>
  <si>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</si>
  <si>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</si>
  <si>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</si>
  <si>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核定资产</t>
  </si>
  <si>
    <t>市场价格</t>
  </si>
  <si>
    <t>企业</t>
  </si>
  <si>
    <t>划拨</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</si>
  <si>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</si>
  <si>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</si>
  <si>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</si>
  <si>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</si>
  <si>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</si>
  <si>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</si>
  <si>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t>成本逼近</t>
    <phoneticPr fontId="229" type="noConversion"/>
  </si>
  <si>
    <t>地上</t>
  </si>
  <si>
    <t>科教用地</t>
  </si>
  <si>
    <t>宗地容积率</t>
  </si>
  <si>
    <t>特殊用地</t>
  </si>
  <si>
    <t>特殊用地</t>
    <phoneticPr fontId="8" type="noConversion"/>
  </si>
  <si>
    <t>成新度</t>
  </si>
  <si>
    <t>不动产收益法</t>
  </si>
  <si>
    <t>与级别开发程度一致</t>
  </si>
  <si>
    <t>按公示增长率计算</t>
  </si>
  <si>
    <t>容积率修正</t>
  </si>
  <si>
    <t>砖混</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</si>
  <si>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</si>
  <si>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</si>
  <si>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</si>
  <si>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</si>
  <si>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</si>
  <si>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</si>
  <si>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</si>
  <si>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</si>
  <si>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</si>
  <si>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</si>
  <si>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</si>
  <si>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</si>
  <si>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</si>
  <si>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</si>
  <si>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</si>
  <si>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</si>
  <si>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</si>
  <si>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</si>
  <si>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</si>
  <si>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</si>
  <si>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</si>
  <si>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</si>
  <si>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</si>
  <si>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</si>
  <si>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</si>
  <si>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</si>
  <si>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</si>
  <si>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</si>
  <si>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</si>
  <si>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</si>
  <si>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</si>
  <si>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</si>
  <si>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</si>
  <si>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</si>
  <si>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</si>
  <si>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</si>
  <si>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</si>
  <si>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</si>
  <si>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</si>
  <si>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</si>
  <si>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</si>
  <si>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</si>
  <si>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</si>
  <si>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</si>
  <si>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</si>
  <si>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</si>
  <si>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</si>
  <si>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</si>
  <si>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</si>
  <si>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</si>
  <si>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</si>
  <si>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</si>
  <si>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</si>
  <si>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</si>
  <si>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</si>
  <si>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</si>
  <si>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</si>
  <si>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</si>
  <si>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</si>
  <si>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</si>
  <si>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</si>
  <si>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</si>
  <si>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</si>
  <si>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</si>
  <si>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</si>
  <si>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</si>
  <si>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</si>
  <si>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</si>
  <si>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</si>
  <si>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</si>
  <si>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</si>
  <si>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</si>
  <si>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</si>
  <si>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</si>
  <si>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</si>
  <si>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</si>
  <si>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</si>
  <si>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</si>
  <si>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</si>
  <si>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</si>
  <si>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</si>
  <si>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</si>
  <si>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</si>
  <si>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</si>
  <si>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</si>
  <si>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</si>
  <si>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</si>
  <si>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</si>
  <si>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</si>
  <si>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</si>
  <si>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</si>
  <si>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</si>
  <si>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</si>
  <si>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</si>
  <si>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</si>
  <si>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</si>
  <si>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</si>
  <si>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</si>
  <si>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</si>
  <si>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</si>
  <si>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</si>
  <si>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</si>
  <si>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</si>
  <si>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</si>
  <si>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</si>
  <si>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</si>
  <si>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</si>
  <si>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</si>
  <si>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</si>
  <si>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</si>
  <si>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</si>
  <si>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</si>
  <si>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</si>
  <si>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</si>
  <si>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</si>
  <si>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</si>
  <si>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</si>
  <si>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</si>
  <si>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</si>
  <si>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</si>
  <si>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</si>
  <si>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</si>
  <si>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</si>
  <si>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</si>
  <si>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</si>
  <si>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</si>
  <si>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</si>
  <si>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</si>
  <si>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</si>
  <si>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</si>
  <si>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</si>
  <si>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</si>
  <si>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</si>
  <si>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</si>
  <si>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</si>
  <si>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</si>
  <si>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</si>
  <si>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</si>
  <si>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</si>
  <si>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</si>
  <si>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</si>
  <si>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</si>
  <si>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</si>
  <si>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</si>
  <si>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</si>
  <si>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</si>
  <si>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</si>
  <si>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</si>
  <si>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</si>
  <si>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</si>
  <si>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</si>
  <si>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</si>
  <si>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</si>
  <si>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</si>
  <si>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</si>
  <si>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</si>
  <si>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</si>
  <si>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</si>
  <si>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</si>
  <si>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</si>
  <si>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</si>
  <si>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</si>
  <si>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</si>
  <si>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</si>
  <si>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</si>
  <si>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征收补偿安置费</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</si>
  <si>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</si>
  <si>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</si>
  <si>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</si>
  <si>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</si>
  <si>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</si>
  <si>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</si>
  <si>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</si>
  <si>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</si>
  <si>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</si>
  <si>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</si>
  <si>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</si>
  <si>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</si>
  <si>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</si>
  <si>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</si>
  <si>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</si>
  <si>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</si>
  <si>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</si>
  <si>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</si>
  <si>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</si>
  <si>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</si>
  <si>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</si>
  <si>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高教园区10号地（南侧）土地一级开发项目17-02-09、10、12地块</t>
    <phoneticPr fontId="4"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</si>
  <si>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</si>
  <si>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</si>
  <si>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</si>
  <si>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</si>
  <si>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</si>
  <si>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</si>
  <si>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3月</t>
    <phoneticPr fontId="4" type="noConversion"/>
  </si>
  <si>
    <t>房山区青龙湖镇东部局部地块（FS16-0201-0004等地块）
土地一级开发项目</t>
    <phoneticPr fontId="4"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</si>
  <si>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</si>
  <si>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</si>
  <si>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</si>
  <si>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</si>
  <si>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</si>
  <si>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</si>
  <si>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</si>
  <si>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</si>
  <si>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</si>
  <si>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</si>
  <si>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</si>
  <si>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</si>
  <si>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怀柔区怀柔镇04街区HR00-0004-6001、6002、6003、6004地块F2用地及0050地块供燃气用地</t>
    <phoneticPr fontId="4" type="noConversion"/>
  </si>
  <si>
    <t>北京市土地整理储备中心怀柔区分中心</t>
    <phoneticPr fontId="4"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</si>
  <si>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</si>
  <si>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</si>
  <si>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</si>
  <si>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</si>
  <si>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</si>
  <si>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</si>
  <si>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</si>
  <si>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</si>
  <si>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</si>
  <si>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</si>
  <si>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</si>
  <si>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</si>
  <si>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</si>
  <si>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7月</t>
    <phoneticPr fontId="4" type="noConversion"/>
  </si>
  <si>
    <t>大兴</t>
    <phoneticPr fontId="4" type="noConversion"/>
  </si>
  <si>
    <t>大兴开发区北区1号地A、B组团土地一级开发项目DX00-0301-0029、0030、0039、0040、0146地块</t>
    <phoneticPr fontId="4" type="noConversion"/>
  </si>
  <si>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</si>
  <si>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</si>
  <si>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</si>
  <si>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</si>
  <si>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</si>
  <si>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</si>
  <si>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</si>
  <si>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</si>
  <si>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</si>
  <si>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</si>
  <si>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</si>
  <si>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</si>
  <si>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</si>
  <si>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</si>
  <si>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</si>
  <si>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</si>
  <si>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</si>
  <si>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</si>
  <si>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</si>
  <si>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</si>
  <si>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</si>
  <si>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</si>
  <si>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社会停车场、商业金融、托幼用地、居住用地</t>
    <phoneticPr fontId="4" type="noConversion"/>
  </si>
  <si>
    <t>第13期</t>
    <phoneticPr fontId="285" type="noConversion"/>
  </si>
  <si>
    <t>居住用地、综合性商业金融服务业用地、配套教育用地、邮政设施用地</t>
    <phoneticPr fontId="4" type="noConversion"/>
  </si>
  <si>
    <t>第12期</t>
    <phoneticPr fontId="285" type="noConversion"/>
  </si>
  <si>
    <t>12月</t>
    <phoneticPr fontId="4" type="noConversion"/>
  </si>
  <si>
    <t>怀柔区雁栖镇陈各庄村土地一级开发项目</t>
    <phoneticPr fontId="229" type="noConversion"/>
  </si>
  <si>
    <t>押一</t>
  </si>
  <si>
    <t>扣除增值收益率单价（19%）</t>
    <phoneticPr fontId="229" type="noConversion"/>
  </si>
  <si>
    <t>扣除增值收益率单价（25%）</t>
    <phoneticPr fontId="229" type="noConversion"/>
  </si>
  <si>
    <t>Ⅷ-兴1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</si>
</sst>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180" fontId="72" fillId="0" borderId="2" xfId="0" applyNumberFormat="1" applyFont="1" applyBorder="1" applyAlignment="1" applyProtection="1">
      <alignment horizontal="center"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0"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627971</xdr:colOff>
      <xdr:row>41</xdr:row>
      <xdr:rowOff>170872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71750"/>
          <a:ext cx="5438096" cy="4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000000"/>
        </a:xfrm>
        <a:prstGeom prst="rect">
          <a:avLst/>
        </a:prstGeom>
      </xdr:spPr>
    </xdr:pic>
    <xdr:clientData/>
  </xdr:twoCellAnchor>
  <xdr:twoCellAnchor editAs="oneCell">
    <xdr:from>
      <xdr:col>0</xdr:col>
      <xdr:colOff>0</xdr:colOff>
      <xdr:row>30</xdr:row>
      <xdr:rowOff>0</xdr:rowOff>
    </xdr:from>
    <xdr:to>
      <xdr:col>14</xdr:col>
      <xdr:colOff>303563</xdr:colOff>
      <xdr:row>58</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904763"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2020年8月28日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根据《国有土地使用证》[]，估价对象（分摊）出让国有建设用地使用权面积为23300平方米。根据《建设工程规划许可证》[]、《出让合同》[]，估价对象规划建筑面积为23300平方米。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估价期日：2020年8月28日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23300</v>
      </c>
    </row>
    <row r="44" spans="1:2">
      <c r="A44" s="2594" t="s">
        <v>2721</v>
      </c>
      <c r="B44" s="2595" t="str">
        <f>'预评函-2'!O3</f>
        <v>规划建筑面积/㎡</v>
      </c>
    </row>
    <row r="45" spans="1:2">
      <c r="A45" s="2594" t="s">
        <v>2703</v>
      </c>
      <c r="B45" s="2595">
        <f>'预评函-2'!O5</f>
        <v>23300</v>
      </c>
    </row>
    <row r="46" spans="1:2">
      <c r="A46" s="2594" t="s">
        <v>2704</v>
      </c>
      <c r="B46" s="2595" t="e">
        <f ca="1">'预评函-2'!P5</f>
        <v>#REF!</v>
      </c>
    </row>
    <row r="47" spans="1:2">
      <c r="A47" s="2594" t="s">
        <v>2705</v>
      </c>
      <c r="B47" s="2595" t="e">
        <f ca="1">'预评函-2'!Q5</f>
        <v>#REF!</v>
      </c>
    </row>
    <row r="48" spans="1:2">
      <c r="A48" s="2594" t="s">
        <v>2706</v>
      </c>
      <c r="B48" s="2595" t="e">
        <f ca="1">'预评函-2'!R5</f>
        <v>#REF!</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45" sqref="E45"/>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66" t="str">
        <f>IF(B10="北京市","北京市",C10)&amp;F10&amp;B16&amp;"国有建设用地使用权"&amp;B9&amp;"预评估"</f>
        <v>北京市划拨国有建设用地使用权市场价格预评估</v>
      </c>
      <c r="C1" s="3367"/>
      <c r="D1" s="3367"/>
      <c r="E1" s="3367"/>
      <c r="F1" s="3367"/>
      <c r="G1" s="3367"/>
      <c r="H1" s="3367"/>
      <c r="I1" s="3368"/>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c r="C3" s="2996" t="s">
        <v>1984</v>
      </c>
      <c r="D3" s="1589">
        <v>44071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2998</v>
      </c>
      <c r="C8" s="1598"/>
      <c r="D8" s="337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2999</v>
      </c>
      <c r="C9" s="1601"/>
      <c r="D9" s="337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3000</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69"/>
      <c r="C12" s="3370"/>
      <c r="D12" s="3371"/>
      <c r="E12" s="1620" t="s">
        <v>2050</v>
      </c>
      <c r="F12" s="3387" t="s">
        <v>2868</v>
      </c>
      <c r="G12" s="3388"/>
      <c r="H12" s="3388"/>
      <c r="I12" s="3389"/>
      <c r="J12" s="3073"/>
      <c r="K12" s="3056"/>
      <c r="L12" s="3052"/>
      <c r="M12" s="3052"/>
      <c r="N12" s="3053"/>
      <c r="O12" s="3054"/>
      <c r="P12" s="3053"/>
      <c r="Q12" s="3053"/>
      <c r="R12" s="3053"/>
      <c r="S12" s="3053"/>
      <c r="T12" s="3053"/>
      <c r="U12" s="3053"/>
    </row>
    <row r="13" spans="1:21">
      <c r="A13" s="1611" t="s">
        <v>2048</v>
      </c>
      <c r="B13" s="3369"/>
      <c r="C13" s="3370"/>
      <c r="D13" s="3371"/>
      <c r="E13" s="1620" t="s">
        <v>2050</v>
      </c>
      <c r="F13" s="3387" t="s">
        <v>2869</v>
      </c>
      <c r="G13" s="3388"/>
      <c r="H13" s="3388"/>
      <c r="I13" s="3389"/>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3001</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3"/>
      <c r="K19" s="3056"/>
      <c r="L19" s="3052"/>
      <c r="M19" s="3052"/>
      <c r="N19" s="3053"/>
      <c r="O19" s="3054"/>
      <c r="P19" s="3053"/>
      <c r="Q19" s="3053"/>
      <c r="R19" s="3053"/>
      <c r="S19" s="3053"/>
      <c r="T19" s="3053"/>
      <c r="U19" s="3053"/>
    </row>
    <row r="20" spans="1:21">
      <c r="A20" s="1699"/>
      <c r="B20" s="1700"/>
      <c r="C20" s="1701" t="s">
        <v>2049</v>
      </c>
      <c r="D20" s="3384"/>
      <c r="E20" s="3385"/>
      <c r="F20" s="3385"/>
      <c r="G20" s="3385"/>
      <c r="H20" s="3385"/>
      <c r="I20" s="3386"/>
      <c r="J20" s="3073"/>
      <c r="K20" s="3056"/>
      <c r="L20" s="3052"/>
      <c r="M20" s="3052"/>
      <c r="N20" s="3053"/>
      <c r="O20" s="3054"/>
      <c r="P20" s="3053"/>
      <c r="Q20" s="3053"/>
      <c r="R20" s="3053"/>
      <c r="S20" s="3053"/>
      <c r="T20" s="3053"/>
      <c r="U20" s="3053"/>
    </row>
    <row r="21" spans="1:21">
      <c r="A21" s="1679" t="s">
        <v>1947</v>
      </c>
      <c r="B21" s="1680" t="s">
        <v>1948</v>
      </c>
      <c r="C21" s="1675">
        <f>'数据-汇总表'!E3</f>
        <v>23300</v>
      </c>
      <c r="D21" s="1676" t="s">
        <v>1949</v>
      </c>
      <c r="E21" s="3374" t="s">
        <v>1987</v>
      </c>
      <c r="F21" s="3375"/>
      <c r="G21" s="3375"/>
      <c r="H21" s="3375"/>
      <c r="I21" s="3376"/>
      <c r="J21" s="3073"/>
      <c r="K21" s="3056"/>
      <c r="L21" s="3052"/>
      <c r="M21" s="3052"/>
      <c r="N21" s="3053"/>
      <c r="O21" s="3054"/>
      <c r="P21" s="3053"/>
      <c r="Q21" s="3053"/>
      <c r="R21" s="3053"/>
      <c r="S21" s="3053"/>
      <c r="T21" s="3053"/>
      <c r="U21" s="3053"/>
    </row>
    <row r="22" spans="1:21">
      <c r="A22" s="2801" t="s">
        <v>943</v>
      </c>
      <c r="B22" s="1588" t="s">
        <v>1950</v>
      </c>
      <c r="C22" s="1610">
        <f>'数据-汇总表'!D3</f>
        <v>23300</v>
      </c>
      <c r="D22" s="1611" t="s">
        <v>1949</v>
      </c>
      <c r="E22" s="3374" t="s">
        <v>2870</v>
      </c>
      <c r="F22" s="3375"/>
      <c r="G22" s="3375"/>
      <c r="H22" s="3375"/>
      <c r="I22" s="337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77" t="s">
        <v>1955</v>
      </c>
      <c r="C24" s="3378"/>
      <c r="D24" s="3379" t="s">
        <v>1956</v>
      </c>
      <c r="E24" s="3380"/>
      <c r="F24" s="1628" t="s">
        <v>1957</v>
      </c>
      <c r="G24" s="3073"/>
      <c r="H24" s="3073"/>
      <c r="I24" s="3077"/>
      <c r="J24" s="3073"/>
      <c r="K24" s="336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6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6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92" t="s">
        <v>1990</v>
      </c>
      <c r="B31" s="1680" t="s">
        <v>1991</v>
      </c>
      <c r="C31" s="3390"/>
      <c r="D31" s="3391"/>
      <c r="E31" s="3073"/>
      <c r="F31" s="3073"/>
      <c r="G31" s="3073"/>
      <c r="H31" s="3073"/>
      <c r="I31" s="3077"/>
      <c r="J31" s="3073"/>
      <c r="K31" s="3059"/>
      <c r="L31" s="3053"/>
      <c r="M31" s="3053"/>
      <c r="N31" s="3053"/>
      <c r="O31" s="3053"/>
      <c r="P31" s="3053"/>
      <c r="Q31" s="3053"/>
      <c r="R31" s="3053"/>
      <c r="S31" s="3053"/>
      <c r="T31" s="3053"/>
      <c r="U31" s="3053"/>
    </row>
    <row r="32" spans="1:21">
      <c r="A32" s="339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9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93"/>
      <c r="B34" s="1588" t="s">
        <v>1994</v>
      </c>
      <c r="C34" s="3394"/>
      <c r="D34" s="3395"/>
      <c r="E34" s="3073"/>
      <c r="F34" s="3073"/>
      <c r="G34" s="3073"/>
      <c r="H34" s="3073"/>
      <c r="I34" s="3077"/>
      <c r="J34" s="3073"/>
      <c r="K34" s="3059"/>
      <c r="L34" s="3053"/>
      <c r="M34" s="3053"/>
      <c r="N34" s="3053"/>
      <c r="O34" s="3053"/>
      <c r="P34" s="3053"/>
      <c r="Q34" s="3053"/>
      <c r="R34" s="3053"/>
      <c r="S34" s="3053"/>
      <c r="T34" s="3053"/>
      <c r="U34" s="3053"/>
    </row>
    <row r="35" spans="1:28">
      <c r="A35" s="3396" t="s">
        <v>839</v>
      </c>
      <c r="B35" s="1642"/>
      <c r="C35" s="1689" t="str">
        <f>IF(B35="场地平整","——","具体情况：")</f>
        <v>具体情况：</v>
      </c>
      <c r="D35" s="3398"/>
      <c r="E35" s="3399"/>
      <c r="F35" s="3399"/>
      <c r="G35" s="3399"/>
      <c r="H35" s="3399"/>
      <c r="I35" s="3400"/>
      <c r="J35" s="3073"/>
      <c r="K35" s="3060"/>
      <c r="L35" s="3052"/>
      <c r="M35" s="3052"/>
      <c r="N35" s="3053"/>
      <c r="O35" s="3054"/>
      <c r="P35" s="3053"/>
      <c r="Q35" s="3053"/>
      <c r="R35" s="3053"/>
      <c r="S35" s="3053"/>
      <c r="T35" s="3053"/>
      <c r="U35" s="3053"/>
    </row>
    <row r="36" spans="1:28">
      <c r="A36" s="3392"/>
      <c r="B36" s="3401" t="s">
        <v>2043</v>
      </c>
      <c r="C36" s="3402"/>
      <c r="D36" s="1705"/>
      <c r="E36" s="3403"/>
      <c r="F36" s="3403"/>
      <c r="G36" s="1611" t="str">
        <f>IF(B35="场地未平整","估价结果处理","")</f>
        <v/>
      </c>
      <c r="H36" s="3404"/>
      <c r="I36" s="3404"/>
      <c r="J36" s="3073"/>
      <c r="K36" s="3060"/>
      <c r="L36" s="3052"/>
      <c r="M36" s="3052"/>
      <c r="N36" s="3053"/>
      <c r="O36" s="3054"/>
      <c r="P36" s="3053"/>
      <c r="Q36" s="3053"/>
      <c r="R36" s="3053"/>
      <c r="S36" s="3053"/>
      <c r="T36" s="3053"/>
      <c r="U36" s="3053"/>
    </row>
    <row r="37" spans="1:28" ht="28.5">
      <c r="A37" s="3392"/>
      <c r="B37" s="338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92"/>
      <c r="B38" s="3382"/>
      <c r="C38" s="1596"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93"/>
      <c r="B39" s="338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64" t="s">
        <v>1974</v>
      </c>
      <c r="T40" s="1651" t="str">
        <f>NUMBERSTRING(7-K40,1)&amp;"通"</f>
        <v>七通</v>
      </c>
      <c r="U40" s="3053"/>
    </row>
    <row r="41" spans="1:28">
      <c r="A41" s="1590"/>
      <c r="B41" s="3397" t="s">
        <v>1712</v>
      </c>
      <c r="C41" s="3397"/>
      <c r="D41" s="3397"/>
      <c r="E41" s="339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6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1404</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3277</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23300</v>
      </c>
      <c r="B3" s="22">
        <f>IF(C3="否",G5-AT5,G5)</f>
        <v>23300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23300</v>
      </c>
      <c r="H5" s="27">
        <f t="shared" ref="H5:AT5" si="0">SUM(H13:H641)</f>
        <v>23300</v>
      </c>
      <c r="I5" s="27">
        <f t="shared" si="0"/>
        <v>23300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23300</v>
      </c>
      <c r="BA5" s="29">
        <f t="shared" si="1"/>
        <v>23300</v>
      </c>
      <c r="BB5" s="29">
        <f t="shared" si="1"/>
        <v>23300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23300</v>
      </c>
      <c r="F6" s="27" t="s">
        <v>1</v>
      </c>
      <c r="G6" s="27" t="s">
        <v>2</v>
      </c>
      <c r="H6" s="33">
        <f>SUMIF(I$12:AB$12,"总值",I6:AB6)</f>
        <v>23300</v>
      </c>
      <c r="I6" s="27">
        <f t="shared" ref="I6:AB6" si="2">ROUND($A$3*I5/$B$3,2)</f>
        <v>23300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23300</v>
      </c>
      <c r="AZ6" s="27" t="s">
        <v>3</v>
      </c>
      <c r="BA6" s="27">
        <f>ROUND($AY$6*BA5/$AZ$5,2)</f>
        <v>23300</v>
      </c>
      <c r="BB6" s="27">
        <f>ROUND($AY$6*BB5/$AZ$5,2)</f>
        <v>23300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23300</v>
      </c>
      <c r="F13" s="81"/>
      <c r="G13" s="82">
        <f t="shared" ref="G13:G20" si="7">H13+AC13+AT13</f>
        <v>23300</v>
      </c>
      <c r="H13" s="33">
        <f t="shared" ref="H13:H20" si="8">SUMIF(I$12:AB$12,"总值",I13:AB13)</f>
        <v>23300</v>
      </c>
      <c r="I13" s="2730">
        <f>A3</f>
        <v>23300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23300</v>
      </c>
      <c r="AZ13" s="27">
        <f t="shared" ref="AZ13:AZ20" si="12">BA13+BL13</f>
        <v>23300</v>
      </c>
      <c r="BA13" s="27">
        <f t="shared" ref="BA13:BA20" si="13">SUM(BB13:BK13)</f>
        <v>23300</v>
      </c>
      <c r="BB13" s="27">
        <f t="shared" ref="BB13:BB20" si="14">IF($D13="是",I13-J13,0)</f>
        <v>23300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5" t="s">
        <v>0</v>
      </c>
      <c r="B1" s="3405" t="s">
        <v>4</v>
      </c>
      <c r="C1" s="3405" t="s">
        <v>5</v>
      </c>
      <c r="D1" s="3406" t="s">
        <v>40</v>
      </c>
      <c r="E1" s="3406" t="s">
        <v>41</v>
      </c>
      <c r="F1" s="3406"/>
      <c r="G1" s="3406"/>
      <c r="H1" s="3406"/>
      <c r="I1" s="3406"/>
      <c r="J1" s="3406"/>
      <c r="K1" s="3406"/>
      <c r="L1" s="3406"/>
      <c r="M1" s="3406"/>
    </row>
    <row r="2" spans="1:13" ht="27" customHeight="1">
      <c r="A2" s="3405"/>
      <c r="B2" s="3405"/>
      <c r="C2" s="3405"/>
      <c r="D2" s="3406"/>
      <c r="E2" s="3406" t="s">
        <v>24</v>
      </c>
      <c r="F2" s="3406" t="s">
        <v>25</v>
      </c>
      <c r="G2" s="3406"/>
      <c r="H2" s="3406"/>
      <c r="I2" s="3406"/>
      <c r="J2" s="3406" t="s">
        <v>26</v>
      </c>
      <c r="K2" s="3406"/>
      <c r="L2" s="3406"/>
      <c r="M2" s="3406"/>
    </row>
    <row r="3" spans="1:13" ht="28.5">
      <c r="A3" s="3405"/>
      <c r="B3" s="3405"/>
      <c r="C3" s="3405"/>
      <c r="D3" s="3406"/>
      <c r="E3" s="34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6" t="s">
        <v>42</v>
      </c>
      <c r="B9" s="3406"/>
      <c r="C9" s="34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6" t="s">
        <v>203</v>
      </c>
      <c r="B2" s="3416"/>
      <c r="C2" s="3416"/>
      <c r="D2" s="1888" t="s">
        <v>204</v>
      </c>
      <c r="E2" s="106" t="s">
        <v>205</v>
      </c>
      <c r="F2" s="3082"/>
      <c r="G2" s="1181"/>
      <c r="H2" s="1182"/>
      <c r="I2" s="1183" t="s">
        <v>849</v>
      </c>
      <c r="J2" s="3082"/>
      <c r="K2" s="3082"/>
      <c r="L2" s="3082"/>
      <c r="M2" s="3082"/>
      <c r="N2" s="3082"/>
      <c r="O2" s="3082"/>
      <c r="P2" s="3082"/>
    </row>
    <row r="3" spans="1:16" ht="15.75" thickBot="1">
      <c r="A3" s="3417" t="s">
        <v>206</v>
      </c>
      <c r="B3" s="3417"/>
      <c r="C3" s="3417"/>
      <c r="D3" s="107">
        <f>'数据-基础表'!AY6</f>
        <v>23300</v>
      </c>
      <c r="E3" s="107">
        <f>'数据-基础表'!AZ5</f>
        <v>23300</v>
      </c>
      <c r="F3" s="3082"/>
      <c r="G3" s="278" t="s">
        <v>850</v>
      </c>
      <c r="H3" s="273" t="s">
        <v>851</v>
      </c>
      <c r="I3" s="1889">
        <f>ROUND('数据-基础表'!B3/'数据-基础表'!A3,2)</f>
        <v>1</v>
      </c>
      <c r="J3" s="3082"/>
      <c r="K3" s="3082"/>
      <c r="L3" s="3082"/>
      <c r="M3" s="3082"/>
      <c r="N3" s="3082"/>
      <c r="O3" s="3082"/>
      <c r="P3" s="3082"/>
    </row>
    <row r="4" spans="1:16" ht="15">
      <c r="A4" s="3418"/>
      <c r="B4" s="3419"/>
      <c r="C4" s="342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21" t="s">
        <v>230</v>
      </c>
      <c r="C5" s="342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21" t="s">
        <v>208</v>
      </c>
      <c r="C6" s="3421"/>
      <c r="D6" s="111">
        <f>ROUND($D$3*E6/$E$3,2)</f>
        <v>23300</v>
      </c>
      <c r="E6" s="112">
        <f>E3-E5</f>
        <v>23300</v>
      </c>
      <c r="F6" s="3082"/>
      <c r="G6" s="1184"/>
      <c r="H6" s="273" t="s">
        <v>852</v>
      </c>
      <c r="I6" s="1889">
        <f>ROUND(F31/D31,2)</f>
        <v>1</v>
      </c>
      <c r="J6" s="3082"/>
      <c r="K6" s="3082"/>
      <c r="L6" s="3082"/>
      <c r="M6" s="3082"/>
      <c r="N6" s="3082"/>
      <c r="O6" s="3082"/>
      <c r="P6" s="3082"/>
    </row>
    <row r="7" spans="1:16" ht="15">
      <c r="A7" s="3413"/>
      <c r="B7" s="3414"/>
      <c r="C7" s="341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23300</v>
      </c>
      <c r="E8" s="116">
        <f>SUMIF('数据-基础表'!BB10:BK10,"地上",'数据-基础表'!BB5:BK5)</f>
        <v>23300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23300</v>
      </c>
      <c r="E16" s="120">
        <f>SUM(E8:E15)</f>
        <v>23300</v>
      </c>
      <c r="F16" s="3082"/>
      <c r="G16" s="3083"/>
      <c r="H16" s="956" t="s">
        <v>219</v>
      </c>
      <c r="I16" s="957"/>
      <c r="J16" s="1897"/>
      <c r="K16" s="3407" t="s">
        <v>2548</v>
      </c>
      <c r="L16" s="3408"/>
      <c r="M16" s="3408"/>
      <c r="N16" s="3408"/>
      <c r="O16" s="3408"/>
      <c r="P16" s="3409"/>
    </row>
    <row r="17" spans="1:19" ht="15">
      <c r="A17" s="121" t="s">
        <v>216</v>
      </c>
      <c r="B17" s="122" t="s">
        <v>217</v>
      </c>
      <c r="C17" s="2177" t="s">
        <v>2301</v>
      </c>
      <c r="D17" s="108" t="s">
        <v>204</v>
      </c>
      <c r="E17" s="124" t="s">
        <v>205</v>
      </c>
      <c r="F17" s="125"/>
      <c r="G17" s="1319"/>
      <c r="H17" s="958" t="s">
        <v>218</v>
      </c>
      <c r="I17" s="959" t="s">
        <v>2300</v>
      </c>
      <c r="J17" s="1897"/>
      <c r="K17" s="3410" t="s">
        <v>2549</v>
      </c>
      <c r="L17" s="3411"/>
      <c r="M17" s="3412"/>
      <c r="N17" s="3410" t="s">
        <v>2550</v>
      </c>
      <c r="O17" s="3411"/>
      <c r="P17" s="341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23300</v>
      </c>
      <c r="E19" s="134">
        <f t="shared" ref="E19:E26" si="2">SUM(F19:G19)</f>
        <v>23300</v>
      </c>
      <c r="F19" s="3084">
        <f>'数据-基础表'!I13</f>
        <v>23300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23300</v>
      </c>
      <c r="S19" s="2180">
        <f t="shared" si="5"/>
        <v>23300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23300</v>
      </c>
      <c r="E27" s="141">
        <f>IF(SUM(E19:E26)='数据-基础表'!BA5,SUM(E19:E26),IF(F27="地上面积有误","面积有误","地下面积有误"))</f>
        <v>23300</v>
      </c>
      <c r="F27" s="134">
        <f>IF(SUM(F19:F26)=E8,SUM(F19:F26),"地上面积有误")</f>
        <v>23300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23300</v>
      </c>
      <c r="S27" s="273">
        <f>IF(SUM(S19:S26)=$E$3,SUM(S19:S26),SUM(S19:S26)&amp;"误差"&amp;ROUND(SUM(S19:S26)-E3,2))</f>
        <v>23300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23300</v>
      </c>
      <c r="E31" s="1323">
        <f>E27+E30</f>
        <v>23300</v>
      </c>
      <c r="F31" s="1324">
        <f>F27+F30</f>
        <v>23300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Normal="100" workbookViewId="0">
      <pane xSplit="3" ySplit="5" topLeftCell="K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44071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3014</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特殊用地</v>
      </c>
      <c r="B6" s="2216" t="str">
        <f>IF(A6=0,"","经营性")</f>
        <v>经营性</v>
      </c>
      <c r="C6" s="171" t="s">
        <v>1668</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0.08</v>
      </c>
      <c r="K6" s="177">
        <f>SUMIF('数据-汇总表'!C$19:C$33,'数据-取费表'!A6,'数据-汇总表'!E$19:E$33)</f>
        <v>23300</v>
      </c>
      <c r="L6" s="2739">
        <v>1500</v>
      </c>
      <c r="M6" s="175">
        <f t="shared" ref="M6:M14" si="0">ROUND(K6*L6/10000,0)</f>
        <v>3495</v>
      </c>
      <c r="N6" s="2740">
        <v>1</v>
      </c>
      <c r="O6" s="175" t="str">
        <f>IF($N$5="成新度","——",ROUND(M6*N6,0))</f>
        <v>——</v>
      </c>
      <c r="P6" s="176" t="str">
        <f>IF($N$5="成新度","——",M6-O6)</f>
        <v>——</v>
      </c>
      <c r="Q6" s="2741">
        <v>0.05</v>
      </c>
      <c r="R6" s="177">
        <f>SUMIF('数据-汇总表'!C$19:C$33,A6,'数据-汇总表'!R$19:R$33)</f>
        <v>23300</v>
      </c>
      <c r="S6" s="132">
        <f>IF('数据-汇总表'!$I$17="按面积比例",SUMIF('数据-汇总表'!C$19:C$33,A6,'数据-汇总表'!K$19:K$33),SUMIF('数据-汇总表'!C$19:C$33,A6,'数据-汇总表'!N$19:N$33))</f>
        <v>0</v>
      </c>
      <c r="T6" s="2113" t="str">
        <f>IF($T$4="按面积比例",IF(ISERROR(ROUND($M$14*S6/S$16,0)),"0",ROUND($M$14*S6/S$16,0)),"需自行计算录入")</f>
        <v>0</v>
      </c>
      <c r="U6" s="178">
        <v>1.5</v>
      </c>
      <c r="V6" s="179">
        <v>0.02</v>
      </c>
      <c r="W6" s="179">
        <v>0.15</v>
      </c>
      <c r="X6" s="2200"/>
      <c r="Y6" s="180">
        <v>1</v>
      </c>
      <c r="Z6" s="181"/>
      <c r="AA6" s="174"/>
      <c r="AB6" s="174"/>
      <c r="AC6" s="2203"/>
      <c r="AD6" s="182"/>
      <c r="AE6" s="960">
        <f ca="1">IF(AN6="",0,SUMIF(INDIRECT("'"&amp;AN6&amp;"'"&amp;"!E:E"),$AE$5,INDIRECT("'"&amp;AN6&amp;"'"&amp;"!F:F")))</f>
        <v>50</v>
      </c>
      <c r="AF6" s="139"/>
      <c r="AG6" s="1196">
        <f>IF(AF6="",0,AE6-AF6)</f>
        <v>0</v>
      </c>
      <c r="AH6" s="3283">
        <f>K6</f>
        <v>23300</v>
      </c>
      <c r="AI6" s="185">
        <v>365</v>
      </c>
      <c r="AJ6" s="186"/>
      <c r="AK6" s="187">
        <v>1.4999999999999999E-2</v>
      </c>
      <c r="AL6" s="188">
        <v>1.5E-3</v>
      </c>
      <c r="AM6" s="2752">
        <v>0.01</v>
      </c>
      <c r="AN6" s="2246" t="s">
        <v>3015</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t="str">
        <f t="shared" ref="O7:O14" si="3">IF($N$5="成新度","——",ROUND(M7*N7,0))</f>
        <v>——</v>
      </c>
      <c r="P7" s="176" t="str">
        <f t="shared" ref="P7:P14" si="4">IF($N$5="成新度","——",M7-O7)</f>
        <v>——</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23300</v>
      </c>
      <c r="L16" s="204">
        <f>ROUND(M16*10000/SUM(K6:K14),0)</f>
        <v>1500</v>
      </c>
      <c r="M16" s="204">
        <f>SUM(M6:M14)</f>
        <v>3495</v>
      </c>
      <c r="N16" s="205">
        <f>ROUND(SUMPRODUCT(M6:M14,N6:N14)/M16,3)</f>
        <v>1</v>
      </c>
      <c r="O16" s="204">
        <f>SUM(O6:O14)</f>
        <v>0</v>
      </c>
      <c r="P16" s="204">
        <f>SUM(P6:P14)</f>
        <v>0</v>
      </c>
      <c r="Q16" s="206">
        <f>ROUND(SUMPRODUCT(Q6:Q13,K6:K13)/SUMPRODUCT((Q6:Q13&gt;0)*(K6:K13)),2)</f>
        <v>0.05</v>
      </c>
      <c r="R16" s="2190">
        <f>SUM(R6:R13)</f>
        <v>23300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0.01</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22" t="s">
        <v>1654</v>
      </c>
      <c r="B1" s="3423"/>
      <c r="C1" s="3423"/>
      <c r="D1" s="3423"/>
      <c r="E1" s="3423"/>
      <c r="F1" s="3423"/>
      <c r="G1" s="342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23300</v>
      </c>
      <c r="C1" s="3194"/>
      <c r="D1" s="3194"/>
      <c r="E1" s="3194"/>
      <c r="F1" s="3194"/>
      <c r="G1" s="3195"/>
      <c r="H1" s="3195"/>
      <c r="I1" s="3195"/>
      <c r="J1" s="3195"/>
    </row>
    <row r="2" spans="1:10" ht="16.5">
      <c r="A2" s="3185" t="s">
        <v>2824</v>
      </c>
      <c r="B2" s="3185">
        <f>SUM(C14:C23)</f>
        <v>23300</v>
      </c>
      <c r="C2" s="3194"/>
      <c r="D2" s="3194"/>
      <c r="E2" s="3194"/>
      <c r="F2" s="3194"/>
      <c r="G2" s="3195"/>
      <c r="H2" s="3195"/>
      <c r="I2" s="3195"/>
      <c r="J2" s="3195"/>
    </row>
    <row r="3" spans="1:10" ht="16.5">
      <c r="A3" s="3185" t="s">
        <v>2825</v>
      </c>
      <c r="B3" s="3187">
        <f>项目基本情况!D3</f>
        <v>44071</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t="e">
        <f ca="1">SUM(D14:D23)</f>
        <v>#REF!</v>
      </c>
      <c r="C5" s="3185" t="e">
        <f ca="1">ROUND(B5*10000/$B$1,0)</f>
        <v>#REF!</v>
      </c>
      <c r="D5" s="3185" t="e">
        <f ca="1">ROUND(B5*10000/$B$2,0)</f>
        <v>#REF!</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23300</v>
      </c>
      <c r="C14" s="3191">
        <f>结果表!K38</f>
        <v>23300</v>
      </c>
      <c r="D14" s="3191" t="e">
        <f ca="1">结果表!C42</f>
        <v>#REF!</v>
      </c>
      <c r="E14" s="3191" t="e">
        <f ca="1">ROUND(D14*10000/B14,0)</f>
        <v>#REF!</v>
      </c>
      <c r="F14" s="3191" t="e">
        <f ca="1">ROUND(D14*10000/C14,0)</f>
        <v>#REF!</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 sqref="D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8" t="str">
        <f>项目基本情况!K2</f>
        <v>北京市划拨国有建设用地使用权</v>
      </c>
      <c r="B2" s="3469"/>
      <c r="C2" s="3470"/>
      <c r="D2" s="3470"/>
      <c r="E2" s="3470"/>
      <c r="F2" s="3470"/>
      <c r="G2" s="3469"/>
      <c r="H2" s="3469"/>
      <c r="I2" s="3471"/>
      <c r="J2" s="1912"/>
      <c r="K2" s="1911"/>
      <c r="L2" s="1911"/>
      <c r="M2" s="1911"/>
      <c r="N2" s="1911"/>
      <c r="O2" s="1911"/>
      <c r="P2" s="1911"/>
      <c r="Q2" s="1911"/>
      <c r="R2" s="1911"/>
      <c r="S2" s="1911"/>
      <c r="T2" s="1911"/>
      <c r="U2" s="1911"/>
      <c r="V2" s="1911"/>
    </row>
    <row r="3" spans="1:22" ht="14.25">
      <c r="A3" s="3479" t="s">
        <v>298</v>
      </c>
      <c r="B3" s="3480"/>
      <c r="C3" s="3480"/>
      <c r="D3" s="3480"/>
      <c r="E3" s="3480"/>
      <c r="F3" s="3480"/>
      <c r="G3" s="3480"/>
      <c r="H3" s="3480"/>
      <c r="I3" s="3480"/>
      <c r="J3" s="1912"/>
      <c r="K3" s="1911"/>
      <c r="L3" s="1911"/>
      <c r="M3" s="1911"/>
      <c r="N3" s="1911"/>
      <c r="O3" s="1911"/>
      <c r="P3" s="1911"/>
      <c r="Q3" s="1911"/>
      <c r="R3" s="1911"/>
      <c r="S3" s="1911"/>
      <c r="T3" s="1911"/>
      <c r="U3" s="1911"/>
      <c r="V3" s="1911"/>
    </row>
    <row r="4" spans="1:22" ht="14.25">
      <c r="A4" s="256" t="s">
        <v>299</v>
      </c>
      <c r="B4" s="257" t="s">
        <v>300</v>
      </c>
      <c r="C4" s="258"/>
      <c r="D4" s="258"/>
      <c r="E4" s="3443" t="s">
        <v>301</v>
      </c>
      <c r="F4" s="3485"/>
      <c r="G4" s="3485"/>
      <c r="H4" s="3485"/>
      <c r="I4" s="344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72" t="s">
        <v>302</v>
      </c>
      <c r="B5" s="3473">
        <v>25</v>
      </c>
      <c r="C5" s="3481"/>
      <c r="D5" s="3484"/>
      <c r="E5" s="259" t="s">
        <v>303</v>
      </c>
      <c r="F5" s="260"/>
      <c r="G5" s="260"/>
      <c r="H5" s="260"/>
      <c r="I5" s="261"/>
      <c r="J5" s="1912"/>
      <c r="K5" s="1911"/>
      <c r="L5" s="1911"/>
      <c r="M5" s="1911"/>
      <c r="N5" s="1911"/>
      <c r="O5" s="1911"/>
      <c r="P5" s="1911"/>
      <c r="Q5" s="1911"/>
      <c r="R5" s="1911"/>
      <c r="S5" s="1911"/>
      <c r="T5" s="1911"/>
      <c r="U5" s="1911"/>
      <c r="V5" s="1911"/>
    </row>
    <row r="6" spans="1:22" ht="14.25">
      <c r="A6" s="3472"/>
      <c r="B6" s="3473"/>
      <c r="C6" s="3482"/>
      <c r="D6" s="3484"/>
      <c r="E6" s="259" t="s">
        <v>304</v>
      </c>
      <c r="F6" s="260"/>
      <c r="G6" s="260"/>
      <c r="H6" s="260"/>
      <c r="I6" s="261"/>
      <c r="J6" s="1912"/>
      <c r="K6" s="1911"/>
      <c r="L6" s="1911"/>
      <c r="M6" s="1911"/>
      <c r="N6" s="1911"/>
      <c r="O6" s="1911"/>
      <c r="P6" s="1911"/>
      <c r="Q6" s="1911"/>
      <c r="R6" s="1911"/>
      <c r="S6" s="1911"/>
      <c r="T6" s="1911"/>
      <c r="U6" s="1911"/>
      <c r="V6" s="1911"/>
    </row>
    <row r="7" spans="1:22" ht="14.25">
      <c r="A7" s="3472"/>
      <c r="B7" s="3473"/>
      <c r="C7" s="3483"/>
      <c r="D7" s="3484"/>
      <c r="E7" s="259" t="s">
        <v>305</v>
      </c>
      <c r="F7" s="260"/>
      <c r="G7" s="260"/>
      <c r="H7" s="260"/>
      <c r="I7" s="261"/>
      <c r="J7" s="1912"/>
      <c r="K7" s="1911"/>
      <c r="L7" s="1911"/>
      <c r="M7" s="1911"/>
      <c r="N7" s="1911"/>
      <c r="O7" s="1911"/>
      <c r="P7" s="1911"/>
      <c r="Q7" s="1911"/>
      <c r="R7" s="1911"/>
      <c r="S7" s="1911"/>
      <c r="T7" s="1911"/>
      <c r="U7" s="1911"/>
      <c r="V7" s="1911"/>
    </row>
    <row r="8" spans="1:22" ht="14.25">
      <c r="A8" s="3472" t="s">
        <v>306</v>
      </c>
      <c r="B8" s="3473">
        <v>15</v>
      </c>
      <c r="C8" s="3481"/>
      <c r="D8" s="3484"/>
      <c r="E8" s="259" t="s">
        <v>307</v>
      </c>
      <c r="F8" s="260"/>
      <c r="G8" s="260"/>
      <c r="H8" s="260"/>
      <c r="I8" s="261"/>
      <c r="J8" s="1912"/>
      <c r="K8" s="1911"/>
      <c r="L8" s="1911"/>
      <c r="M8" s="1911"/>
      <c r="N8" s="1911"/>
      <c r="O8" s="1911"/>
      <c r="P8" s="1911"/>
      <c r="Q8" s="1911"/>
      <c r="R8" s="1911"/>
      <c r="S8" s="1911"/>
      <c r="T8" s="1911"/>
      <c r="U8" s="1911"/>
      <c r="V8" s="1911"/>
    </row>
    <row r="9" spans="1:22" ht="14.25">
      <c r="A9" s="3472"/>
      <c r="B9" s="3473"/>
      <c r="C9" s="3483"/>
      <c r="D9" s="3484"/>
      <c r="E9" s="259" t="s">
        <v>308</v>
      </c>
      <c r="F9" s="260"/>
      <c r="G9" s="260"/>
      <c r="H9" s="260"/>
      <c r="I9" s="261"/>
      <c r="J9" s="1912"/>
      <c r="K9" s="1911"/>
      <c r="L9" s="1911"/>
      <c r="M9" s="1911"/>
      <c r="N9" s="1911"/>
      <c r="O9" s="1911"/>
      <c r="P9" s="1911"/>
      <c r="Q9" s="1911"/>
      <c r="R9" s="1911"/>
      <c r="S9" s="1911"/>
      <c r="T9" s="1911"/>
      <c r="U9" s="1911"/>
      <c r="V9" s="1911"/>
    </row>
    <row r="10" spans="1:22" ht="14.25">
      <c r="A10" s="3472" t="s">
        <v>309</v>
      </c>
      <c r="B10" s="3473">
        <v>15</v>
      </c>
      <c r="C10" s="3481"/>
      <c r="D10" s="348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72"/>
      <c r="B11" s="3473"/>
      <c r="C11" s="3483"/>
      <c r="D11" s="348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72" t="s">
        <v>312</v>
      </c>
      <c r="B12" s="3473">
        <v>15</v>
      </c>
      <c r="C12" s="3481"/>
      <c r="D12" s="348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72"/>
      <c r="B13" s="3473"/>
      <c r="C13" s="3483"/>
      <c r="D13" s="348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72" t="s">
        <v>315</v>
      </c>
      <c r="B14" s="3473">
        <v>30</v>
      </c>
      <c r="C14" s="3481"/>
      <c r="D14" s="3484"/>
      <c r="E14" s="259" t="s">
        <v>316</v>
      </c>
      <c r="F14" s="260"/>
      <c r="G14" s="260"/>
      <c r="H14" s="260"/>
      <c r="I14" s="261"/>
      <c r="J14" s="1912"/>
      <c r="K14" s="1911"/>
      <c r="L14" s="1911"/>
      <c r="M14" s="1911"/>
      <c r="N14" s="1911"/>
      <c r="O14" s="1911"/>
      <c r="P14" s="1911"/>
      <c r="Q14" s="1911"/>
      <c r="R14" s="1911"/>
      <c r="S14" s="1911"/>
      <c r="T14" s="1911"/>
      <c r="U14" s="1911"/>
      <c r="V14" s="1911"/>
    </row>
    <row r="15" spans="1:22" ht="14.25">
      <c r="A15" s="3472"/>
      <c r="B15" s="3473"/>
      <c r="C15" s="3482"/>
      <c r="D15" s="348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72"/>
      <c r="B16" s="3473"/>
      <c r="C16" s="3483"/>
      <c r="D16" s="348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86" t="s">
        <v>2962</v>
      </c>
      <c r="F18" s="3487"/>
      <c r="G18" s="3487"/>
      <c r="H18" s="3487"/>
      <c r="I18" s="3487"/>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92"/>
      <c r="B25" s="1275" t="s">
        <v>331</v>
      </c>
      <c r="C25" s="288">
        <f>IF(B30=0,0,C30)</f>
        <v>0</v>
      </c>
      <c r="D25" s="289"/>
      <c r="E25" s="309"/>
      <c r="F25" s="309"/>
      <c r="G25" s="309"/>
      <c r="H25" s="309"/>
      <c r="I25" s="309"/>
      <c r="J25" s="1911"/>
      <c r="K25" s="1209" t="e">
        <f ca="1">项目基本情况!B16&amp;"国有建设用地使用权价格："&amp;O38&amp;"万元"</f>
        <v>#REF!</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e">
        <f ca="1">"大写金额：人民币"&amp;NUMBERSTRING(INT(O38*10000),2)&amp;"元整"</f>
        <v>#REF!</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e">
        <f ca="1">"单位面积地价："&amp;M38&amp;"元/平方米"</f>
        <v>#REF!</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e">
        <f ca="1">"楼面地价："&amp;N38&amp;"元/平方米"</f>
        <v>#REF!</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88" t="s">
        <v>2964</v>
      </c>
      <c r="B31" s="3488"/>
      <c r="C31" s="3488"/>
      <c r="D31" s="3488"/>
      <c r="E31" s="3488"/>
      <c r="F31" s="3488"/>
      <c r="G31" s="3488"/>
      <c r="H31" s="3488"/>
      <c r="I31" s="348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t="e">
        <f ca="1">G19-C24</f>
        <v>#REF!</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t="e">
        <f ca="1">ROUND(C32*10000/'数据-汇总表'!E3,0)</f>
        <v>#REF!</v>
      </c>
      <c r="D33" s="1334" t="s">
        <v>1682</v>
      </c>
      <c r="E33" s="344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t="e">
        <f ca="1">ROUND(C32*10000/'数据-汇总表'!D3,0)</f>
        <v>#REF!</v>
      </c>
      <c r="D34" s="1336" t="s">
        <v>1682</v>
      </c>
      <c r="E34" s="344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t="e">
        <f ca="1">ROUND(C32/('数据-汇总表'!D3/666.67),0)</f>
        <v>#REF!</v>
      </c>
      <c r="D35" s="1339" t="s">
        <v>1684</v>
      </c>
      <c r="E35" s="3447"/>
      <c r="F35" s="299" t="s">
        <v>342</v>
      </c>
      <c r="G35" s="970"/>
      <c r="H35" s="969" t="s">
        <v>343</v>
      </c>
      <c r="I35" s="309"/>
      <c r="J35" s="1911"/>
      <c r="K35" s="3451" t="s">
        <v>350</v>
      </c>
      <c r="L35" s="3451" t="s">
        <v>351</v>
      </c>
      <c r="M35" s="1218" t="s">
        <v>352</v>
      </c>
      <c r="N35" s="3451" t="s">
        <v>353</v>
      </c>
      <c r="O35" s="3451" t="s">
        <v>354</v>
      </c>
      <c r="P35" s="1911"/>
      <c r="V35" s="1911"/>
    </row>
    <row r="36" spans="1:26" ht="16.5" customHeight="1">
      <c r="A36" s="301" t="s">
        <v>344</v>
      </c>
      <c r="B36" s="302" t="s">
        <v>333</v>
      </c>
      <c r="C36" s="303" t="s">
        <v>345</v>
      </c>
      <c r="D36" s="303" t="s">
        <v>346</v>
      </c>
      <c r="E36" s="304" t="s">
        <v>347</v>
      </c>
      <c r="F36" s="309"/>
      <c r="G36" s="309"/>
      <c r="H36" s="309"/>
      <c r="I36" s="309"/>
      <c r="J36" s="1913"/>
      <c r="K36" s="3452"/>
      <c r="L36" s="3452"/>
      <c r="M36" s="1220" t="s">
        <v>355</v>
      </c>
      <c r="N36" s="3452"/>
      <c r="O36" s="3452"/>
      <c r="P36" s="1911"/>
      <c r="V36" s="1911"/>
    </row>
    <row r="37" spans="1:26" ht="16.5" customHeight="1" thickBot="1">
      <c r="A37" s="1214" t="s">
        <v>348</v>
      </c>
      <c r="B37" s="305"/>
      <c r="C37" s="292"/>
      <c r="D37" s="292"/>
      <c r="E37" s="293"/>
      <c r="F37" s="309"/>
      <c r="G37" s="309"/>
      <c r="H37" s="309"/>
      <c r="I37" s="309"/>
      <c r="J37" s="1913"/>
      <c r="K37" s="3453"/>
      <c r="L37" s="3453"/>
      <c r="M37" s="1221"/>
      <c r="N37" s="3453"/>
      <c r="O37" s="3453"/>
      <c r="P37" s="1911"/>
      <c r="V37" s="1911"/>
    </row>
    <row r="38" spans="1:26" ht="16.5" customHeight="1" thickBot="1">
      <c r="A38" s="1214" t="s">
        <v>349</v>
      </c>
      <c r="B38" s="305"/>
      <c r="C38" s="292"/>
      <c r="D38" s="292"/>
      <c r="E38" s="293"/>
      <c r="F38" s="309"/>
      <c r="G38" s="309"/>
      <c r="H38" s="309"/>
      <c r="I38" s="309"/>
      <c r="J38" s="1913"/>
      <c r="K38" s="1222">
        <f>'数据-汇总表'!D3</f>
        <v>23300</v>
      </c>
      <c r="L38" s="1223">
        <f>'数据-汇总表'!E3</f>
        <v>23300</v>
      </c>
      <c r="M38" s="1223" t="e">
        <f ca="1">C34</f>
        <v>#REF!</v>
      </c>
      <c r="N38" s="1223" t="e">
        <f ca="1">C33</f>
        <v>#REF!</v>
      </c>
      <c r="O38" s="1224" t="e">
        <f ca="1">C32</f>
        <v>#REF!</v>
      </c>
      <c r="P38" s="1911"/>
      <c r="V38" s="1911"/>
    </row>
    <row r="39" spans="1:26" ht="16.5" customHeight="1" thickBot="1">
      <c r="A39" s="1219"/>
      <c r="B39" s="306"/>
      <c r="C39" s="307"/>
      <c r="D39" s="307"/>
      <c r="E39" s="308"/>
      <c r="F39" s="309"/>
      <c r="G39" s="309"/>
      <c r="H39" s="309"/>
      <c r="I39" s="309"/>
      <c r="J39" s="1913"/>
      <c r="K39" s="3464" t="str">
        <f>MID(A44,3,LEN(A44)-2)</f>
        <v/>
      </c>
      <c r="L39" s="3465"/>
      <c r="M39" s="3465"/>
      <c r="N39" s="3466"/>
      <c r="O39" s="1341" t="str">
        <f>C44</f>
        <v>——</v>
      </c>
      <c r="P39" s="1911"/>
      <c r="V39" s="1911"/>
    </row>
    <row r="40" spans="1:26" ht="19.5" thickBot="1">
      <c r="A40" s="104" t="s">
        <v>864</v>
      </c>
      <c r="B40" s="309"/>
      <c r="C40" s="309"/>
      <c r="D40" s="309"/>
      <c r="E40" s="309"/>
      <c r="F40" s="309"/>
      <c r="G40" s="309"/>
      <c r="H40" s="309"/>
      <c r="I40" s="309"/>
      <c r="J40" s="1913"/>
      <c r="K40" s="3464" t="str">
        <f t="shared" ref="K40:K41" si="0">MID(A45,3,LEN(A45)-2)</f>
        <v/>
      </c>
      <c r="L40" s="3465"/>
      <c r="M40" s="3465"/>
      <c r="N40" s="3466"/>
      <c r="O40" s="1341" t="str">
        <f>C45</f>
        <v>——</v>
      </c>
      <c r="P40" s="1911"/>
      <c r="V40" s="1911"/>
    </row>
    <row r="41" spans="1:26" ht="16.5" thickBot="1">
      <c r="A41" s="310" t="s">
        <v>356</v>
      </c>
      <c r="B41" s="311"/>
      <c r="C41" s="312" t="s">
        <v>357</v>
      </c>
      <c r="D41" s="313" t="s">
        <v>358</v>
      </c>
      <c r="E41" s="313" t="s">
        <v>359</v>
      </c>
      <c r="F41" s="314" t="s">
        <v>360</v>
      </c>
      <c r="G41" s="309"/>
      <c r="H41" s="309"/>
      <c r="I41" s="309"/>
      <c r="J41" s="1913"/>
      <c r="K41" s="3464" t="str">
        <f t="shared" si="0"/>
        <v/>
      </c>
      <c r="L41" s="3465"/>
      <c r="M41" s="3465"/>
      <c r="N41" s="3466"/>
      <c r="O41" s="1341" t="str">
        <f>C46</f>
        <v>——</v>
      </c>
      <c r="P41" s="1911"/>
      <c r="V41" s="1911"/>
    </row>
    <row r="42" spans="1:26" ht="29.25">
      <c r="A42" s="3493" t="s">
        <v>2056</v>
      </c>
      <c r="B42" s="3494"/>
      <c r="C42" s="262" t="e">
        <f ca="1">C32</f>
        <v>#REF!</v>
      </c>
      <c r="D42" s="315" t="e">
        <f ca="1">C33</f>
        <v>#REF!</v>
      </c>
      <c r="E42" s="315" t="e">
        <f ca="1">C34</f>
        <v>#REF!</v>
      </c>
      <c r="F42" s="316" t="e">
        <f ca="1">C35</f>
        <v>#REF!</v>
      </c>
      <c r="G42" s="309"/>
      <c r="H42" s="309"/>
      <c r="I42" s="317"/>
      <c r="J42" s="1913"/>
      <c r="K42" s="1225" t="s">
        <v>361</v>
      </c>
      <c r="L42" s="1930" t="s">
        <v>362</v>
      </c>
      <c r="M42" s="1226" t="s">
        <v>363</v>
      </c>
      <c r="N42" s="1931" t="s">
        <v>364</v>
      </c>
      <c r="O42" s="1932" t="s">
        <v>365</v>
      </c>
      <c r="P42" s="1911"/>
      <c r="V42" s="1911"/>
    </row>
    <row r="43" spans="1:26" ht="18">
      <c r="A43" s="3503" t="s">
        <v>2711</v>
      </c>
      <c r="B43" s="3504"/>
      <c r="C43" s="262">
        <f>IF(H33="正常操作",G33+G34+G35,G34+G35)</f>
        <v>0</v>
      </c>
      <c r="D43" s="315" t="s">
        <v>43</v>
      </c>
      <c r="E43" s="315" t="s">
        <v>44</v>
      </c>
      <c r="F43" s="316" t="s">
        <v>44</v>
      </c>
      <c r="G43" s="2583" t="s">
        <v>943</v>
      </c>
      <c r="H43" s="309"/>
      <c r="I43" s="317"/>
      <c r="J43" s="1913"/>
      <c r="K43" s="1227">
        <f>C4</f>
        <v>0</v>
      </c>
      <c r="L43" s="1228" t="e">
        <f ca="1">IF(L42="估价结果/万元",C19,C20)</f>
        <v>#REF!</v>
      </c>
      <c r="M43" s="1229" t="e">
        <f>C18</f>
        <v>#DIV/0!</v>
      </c>
      <c r="N43" s="1230" t="e">
        <f ca="1">IF(N42="测算结果/万元",G19,G20)</f>
        <v>#REF!</v>
      </c>
      <c r="O43" s="1231" t="e">
        <f ca="1">IF(O42="最终结果/万元",C32,C33)</f>
        <v>#REF!</v>
      </c>
      <c r="P43" s="1911"/>
      <c r="V43" s="1911"/>
    </row>
    <row r="44" spans="1:26" ht="18.75" thickBot="1">
      <c r="A44" s="3493" t="str">
        <f>IF(OR(项目基本情况!E8="抵押价格",项目基本情况!E8="已注销及未注销"),"3.抵押价格","——")</f>
        <v>——</v>
      </c>
      <c r="B44" s="3494"/>
      <c r="C44" s="262" t="str">
        <f>IF(A44="——","——",C42-C43)</f>
        <v>——</v>
      </c>
      <c r="D44" s="315" t="e">
        <f>ROUND(C44*10000/'数据-汇总表'!E3,0)</f>
        <v>#VALUE!</v>
      </c>
      <c r="E44" s="315" t="e">
        <f>ROUND(C44*10000/'数据-汇总表'!D3,0)</f>
        <v>#VALUE!</v>
      </c>
      <c r="F44" s="316" t="e">
        <f>ROUND(C44/('数据-汇总表'!D3/666.67),0)</f>
        <v>#VALUE!</v>
      </c>
      <c r="G44" s="309"/>
      <c r="H44" s="309"/>
      <c r="I44" s="317"/>
      <c r="J44" s="1913"/>
      <c r="K44" s="1232">
        <f>D4</f>
        <v>0</v>
      </c>
      <c r="L44" s="1233" t="e">
        <f ca="1">IF(L42="估价结果/万元",D19,D20)</f>
        <v>#REF!</v>
      </c>
      <c r="M44" s="1234" t="e">
        <f>D18</f>
        <v>#DIV/0!</v>
      </c>
      <c r="N44" s="1235"/>
      <c r="O44" s="1236"/>
      <c r="P44" s="1911"/>
      <c r="V44" s="1911"/>
    </row>
    <row r="45" spans="1:26" ht="15">
      <c r="A45" s="3498" t="str">
        <f>IF(项目基本情况!E8="已注销及未注销","4.抵押担保权已注销时的抵押价格",IF(项目基本情况!E8="已注销","3.抵押担保权已注销时的抵押价格","——"))</f>
        <v>——</v>
      </c>
      <c r="B45" s="349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95" t="str">
        <f>IF(项目基本情况!E9="抵押净值",IF(A45="——","4.抵押净值","5.抵押净值"),"——")</f>
        <v>——</v>
      </c>
      <c r="B46" s="349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56" t="s">
        <v>374</v>
      </c>
      <c r="B63" s="3457"/>
      <c r="C63" s="3458"/>
      <c r="D63" s="339" t="e">
        <f ca="1">ROUND(C42*F63,0)</f>
        <v>#REF!</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00" t="s">
        <v>378</v>
      </c>
      <c r="B64" s="3501"/>
      <c r="C64" s="3501"/>
      <c r="D64" s="3501"/>
      <c r="E64" s="3501"/>
      <c r="F64" s="3501"/>
      <c r="G64" s="350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97" t="s">
        <v>386</v>
      </c>
      <c r="B66" s="3463"/>
      <c r="C66" s="346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24" t="s">
        <v>385</v>
      </c>
      <c r="M66" s="3425"/>
      <c r="N66" s="2312"/>
      <c r="O66" s="2313"/>
      <c r="P66" s="2314"/>
      <c r="Q66" s="1911"/>
      <c r="R66" s="1911"/>
      <c r="S66" s="1911"/>
      <c r="T66" s="1911"/>
      <c r="U66" s="1911"/>
      <c r="V66" s="1911"/>
    </row>
    <row r="67" spans="1:22" ht="25.5" customHeight="1">
      <c r="A67" s="350" t="s">
        <v>389</v>
      </c>
      <c r="B67" s="3475" t="s">
        <v>390</v>
      </c>
      <c r="C67" s="3475"/>
      <c r="D67" s="351">
        <v>0</v>
      </c>
      <c r="E67" s="41" t="s">
        <v>391</v>
      </c>
      <c r="F67" s="62" t="s">
        <v>21</v>
      </c>
      <c r="G67" s="3459"/>
      <c r="H67" s="3006" t="s">
        <v>2965</v>
      </c>
      <c r="I67" s="3008"/>
      <c r="J67" s="1918"/>
      <c r="K67" s="1890">
        <v>2</v>
      </c>
      <c r="L67" s="3429" t="s">
        <v>388</v>
      </c>
      <c r="M67" s="3429"/>
      <c r="N67" s="1279">
        <f>'数据-取费表'!B2</f>
        <v>44071</v>
      </c>
      <c r="O67" s="1279"/>
      <c r="P67" s="1279"/>
      <c r="Q67" s="1911"/>
      <c r="R67" s="1911"/>
      <c r="S67" s="1911"/>
      <c r="T67" s="1911"/>
      <c r="U67" s="1911"/>
      <c r="V67" s="1911"/>
    </row>
    <row r="68" spans="1:22" ht="25.5" customHeight="1">
      <c r="A68" s="352"/>
      <c r="B68" s="3475" t="s">
        <v>393</v>
      </c>
      <c r="C68" s="3475"/>
      <c r="D68" s="353"/>
      <c r="E68" s="77"/>
      <c r="F68" s="354"/>
      <c r="G68" s="3460"/>
      <c r="H68" s="3007" t="s">
        <v>2966</v>
      </c>
      <c r="I68" s="3008"/>
      <c r="J68" s="1918"/>
      <c r="K68" s="1890">
        <v>3</v>
      </c>
      <c r="L68" s="3429" t="s">
        <v>392</v>
      </c>
      <c r="M68" s="3429"/>
      <c r="N68" s="1247" t="e">
        <f ca="1">C42</f>
        <v>#REF!</v>
      </c>
      <c r="O68" s="1247"/>
      <c r="P68" s="1247"/>
      <c r="Q68" s="1911"/>
      <c r="R68" s="1911"/>
      <c r="S68" s="1911"/>
      <c r="T68" s="1911"/>
      <c r="U68" s="1911"/>
      <c r="V68" s="1911"/>
    </row>
    <row r="69" spans="1:22" ht="23.45" customHeight="1">
      <c r="A69" s="355"/>
      <c r="B69" s="3475" t="s">
        <v>394</v>
      </c>
      <c r="C69" s="3475"/>
      <c r="D69" s="356"/>
      <c r="E69" s="73"/>
      <c r="F69" s="354"/>
      <c r="G69" s="3461"/>
      <c r="H69" s="3007" t="s">
        <v>2967</v>
      </c>
      <c r="I69" s="3008"/>
      <c r="J69" s="1918"/>
      <c r="K69" s="1248">
        <v>4</v>
      </c>
      <c r="L69" s="3430" t="s">
        <v>2862</v>
      </c>
      <c r="M69" s="3431"/>
      <c r="N69" s="1249" t="str">
        <f>C44</f>
        <v>——</v>
      </c>
      <c r="O69" s="1249"/>
      <c r="P69" s="1249"/>
      <c r="Q69" s="1911"/>
      <c r="R69" s="1911"/>
      <c r="S69" s="1911"/>
      <c r="T69" s="1911"/>
      <c r="U69" s="1911"/>
      <c r="V69" s="1911"/>
    </row>
    <row r="70" spans="1:22" ht="24" customHeight="1">
      <c r="A70" s="357" t="s">
        <v>395</v>
      </c>
      <c r="B70" s="3475" t="s">
        <v>396</v>
      </c>
      <c r="C70" s="3475"/>
      <c r="D70" s="356" t="e">
        <f ca="1">ROUND(D63*'数据-取费表'!B41/(1+'数据-取费表'!C42),0)</f>
        <v>#REF!</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74" t="s">
        <v>2996</v>
      </c>
      <c r="C71" s="3491"/>
      <c r="D71" s="356" t="e">
        <f ca="1">ROUND(D63*'数据-取费表'!B41/(1+'数据-取费表'!C42),0)</f>
        <v>#REF!</v>
      </c>
      <c r="E71" s="17" t="s">
        <v>397</v>
      </c>
      <c r="F71" s="358">
        <f>'数据-取费表'!B41</f>
        <v>5.5000000000000007E-2</v>
      </c>
      <c r="G71" s="359"/>
      <c r="H71" s="309"/>
      <c r="I71" s="1246"/>
      <c r="J71" s="1918"/>
      <c r="K71" s="2764" t="s">
        <v>398</v>
      </c>
      <c r="L71" s="3432" t="s">
        <v>399</v>
      </c>
      <c r="M71" s="3432"/>
      <c r="N71" s="2764" t="s">
        <v>400</v>
      </c>
      <c r="O71" s="2764" t="s">
        <v>401</v>
      </c>
      <c r="P71" s="2764" t="s">
        <v>402</v>
      </c>
      <c r="Q71" s="1911"/>
      <c r="R71" s="1911"/>
      <c r="S71" s="1911"/>
      <c r="T71" s="1911"/>
      <c r="U71" s="1911"/>
      <c r="V71" s="1911"/>
    </row>
    <row r="72" spans="1:22" ht="12" customHeight="1">
      <c r="A72" s="357" t="s">
        <v>405</v>
      </c>
      <c r="B72" s="3474" t="s">
        <v>2997</v>
      </c>
      <c r="C72" s="3491"/>
      <c r="D72" s="356" t="e">
        <f ca="1">C86</f>
        <v>#REF!</v>
      </c>
      <c r="E72" s="73" t="s">
        <v>406</v>
      </c>
      <c r="F72" s="358">
        <f>'数据-取费表'!B41</f>
        <v>5.5000000000000007E-2</v>
      </c>
      <c r="G72" s="359"/>
      <c r="H72" s="1252"/>
      <c r="I72" s="1246"/>
      <c r="J72" s="1918"/>
      <c r="K72" s="1890">
        <v>1</v>
      </c>
      <c r="L72" s="3428" t="s">
        <v>404</v>
      </c>
      <c r="M72" s="3428"/>
      <c r="N72" s="1250" t="b">
        <f>D66</f>
        <v>0</v>
      </c>
      <c r="O72" s="1773" t="str">
        <f>E66</f>
        <v>销售额×税（费）率</v>
      </c>
      <c r="P72" s="1251">
        <f>F66</f>
        <v>5.5000000000000007E-2</v>
      </c>
      <c r="Q72" s="1911"/>
      <c r="R72" s="1911"/>
      <c r="S72" s="1911"/>
      <c r="T72" s="1911"/>
      <c r="U72" s="1911"/>
      <c r="V72" s="1911"/>
    </row>
    <row r="73" spans="1:22" ht="24" customHeight="1">
      <c r="A73" s="3462" t="s">
        <v>408</v>
      </c>
      <c r="B73" s="3463"/>
      <c r="C73" s="3463"/>
      <c r="D73" s="360" t="e">
        <f ca="1">IF(H73="个人住宅",0,ROUND(D63*I73,0))</f>
        <v>#REF!</v>
      </c>
      <c r="E73" s="17" t="s">
        <v>409</v>
      </c>
      <c r="F73" s="358" t="str">
        <f>IF(H73="正常",I73,"免征")</f>
        <v>免征</v>
      </c>
      <c r="G73" s="359"/>
      <c r="H73" s="189"/>
      <c r="I73" s="358">
        <f>'数据-取费表'!B49</f>
        <v>5.0000000000000001E-4</v>
      </c>
      <c r="J73" s="1918"/>
      <c r="K73" s="1890">
        <v>2</v>
      </c>
      <c r="L73" s="3428" t="s">
        <v>407</v>
      </c>
      <c r="M73" s="3428"/>
      <c r="N73" s="1250" t="e">
        <f t="shared" ref="N73:P74" ca="1" si="1">D73</f>
        <v>#REF!</v>
      </c>
      <c r="O73" s="1773" t="str">
        <f t="shared" si="1"/>
        <v>销售额×税（费）率</v>
      </c>
      <c r="P73" s="1251" t="str">
        <f t="shared" si="1"/>
        <v>免征</v>
      </c>
      <c r="Q73" s="1911"/>
      <c r="R73" s="1911"/>
      <c r="S73" s="1911"/>
      <c r="T73" s="1911"/>
      <c r="U73" s="1911"/>
      <c r="V73" s="1911"/>
    </row>
    <row r="74" spans="1:22" ht="24.75">
      <c r="A74" s="3462" t="s">
        <v>411</v>
      </c>
      <c r="B74" s="3463"/>
      <c r="C74" s="3463"/>
      <c r="D74" s="360" t="e">
        <f ca="1">IF(H74="个人住宅",D75,D76)</f>
        <v>#REF!</v>
      </c>
      <c r="E74" s="17" t="s">
        <v>412</v>
      </c>
      <c r="F74" s="358" t="str">
        <f>IF(H74="正常",F76,"免征")</f>
        <v>免征</v>
      </c>
      <c r="G74" s="971" t="s">
        <v>413</v>
      </c>
      <c r="H74" s="361"/>
      <c r="I74" s="42"/>
      <c r="J74" s="1918"/>
      <c r="K74" s="1890">
        <v>3</v>
      </c>
      <c r="L74" s="3428" t="s">
        <v>410</v>
      </c>
      <c r="M74" s="3428"/>
      <c r="N74" s="1250" t="e">
        <f t="shared" ca="1" si="1"/>
        <v>#REF!</v>
      </c>
      <c r="O74" s="1773" t="str">
        <f t="shared" si="1"/>
        <v>增值额×税（费）率</v>
      </c>
      <c r="P74" s="1253" t="str">
        <f t="shared" si="1"/>
        <v>免征</v>
      </c>
      <c r="Q74" s="1911"/>
      <c r="R74" s="1911"/>
      <c r="S74" s="1911"/>
      <c r="T74" s="1911"/>
      <c r="U74" s="1911"/>
      <c r="V74" s="1911"/>
    </row>
    <row r="75" spans="1:22" ht="12.75">
      <c r="A75" s="357" t="s">
        <v>414</v>
      </c>
      <c r="B75" s="3443" t="s">
        <v>415</v>
      </c>
      <c r="C75" s="3444"/>
      <c r="D75" s="362">
        <v>0</v>
      </c>
      <c r="E75" s="41" t="s">
        <v>416</v>
      </c>
      <c r="F75" s="363"/>
      <c r="G75" s="359"/>
      <c r="H75" s="42"/>
      <c r="I75" s="42"/>
      <c r="J75" s="1918"/>
      <c r="K75" s="2758">
        <f>IF(H77="非个人房产","",4)</f>
        <v>4</v>
      </c>
      <c r="L75" s="3428" t="str">
        <f>IF(H77="非个人房产","——","个人所得税")</f>
        <v>个人所得税</v>
      </c>
      <c r="M75" s="3428"/>
      <c r="N75" s="1254">
        <f>D77</f>
        <v>0</v>
      </c>
      <c r="O75" s="1786" t="str">
        <f>E77</f>
        <v>差额计税</v>
      </c>
      <c r="P75" s="1255">
        <f>F77</f>
        <v>0.01</v>
      </c>
      <c r="Q75" s="1911"/>
      <c r="R75" s="1911"/>
      <c r="S75" s="1911"/>
      <c r="T75" s="1911"/>
      <c r="U75" s="1911"/>
      <c r="V75" s="1911"/>
    </row>
    <row r="76" spans="1:22" ht="24.75">
      <c r="A76" s="357" t="s">
        <v>395</v>
      </c>
      <c r="B76" s="3443" t="s">
        <v>418</v>
      </c>
      <c r="C76" s="3485"/>
      <c r="D76" s="360" t="e">
        <f ca="1">IF(H76="转让取得",C99,C115)</f>
        <v>#REF!</v>
      </c>
      <c r="E76" s="17" t="s">
        <v>419</v>
      </c>
      <c r="F76" s="53" t="s">
        <v>21</v>
      </c>
      <c r="G76" s="359"/>
      <c r="H76" s="361"/>
      <c r="I76" s="42"/>
      <c r="J76" s="1918"/>
      <c r="K76" s="2758" t="str">
        <f>IF(项目基本情况!K6="上海银行",IF(K75="",4,K75+1),"")</f>
        <v/>
      </c>
      <c r="L76" s="3439" t="str">
        <f>IF(项目基本情况!K6="上海银行","其他处置费用","")</f>
        <v/>
      </c>
      <c r="M76" s="3440"/>
      <c r="N76" s="1250" t="str">
        <f>IF(项目基本情况!K6="上海银行",N89,"")</f>
        <v/>
      </c>
      <c r="O76" s="3441" t="str">
        <f>IF(项目基本情况!K6="上海银行","包含处置中涉及的律师、诉讼、拍卖、评估等费用","")</f>
        <v/>
      </c>
      <c r="P76" s="3442"/>
      <c r="Q76" s="1911"/>
      <c r="R76" s="1911"/>
      <c r="S76" s="1911"/>
      <c r="T76" s="1911"/>
      <c r="U76" s="1911"/>
      <c r="V76" s="1911"/>
    </row>
    <row r="77" spans="1:22" ht="24.75" thickBot="1">
      <c r="A77" s="3454" t="s">
        <v>421</v>
      </c>
      <c r="B77" s="3455"/>
      <c r="C77" s="345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50">
        <f>IF(AND(K75="",K76=""),4,IF(项目基本情况!K6="上海银行",K76+1,K75+1))</f>
        <v>5</v>
      </c>
      <c r="L77" s="3428" t="s">
        <v>2863</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50"/>
      <c r="L78" s="3428"/>
      <c r="M78" s="2763" t="s">
        <v>420</v>
      </c>
      <c r="N78" s="1256"/>
      <c r="O78" s="1257" t="str">
        <f ca="1">NUMBERSTRING(INT(O77*10000),2)&amp;"元整"</f>
        <v>零元整</v>
      </c>
      <c r="P78" s="1258"/>
      <c r="Q78" s="1911"/>
      <c r="R78" s="1911"/>
      <c r="S78" s="1911"/>
      <c r="T78" s="1911"/>
      <c r="U78" s="1911"/>
      <c r="V78" s="1911"/>
    </row>
    <row r="79" spans="1:22" ht="13.5" thickBot="1">
      <c r="A79" s="3505" t="s">
        <v>422</v>
      </c>
      <c r="B79" s="3505"/>
      <c r="C79" s="3505"/>
      <c r="D79" s="3505"/>
      <c r="E79" s="3505"/>
      <c r="F79" s="42"/>
      <c r="G79" s="42"/>
      <c r="H79" s="991"/>
      <c r="I79" s="309"/>
      <c r="J79" s="1918"/>
      <c r="K79" s="3426">
        <f>K77+1</f>
        <v>6</v>
      </c>
      <c r="L79" s="3428" t="s">
        <v>2864</v>
      </c>
      <c r="M79" s="2763" t="s">
        <v>417</v>
      </c>
      <c r="N79" s="1256"/>
      <c r="O79" s="1257" t="e">
        <f ca="1">N69-O77</f>
        <v>#VALUE!</v>
      </c>
      <c r="P79" s="1258"/>
      <c r="Q79" s="1911"/>
      <c r="R79" s="1911"/>
      <c r="S79" s="1911"/>
      <c r="T79" s="1911"/>
      <c r="U79" s="1911"/>
      <c r="V79" s="1911"/>
    </row>
    <row r="80" spans="1:22" ht="12.75">
      <c r="A80" s="3436" t="s">
        <v>423</v>
      </c>
      <c r="B80" s="3437"/>
      <c r="C80" s="982"/>
      <c r="D80" s="982" t="s">
        <v>424</v>
      </c>
      <c r="E80" s="364" t="s">
        <v>425</v>
      </c>
      <c r="F80" s="42"/>
      <c r="G80" s="42"/>
      <c r="H80" s="991"/>
      <c r="I80" s="309"/>
      <c r="J80" s="1911"/>
      <c r="K80" s="3427"/>
      <c r="L80" s="342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t="e">
        <f ca="1">ROUND((C82+C83)/(1+'数据-取费表'!C42),0)</f>
        <v>#REF!</v>
      </c>
      <c r="D81" s="367"/>
      <c r="E81" s="368"/>
      <c r="F81" s="42"/>
      <c r="G81" s="42"/>
      <c r="H81" s="991"/>
      <c r="I81" s="309"/>
      <c r="J81" s="1911"/>
      <c r="K81" s="2758">
        <f>K79+1</f>
        <v>7</v>
      </c>
      <c r="L81" s="3448" t="s">
        <v>2865</v>
      </c>
      <c r="M81" s="3449"/>
      <c r="N81" s="1260"/>
      <c r="O81" s="1261" t="e">
        <f ca="1">ROUND(O79*10000/'数据-汇总表'!E3,0)</f>
        <v>#VALUE!</v>
      </c>
      <c r="P81" s="1262"/>
      <c r="Q81" s="1911"/>
      <c r="R81" s="1911"/>
      <c r="S81" s="1911"/>
      <c r="T81" s="1911"/>
      <c r="U81" s="1911"/>
      <c r="V81" s="1911"/>
    </row>
    <row r="82" spans="1:26" ht="13.5" thickTop="1">
      <c r="A82" s="369" t="s">
        <v>1815</v>
      </c>
      <c r="B82" s="370" t="s">
        <v>427</v>
      </c>
      <c r="C82" s="371" t="e">
        <f ca="1">D63</f>
        <v>#REF!</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38"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38"/>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t="e">
        <f ca="1">C81-C84</f>
        <v>#REF!</v>
      </c>
      <c r="D85" s="372" t="s">
        <v>19</v>
      </c>
      <c r="E85" s="373"/>
      <c r="F85" s="42"/>
      <c r="G85" s="42"/>
      <c r="H85" s="991"/>
      <c r="I85" s="309"/>
      <c r="J85" s="1911"/>
      <c r="K85" s="3438"/>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t="e">
        <f ca="1">IF(C85&lt;=0,0,ROUND(C85*D86,0))</f>
        <v>#REF!</v>
      </c>
      <c r="D86" s="383">
        <f>'数据-取费表'!B41</f>
        <v>5.5000000000000007E-2</v>
      </c>
      <c r="E86" s="384"/>
      <c r="F86" s="42"/>
      <c r="G86" s="42"/>
      <c r="H86" s="991"/>
      <c r="I86" s="309"/>
      <c r="J86" s="1911"/>
      <c r="K86" s="3438"/>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38"/>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77" t="s">
        <v>432</v>
      </c>
      <c r="B88" s="3478"/>
      <c r="C88" s="3478"/>
      <c r="D88" s="3478"/>
      <c r="E88" s="3478"/>
      <c r="F88" s="3478"/>
      <c r="G88" s="3478"/>
      <c r="H88" s="3478"/>
      <c r="I88" s="1269"/>
      <c r="J88" s="1919"/>
      <c r="K88" s="3438"/>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36" t="s">
        <v>423</v>
      </c>
      <c r="B89" s="3437"/>
      <c r="C89" s="982"/>
      <c r="D89" s="982" t="s">
        <v>424</v>
      </c>
      <c r="E89" s="385" t="s">
        <v>433</v>
      </c>
      <c r="F89" s="386"/>
      <c r="G89" s="386"/>
      <c r="H89" s="387"/>
      <c r="I89" s="1270"/>
      <c r="J89" s="1921"/>
      <c r="K89" s="343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t="e">
        <f ca="1">ROUND(D63/(1+'数据-取费表'!C42),0)</f>
        <v>#REF!</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t="e">
        <f ca="1">C92+C96</f>
        <v>#REF!</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74" t="s">
        <v>441</v>
      </c>
      <c r="F94" s="3475"/>
      <c r="G94" s="3475"/>
      <c r="H94" s="347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t="e">
        <f ca="1">ROUND(D63*D96/(1+'数据-取费表'!C42),0)</f>
        <v>#REF!</v>
      </c>
      <c r="D96" s="400">
        <f>'数据-取费表'!B43</f>
        <v>5.000000000000001E-3</v>
      </c>
      <c r="E96" s="3433" t="s">
        <v>2413</v>
      </c>
      <c r="F96" s="3434"/>
      <c r="G96" s="3434"/>
      <c r="H96" s="343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t="e">
        <f ca="1">C90-C91</f>
        <v>#REF!</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7" t="s">
        <v>448</v>
      </c>
      <c r="B101" s="3478"/>
      <c r="C101" s="3478"/>
      <c r="D101" s="3478"/>
      <c r="E101" s="3478"/>
      <c r="F101" s="3478"/>
      <c r="G101" s="3478"/>
      <c r="H101" s="347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36" t="s">
        <v>423</v>
      </c>
      <c r="B102" s="343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t="e">
        <f ca="1">ROUND(D63/(1+'数据-取费表'!C42),0)</f>
        <v>#REF!</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t="e">
        <f ca="1">IF(H106="仅含出让金",C105+C108+C109+C110+C111+C112,C105+C109+C110+C111+C112)</f>
        <v>#REF!</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89" t="s">
        <v>2959</v>
      </c>
      <c r="H108" s="349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7" t="s">
        <v>456</v>
      </c>
      <c r="F109" s="3434"/>
      <c r="G109" s="343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67" t="s">
        <v>458</v>
      </c>
      <c r="F110" s="3434"/>
      <c r="G110" s="3434"/>
      <c r="H110" s="343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t="e">
        <f ca="1">ROUND(D63*D111/(1+'数据-取费表'!C42),0)</f>
        <v>#REF!</v>
      </c>
      <c r="D111" s="400">
        <f>'数据-取费表'!B43</f>
        <v>5.000000000000001E-3</v>
      </c>
      <c r="E111" s="3433" t="s">
        <v>2413</v>
      </c>
      <c r="F111" s="3434"/>
      <c r="G111" s="3434"/>
      <c r="H111" s="343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7" t="s">
        <v>2436</v>
      </c>
      <c r="F112" s="3434"/>
      <c r="G112" s="3434"/>
      <c r="H112" s="343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t="e">
        <f ca="1">ROUND(C103-C104,0)</f>
        <v>#REF!</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-913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-392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466</v>
      </c>
      <c r="D16" s="2561">
        <f ca="1">IF(B1="",'数据-汇总表'!E3,INDIRECT("'数据-取费表'!K"&amp;$K$1)+INDIRECT("'数据-取费表'!S"&amp;$K$1))</f>
        <v>23300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466</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23300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466</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466</v>
      </c>
      <c r="D22" s="2561">
        <f ca="1">IF(B1="",'数据-汇总表'!E6,IF(INDIRECT("'数据-取费表'!c"&amp;$K$1)="住宅",INDIRECT("'数据-取费表'!s"&amp;$K$1),INDIRECT("'数据-取费表'!k"&amp;$K$1)+INDIRECT("'数据-取费表'!s"&amp;$K$1)))</f>
        <v>23300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9</v>
      </c>
      <c r="D23" s="462"/>
      <c r="E23" s="462"/>
      <c r="F23" s="2573">
        <f>'数据-取费表'!B37</f>
        <v>0.01</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941</v>
      </c>
      <c r="D30" s="471">
        <f ca="1">C32</f>
        <v>3.0499999999999999E-2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941</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47</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47</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-913</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G6" sqref="G6"/>
    </sheetView>
  </sheetViews>
  <sheetFormatPr defaultRowHeight="13.5"/>
  <cols>
    <col min="1" max="3" width="9" style="3280"/>
    <col min="4" max="4" width="0" style="3280" hidden="1" customWidth="1"/>
    <col min="5" max="5" width="9" style="3280"/>
    <col min="6" max="6" width="0" style="3280" hidden="1" customWidth="1"/>
    <col min="7" max="7" width="27.125" style="3280" customWidth="1"/>
    <col min="8" max="16384" width="9" style="3280"/>
  </cols>
  <sheetData>
    <row r="5" spans="3:11">
      <c r="C5" s="3278" t="s">
        <v>3002</v>
      </c>
      <c r="D5" s="3279"/>
      <c r="E5" s="3278" t="s">
        <v>3003</v>
      </c>
      <c r="F5" s="3279"/>
      <c r="G5" s="3278" t="s">
        <v>3276</v>
      </c>
      <c r="H5" s="3278" t="s">
        <v>3004</v>
      </c>
      <c r="I5" s="3279"/>
      <c r="J5" s="3279"/>
      <c r="K5" s="3279"/>
    </row>
    <row r="6" spans="3:11">
      <c r="C6" s="3279">
        <f ca="1">基准地价!C29</f>
        <v>8729</v>
      </c>
      <c r="D6" s="3279"/>
      <c r="E6" s="3279">
        <f ca="1">'剩余法-现房'!B3</f>
        <v>8189</v>
      </c>
      <c r="F6" s="3279"/>
      <c r="G6" s="3279">
        <f ca="1">ROUND((C6+E6)/2*(1-0.25),0)</f>
        <v>6344</v>
      </c>
      <c r="H6" s="3279">
        <v>0.4</v>
      </c>
      <c r="I6" s="3279"/>
      <c r="J6" s="3278" t="s">
        <v>3005</v>
      </c>
      <c r="K6" s="3278" t="s">
        <v>3006</v>
      </c>
    </row>
    <row r="7" spans="3:11">
      <c r="C7" s="3279"/>
      <c r="D7" s="3279"/>
      <c r="E7" s="3279"/>
      <c r="F7" s="3279"/>
      <c r="G7" s="3278" t="s">
        <v>3007</v>
      </c>
      <c r="H7" s="3279"/>
      <c r="I7" s="3279"/>
      <c r="J7" s="3279">
        <f ca="1">ROUND(G6*H6+G8*H8,0)</f>
        <v>5086</v>
      </c>
      <c r="K7" s="3281">
        <f ca="1">J7*667/10000</f>
        <v>339.2362</v>
      </c>
    </row>
    <row r="8" spans="3:11">
      <c r="C8" s="3279"/>
      <c r="D8" s="3279"/>
      <c r="E8" s="3279"/>
      <c r="F8" s="3279"/>
      <c r="G8" s="3279">
        <f ca="1">成本逼近法!B3</f>
        <v>4247</v>
      </c>
      <c r="H8" s="3279">
        <v>0.6</v>
      </c>
      <c r="I8" s="3279"/>
      <c r="J8" s="3279"/>
      <c r="K8" s="3279"/>
    </row>
    <row r="11" spans="3:11">
      <c r="G11" s="3282" t="s">
        <v>3275</v>
      </c>
      <c r="J11" s="3280">
        <f ca="1">ROUND(G12*H6+G8*H8,0)</f>
        <v>5289</v>
      </c>
      <c r="K11" s="3280">
        <f ca="1">J11*667</f>
        <v>3527763</v>
      </c>
    </row>
    <row r="12" spans="3:11">
      <c r="G12" s="3280">
        <f ca="1">ROUND((C6+E6)/2*(1-0.19),0)</f>
        <v>6852</v>
      </c>
      <c r="H12" s="3280">
        <v>0.4</v>
      </c>
    </row>
    <row r="13" spans="3:11">
      <c r="G13" s="3282" t="s">
        <v>3008</v>
      </c>
    </row>
    <row r="14" spans="3:11">
      <c r="G14" s="3280">
        <f ca="1">G8</f>
        <v>4247</v>
      </c>
      <c r="H14" s="3280">
        <f>H8</f>
        <v>0.6</v>
      </c>
    </row>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33" t="str">
        <f>项目基本情况!B1</f>
        <v>北京市划拨国有建设用地使用权市场价格预评估</v>
      </c>
      <c r="C37" s="3333"/>
      <c r="D37" s="3333"/>
      <c r="E37" s="3333"/>
      <c r="F37" s="3333"/>
      <c r="G37" s="3333"/>
      <c r="H37" s="3333"/>
      <c r="I37" s="333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5" zoomScale="90" zoomScaleNormal="80" zoomScaleSheetLayoutView="90" workbookViewId="0">
      <selection activeCell="C34" sqref="C3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3012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19080.018435441139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8189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8189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546</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27801</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3012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23300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27801</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3495</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105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466</v>
      </c>
      <c r="D16" s="445">
        <f ca="1">IF(B1="",'数据-汇总表'!E3,INDIRECT("'数据-取费表'!K"&amp;$K$1)+INDIRECT("'数据-取费表'!S"&amp;$K$1))</f>
        <v>23300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52</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4118</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41</v>
      </c>
      <c r="D19" s="456"/>
      <c r="E19" s="456"/>
      <c r="F19" s="460">
        <f>'数据-取费表'!B37</f>
        <v>0.01</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98</v>
      </c>
      <c r="D21" s="461">
        <f ca="1">C23</f>
        <v>2.0000000000000001E-4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98</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208</v>
      </c>
      <c r="D24" s="483">
        <f ca="1">C26</f>
        <v>5.0000000000000001E-4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208</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4766</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4766</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 ca="1">ROUND(C6*F31/(1+'数据-取费表'!C42),0)</f>
        <v>1456</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19080.018435441139</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f ca="1">C32*10000/D16</f>
        <v>8188.8491139232356</v>
      </c>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8" t="s">
        <v>516</v>
      </c>
      <c r="D6" s="3529"/>
      <c r="E6" s="3528" t="s">
        <v>517</v>
      </c>
      <c r="F6" s="3529"/>
      <c r="G6" s="3528" t="s">
        <v>518</v>
      </c>
      <c r="H6" s="3529"/>
      <c r="I6" s="3528" t="s">
        <v>519</v>
      </c>
      <c r="J6" s="3529"/>
      <c r="K6" s="508" t="s">
        <v>520</v>
      </c>
      <c r="L6" s="2015"/>
      <c r="M6" s="2014"/>
      <c r="N6" s="2014"/>
      <c r="O6" s="2016"/>
      <c r="P6" s="3530" t="s">
        <v>521</v>
      </c>
      <c r="Q6" s="3531"/>
      <c r="R6" s="3516" t="s">
        <v>517</v>
      </c>
      <c r="S6" s="3517"/>
      <c r="T6" s="3516" t="s">
        <v>518</v>
      </c>
      <c r="U6" s="3517"/>
      <c r="V6" s="3536" t="s">
        <v>519</v>
      </c>
      <c r="W6" s="3536"/>
      <c r="X6" s="1502"/>
      <c r="Y6" s="3516" t="s">
        <v>521</v>
      </c>
      <c r="Z6" s="3517"/>
      <c r="AA6" s="3511" t="s">
        <v>517</v>
      </c>
      <c r="AB6" s="3512" t="s">
        <v>518</v>
      </c>
      <c r="AC6" s="3511" t="s">
        <v>519</v>
      </c>
    </row>
    <row r="7" spans="1:30" ht="20.25">
      <c r="A7" s="509"/>
      <c r="B7" s="510"/>
      <c r="C7" s="3539" t="s">
        <v>2897</v>
      </c>
      <c r="D7" s="3540"/>
      <c r="E7" s="3539" t="s">
        <v>2898</v>
      </c>
      <c r="F7" s="3540"/>
      <c r="G7" s="3539" t="s">
        <v>2899</v>
      </c>
      <c r="H7" s="3540"/>
      <c r="I7" s="3539" t="s">
        <v>2900</v>
      </c>
      <c r="J7" s="3540"/>
      <c r="K7" s="508"/>
      <c r="L7" s="2015"/>
      <c r="M7" s="2014"/>
      <c r="N7" s="2014"/>
      <c r="O7" s="2016"/>
      <c r="P7" s="3532"/>
      <c r="Q7" s="3533"/>
      <c r="R7" s="3518"/>
      <c r="S7" s="3519"/>
      <c r="T7" s="3518"/>
      <c r="U7" s="3519"/>
      <c r="V7" s="3536"/>
      <c r="W7" s="3536"/>
      <c r="X7" s="1502"/>
      <c r="Y7" s="3518"/>
      <c r="Z7" s="3519"/>
      <c r="AA7" s="3512"/>
      <c r="AB7" s="3512"/>
      <c r="AC7" s="3512"/>
    </row>
    <row r="8" spans="1:30" ht="21" thickBot="1">
      <c r="A8" s="509"/>
      <c r="B8" s="510"/>
      <c r="C8" s="3541" t="s">
        <v>2901</v>
      </c>
      <c r="D8" s="3542"/>
      <c r="E8" s="3541" t="s">
        <v>2901</v>
      </c>
      <c r="F8" s="3542"/>
      <c r="G8" s="3537" t="s">
        <v>2901</v>
      </c>
      <c r="H8" s="3538"/>
      <c r="I8" s="3537" t="s">
        <v>2901</v>
      </c>
      <c r="J8" s="3538"/>
      <c r="K8" s="508" t="s">
        <v>522</v>
      </c>
      <c r="L8" s="2015"/>
      <c r="M8" s="2014"/>
      <c r="N8" s="2014"/>
      <c r="O8" s="2016"/>
      <c r="P8" s="3534"/>
      <c r="Q8" s="3535"/>
      <c r="R8" s="3518"/>
      <c r="S8" s="3519"/>
      <c r="T8" s="3520"/>
      <c r="U8" s="3521"/>
      <c r="V8" s="3536"/>
      <c r="W8" s="3536"/>
      <c r="X8" s="1502"/>
      <c r="Y8" s="3520"/>
      <c r="Z8" s="3521"/>
      <c r="AA8" s="3513"/>
      <c r="AB8" s="3513"/>
      <c r="AC8" s="3513"/>
    </row>
    <row r="9" spans="1:30" s="1203" customFormat="1" ht="21" thickBot="1">
      <c r="A9" s="2629"/>
      <c r="B9" s="2636" t="s">
        <v>523</v>
      </c>
      <c r="C9" s="2628">
        <f>'数据-取费表'!B2</f>
        <v>44071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14" t="s">
        <v>524</v>
      </c>
      <c r="Q9" s="3523"/>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2" t="s">
        <v>529</v>
      </c>
      <c r="Q11" s="1134" t="str">
        <f t="shared" ref="Q11:Q17" si="6">B11</f>
        <v>用途</v>
      </c>
      <c r="R11" s="1503" t="s">
        <v>8</v>
      </c>
      <c r="S11" s="1504">
        <f t="shared" si="0"/>
        <v>100</v>
      </c>
      <c r="T11" s="1503" t="s">
        <v>8</v>
      </c>
      <c r="U11" s="1504">
        <f t="shared" si="1"/>
        <v>100</v>
      </c>
      <c r="V11" s="1503" t="s">
        <v>8</v>
      </c>
      <c r="W11" s="1504">
        <f t="shared" si="2"/>
        <v>100</v>
      </c>
      <c r="X11" s="1505"/>
      <c r="Y11" s="347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2"/>
      <c r="Q12" s="1134" t="str">
        <f t="shared" si="6"/>
        <v>土地使用年限（年）</v>
      </c>
      <c r="R12" s="1503" t="s">
        <v>8</v>
      </c>
      <c r="S12" s="1504">
        <f t="shared" si="0"/>
        <v>100</v>
      </c>
      <c r="T12" s="1503" t="s">
        <v>8</v>
      </c>
      <c r="U12" s="1504">
        <f t="shared" si="1"/>
        <v>100</v>
      </c>
      <c r="V12" s="1503" t="s">
        <v>8</v>
      </c>
      <c r="W12" s="1504">
        <f t="shared" si="2"/>
        <v>100</v>
      </c>
      <c r="X12" s="1505"/>
      <c r="Y12" s="3473"/>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22"/>
      <c r="Q13" s="1134" t="str">
        <f t="shared" si="6"/>
        <v>容积率</v>
      </c>
      <c r="R13" s="1503" t="s">
        <v>8</v>
      </c>
      <c r="S13" s="1504" t="e">
        <f t="shared" si="0"/>
        <v>#N/A</v>
      </c>
      <c r="T13" s="1503" t="s">
        <v>8</v>
      </c>
      <c r="U13" s="1504" t="e">
        <f t="shared" si="1"/>
        <v>#N/A</v>
      </c>
      <c r="V13" s="1503" t="s">
        <v>8</v>
      </c>
      <c r="W13" s="1504" t="e">
        <f t="shared" si="2"/>
        <v>#N/A</v>
      </c>
      <c r="X13" s="1505"/>
      <c r="Y13" s="347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22"/>
      <c r="Q14" s="1134" t="str">
        <f t="shared" si="6"/>
        <v>配建</v>
      </c>
      <c r="R14" s="1503" t="s">
        <v>8</v>
      </c>
      <c r="S14" s="1504">
        <f t="shared" si="0"/>
        <v>100</v>
      </c>
      <c r="T14" s="1503" t="s">
        <v>8</v>
      </c>
      <c r="U14" s="1504">
        <f t="shared" si="1"/>
        <v>100</v>
      </c>
      <c r="V14" s="1503" t="s">
        <v>8</v>
      </c>
      <c r="W14" s="1504">
        <f t="shared" si="2"/>
        <v>100</v>
      </c>
      <c r="X14" s="1505"/>
      <c r="Y14" s="347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2"/>
      <c r="Q15" s="1134">
        <f t="shared" si="6"/>
        <v>111</v>
      </c>
      <c r="R15" s="1503" t="s">
        <v>8</v>
      </c>
      <c r="S15" s="1504">
        <f t="shared" si="0"/>
        <v>100</v>
      </c>
      <c r="T15" s="1503" t="s">
        <v>8</v>
      </c>
      <c r="U15" s="1504">
        <f t="shared" si="1"/>
        <v>100</v>
      </c>
      <c r="V15" s="1503" t="s">
        <v>8</v>
      </c>
      <c r="W15" s="1504">
        <f t="shared" si="2"/>
        <v>100</v>
      </c>
      <c r="X15" s="1505"/>
      <c r="Y15" s="347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2"/>
      <c r="Q16" s="1134">
        <f t="shared" si="6"/>
        <v>111</v>
      </c>
      <c r="R16" s="1503" t="s">
        <v>8</v>
      </c>
      <c r="S16" s="1504">
        <f t="shared" si="0"/>
        <v>100</v>
      </c>
      <c r="T16" s="1503" t="s">
        <v>8</v>
      </c>
      <c r="U16" s="1504">
        <f t="shared" si="1"/>
        <v>100</v>
      </c>
      <c r="V16" s="1503" t="s">
        <v>8</v>
      </c>
      <c r="W16" s="1504">
        <f t="shared" si="2"/>
        <v>100</v>
      </c>
      <c r="X16" s="1505"/>
      <c r="Y16" s="347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24" t="s">
        <v>534</v>
      </c>
      <c r="Q17" s="1507" t="str">
        <f t="shared" si="6"/>
        <v>居住社区成熟度</v>
      </c>
      <c r="R17" s="1508" t="s">
        <v>8</v>
      </c>
      <c r="S17" s="1509">
        <f t="shared" si="0"/>
        <v>100</v>
      </c>
      <c r="T17" s="1508" t="s">
        <v>8</v>
      </c>
      <c r="U17" s="1509">
        <f t="shared" si="1"/>
        <v>100</v>
      </c>
      <c r="V17" s="1508" t="s">
        <v>8</v>
      </c>
      <c r="W17" s="1509">
        <f t="shared" si="2"/>
        <v>100</v>
      </c>
      <c r="X17" s="1502"/>
      <c r="Y17" s="352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25"/>
      <c r="Q18" s="1507"/>
      <c r="R18" s="1508"/>
      <c r="S18" s="1509"/>
      <c r="T18" s="1508"/>
      <c r="U18" s="1509"/>
      <c r="V18" s="1508"/>
      <c r="W18" s="1509"/>
      <c r="X18" s="1502"/>
      <c r="Y18" s="352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5"/>
      <c r="Q19" s="1507" t="str">
        <f>B19</f>
        <v>商业繁华度</v>
      </c>
      <c r="R19" s="1508" t="s">
        <v>8</v>
      </c>
      <c r="S19" s="1509">
        <f>F19</f>
        <v>100</v>
      </c>
      <c r="T19" s="1508" t="s">
        <v>8</v>
      </c>
      <c r="U19" s="1509">
        <f>H19</f>
        <v>100</v>
      </c>
      <c r="V19" s="1508" t="s">
        <v>8</v>
      </c>
      <c r="W19" s="1509">
        <f>J19</f>
        <v>100</v>
      </c>
      <c r="X19" s="1502"/>
      <c r="Y19" s="352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25"/>
      <c r="Q20" s="1507"/>
      <c r="R20" s="1508"/>
      <c r="S20" s="1509"/>
      <c r="T20" s="1508"/>
      <c r="U20" s="1509"/>
      <c r="V20" s="1508"/>
      <c r="W20" s="1509"/>
      <c r="X20" s="1502"/>
      <c r="Y20" s="352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5"/>
      <c r="Q21" s="1507" t="str">
        <f>B21</f>
        <v>办公集聚程度</v>
      </c>
      <c r="R21" s="1508" t="s">
        <v>8</v>
      </c>
      <c r="S21" s="1509">
        <f>F21</f>
        <v>100</v>
      </c>
      <c r="T21" s="1508" t="s">
        <v>8</v>
      </c>
      <c r="U21" s="1509">
        <f>H21</f>
        <v>100</v>
      </c>
      <c r="V21" s="1508" t="s">
        <v>8</v>
      </c>
      <c r="W21" s="1509">
        <f>J21</f>
        <v>100</v>
      </c>
      <c r="X21" s="1502"/>
      <c r="Y21" s="352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25"/>
      <c r="Q22" s="1507"/>
      <c r="R22" s="1508"/>
      <c r="S22" s="1509"/>
      <c r="T22" s="1508"/>
      <c r="U22" s="1509"/>
      <c r="V22" s="1508"/>
      <c r="W22" s="1509"/>
      <c r="X22" s="1502"/>
      <c r="Y22" s="352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25"/>
      <c r="Q23" s="1507" t="str">
        <f>B23</f>
        <v>交通便捷度</v>
      </c>
      <c r="R23" s="1508" t="s">
        <v>8</v>
      </c>
      <c r="S23" s="1509">
        <f>F23</f>
        <v>100</v>
      </c>
      <c r="T23" s="1508" t="s">
        <v>8</v>
      </c>
      <c r="U23" s="1509">
        <f>H23</f>
        <v>100</v>
      </c>
      <c r="V23" s="1508" t="s">
        <v>8</v>
      </c>
      <c r="W23" s="1509">
        <f>J23</f>
        <v>100</v>
      </c>
      <c r="X23" s="1502"/>
      <c r="Y23" s="352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25"/>
      <c r="Q24" s="1507"/>
      <c r="R24" s="1508"/>
      <c r="S24" s="1509"/>
      <c r="T24" s="1508"/>
      <c r="U24" s="1509"/>
      <c r="V24" s="1508"/>
      <c r="W24" s="1509"/>
      <c r="X24" s="1502"/>
      <c r="Y24" s="352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25"/>
      <c r="Q25" s="1507" t="str">
        <f t="shared" ref="Q25:Q39" si="8">B25</f>
        <v>区域土地利用方向</v>
      </c>
      <c r="R25" s="1508" t="s">
        <v>8</v>
      </c>
      <c r="S25" s="1509">
        <f>F25</f>
        <v>100</v>
      </c>
      <c r="T25" s="1508" t="s">
        <v>8</v>
      </c>
      <c r="U25" s="1509">
        <f>H25</f>
        <v>100</v>
      </c>
      <c r="V25" s="1508" t="s">
        <v>8</v>
      </c>
      <c r="W25" s="1509">
        <f>J25</f>
        <v>100</v>
      </c>
      <c r="X25" s="1502"/>
      <c r="Y25" s="352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25"/>
      <c r="Q26" s="1507"/>
      <c r="R26" s="1508"/>
      <c r="S26" s="1509"/>
      <c r="T26" s="1508"/>
      <c r="U26" s="1509"/>
      <c r="V26" s="1508"/>
      <c r="W26" s="1509"/>
      <c r="X26" s="1502"/>
      <c r="Y26" s="352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25"/>
      <c r="Q27" s="1507" t="str">
        <f t="shared" si="8"/>
        <v>自然及人文环境状况</v>
      </c>
      <c r="R27" s="1508" t="s">
        <v>8</v>
      </c>
      <c r="S27" s="1509">
        <f>F27</f>
        <v>100</v>
      </c>
      <c r="T27" s="1508" t="s">
        <v>8</v>
      </c>
      <c r="U27" s="1509">
        <f>H27</f>
        <v>100</v>
      </c>
      <c r="V27" s="1508" t="s">
        <v>8</v>
      </c>
      <c r="W27" s="1509">
        <f>J27</f>
        <v>100</v>
      </c>
      <c r="X27" s="1502"/>
      <c r="Y27" s="352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25"/>
      <c r="Q28" s="1507"/>
      <c r="R28" s="1508"/>
      <c r="S28" s="1509"/>
      <c r="T28" s="1508"/>
      <c r="U28" s="1509"/>
      <c r="V28" s="1508"/>
      <c r="W28" s="1509"/>
      <c r="X28" s="1502"/>
      <c r="Y28" s="352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25"/>
      <c r="Q29" s="1134" t="str">
        <f t="shared" si="8"/>
        <v>公共配套设施</v>
      </c>
      <c r="R29" s="1503" t="s">
        <v>8</v>
      </c>
      <c r="S29" s="1504">
        <f>F29</f>
        <v>100</v>
      </c>
      <c r="T29" s="1503" t="s">
        <v>8</v>
      </c>
      <c r="U29" s="1504">
        <f>H29</f>
        <v>100</v>
      </c>
      <c r="V29" s="1503" t="s">
        <v>8</v>
      </c>
      <c r="W29" s="1504">
        <f>J29</f>
        <v>100</v>
      </c>
      <c r="X29" s="1505"/>
      <c r="Y29" s="352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25"/>
      <c r="Q30" s="1134"/>
      <c r="R30" s="1503"/>
      <c r="S30" s="1504"/>
      <c r="T30" s="1503"/>
      <c r="U30" s="1504"/>
      <c r="V30" s="1503"/>
      <c r="W30" s="1504"/>
      <c r="X30" s="1505"/>
      <c r="Y30" s="352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25"/>
      <c r="Q31" s="2428" t="str">
        <f t="shared" ref="Q31" si="9">B31</f>
        <v>基础设施水平</v>
      </c>
      <c r="R31" s="1503" t="s">
        <v>8</v>
      </c>
      <c r="S31" s="1504">
        <f>F31</f>
        <v>100</v>
      </c>
      <c r="T31" s="1503" t="s">
        <v>8</v>
      </c>
      <c r="U31" s="1504">
        <f>H31</f>
        <v>100</v>
      </c>
      <c r="V31" s="1503" t="s">
        <v>8</v>
      </c>
      <c r="W31" s="1504">
        <f>J31</f>
        <v>100</v>
      </c>
      <c r="X31" s="1505"/>
      <c r="Y31" s="352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25"/>
      <c r="Q32" s="2428"/>
      <c r="R32" s="1503"/>
      <c r="S32" s="1504"/>
      <c r="T32" s="1503"/>
      <c r="U32" s="1504"/>
      <c r="V32" s="1503"/>
      <c r="W32" s="1504"/>
      <c r="X32" s="1505"/>
      <c r="Y32" s="352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2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2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25"/>
      <c r="Q34" s="1507" t="str">
        <f t="shared" si="8"/>
        <v>毗邻道路的类型与等级</v>
      </c>
      <c r="R34" s="1508" t="s">
        <v>8</v>
      </c>
      <c r="S34" s="1509">
        <f t="shared" si="10"/>
        <v>100</v>
      </c>
      <c r="T34" s="1508" t="s">
        <v>8</v>
      </c>
      <c r="U34" s="1509">
        <f t="shared" si="11"/>
        <v>100</v>
      </c>
      <c r="V34" s="1508" t="s">
        <v>8</v>
      </c>
      <c r="W34" s="1509">
        <f t="shared" si="12"/>
        <v>100</v>
      </c>
      <c r="X34" s="1502"/>
      <c r="Y34" s="352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25"/>
      <c r="Q35" s="1507"/>
      <c r="R35" s="1508"/>
      <c r="S35" s="1509"/>
      <c r="T35" s="1508"/>
      <c r="U35" s="1509"/>
      <c r="V35" s="1508"/>
      <c r="W35" s="1509"/>
      <c r="X35" s="1502"/>
      <c r="Y35" s="352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25"/>
      <c r="Q36" s="1507" t="str">
        <f t="shared" si="8"/>
        <v>土地级别</v>
      </c>
      <c r="R36" s="1508" t="s">
        <v>8</v>
      </c>
      <c r="S36" s="1509">
        <f t="shared" si="10"/>
        <v>100</v>
      </c>
      <c r="T36" s="1508" t="s">
        <v>8</v>
      </c>
      <c r="U36" s="1509">
        <f t="shared" si="11"/>
        <v>100</v>
      </c>
      <c r="V36" s="1508" t="s">
        <v>8</v>
      </c>
      <c r="W36" s="1509">
        <f t="shared" si="12"/>
        <v>100</v>
      </c>
      <c r="X36" s="1502"/>
      <c r="Y36" s="352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5"/>
      <c r="Q37" s="1507">
        <f t="shared" si="8"/>
        <v>111</v>
      </c>
      <c r="R37" s="1508" t="s">
        <v>8</v>
      </c>
      <c r="S37" s="1509">
        <f t="shared" si="10"/>
        <v>100</v>
      </c>
      <c r="T37" s="1508" t="s">
        <v>8</v>
      </c>
      <c r="U37" s="1509">
        <f t="shared" si="11"/>
        <v>100</v>
      </c>
      <c r="V37" s="1508" t="s">
        <v>8</v>
      </c>
      <c r="W37" s="1509">
        <f t="shared" si="12"/>
        <v>100</v>
      </c>
      <c r="X37" s="1502"/>
      <c r="Y37" s="352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6" t="s">
        <v>544</v>
      </c>
      <c r="Q38" s="1507">
        <f t="shared" si="8"/>
        <v>111</v>
      </c>
      <c r="R38" s="1508" t="s">
        <v>8</v>
      </c>
      <c r="S38" s="1509">
        <f t="shared" si="10"/>
        <v>100</v>
      </c>
      <c r="T38" s="1508" t="s">
        <v>8</v>
      </c>
      <c r="U38" s="1509">
        <f t="shared" si="11"/>
        <v>100</v>
      </c>
      <c r="V38" s="1508" t="s">
        <v>8</v>
      </c>
      <c r="W38" s="1509">
        <f t="shared" si="12"/>
        <v>100</v>
      </c>
      <c r="X38" s="1502"/>
      <c r="Y38" s="352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7"/>
      <c r="Q39" s="1507">
        <f t="shared" si="8"/>
        <v>111</v>
      </c>
      <c r="R39" s="1512" t="s">
        <v>8</v>
      </c>
      <c r="S39" s="1513">
        <f t="shared" si="10"/>
        <v>100</v>
      </c>
      <c r="T39" s="1512" t="s">
        <v>8</v>
      </c>
      <c r="U39" s="1513">
        <f t="shared" si="11"/>
        <v>100</v>
      </c>
      <c r="V39" s="1512" t="s">
        <v>8</v>
      </c>
      <c r="W39" s="1513">
        <f t="shared" si="12"/>
        <v>100</v>
      </c>
      <c r="X39" s="1514"/>
      <c r="Y39" s="352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27"/>
      <c r="Q40" s="1507" t="str">
        <f>B40</f>
        <v>宗地面积</v>
      </c>
      <c r="R40" s="1508" t="s">
        <v>8</v>
      </c>
      <c r="S40" s="1509" t="e">
        <f t="shared" si="10"/>
        <v>#N/A</v>
      </c>
      <c r="T40" s="1508" t="s">
        <v>8</v>
      </c>
      <c r="U40" s="1509" t="e">
        <f t="shared" si="11"/>
        <v>#N/A</v>
      </c>
      <c r="V40" s="1508" t="s">
        <v>8</v>
      </c>
      <c r="W40" s="1509" t="e">
        <f t="shared" si="12"/>
        <v>#N/A</v>
      </c>
      <c r="X40" s="1502"/>
      <c r="Y40" s="352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27"/>
      <c r="Q41" s="1507" t="str">
        <f t="shared" ref="Q41:Q47" si="14">B41</f>
        <v>宗地形状</v>
      </c>
      <c r="R41" s="1508" t="s">
        <v>8</v>
      </c>
      <c r="S41" s="1509">
        <f t="shared" si="10"/>
        <v>100</v>
      </c>
      <c r="T41" s="1508" t="s">
        <v>8</v>
      </c>
      <c r="U41" s="1509">
        <f t="shared" si="11"/>
        <v>100</v>
      </c>
      <c r="V41" s="1508" t="s">
        <v>8</v>
      </c>
      <c r="W41" s="1509">
        <f t="shared" si="12"/>
        <v>100</v>
      </c>
      <c r="X41" s="1502"/>
      <c r="Y41" s="352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27"/>
      <c r="Q42" s="1507" t="str">
        <f t="shared" si="14"/>
        <v>临街宽度及深度</v>
      </c>
      <c r="R42" s="1508" t="s">
        <v>8</v>
      </c>
      <c r="S42" s="1509">
        <f t="shared" si="10"/>
        <v>100</v>
      </c>
      <c r="T42" s="1508" t="s">
        <v>8</v>
      </c>
      <c r="U42" s="1509">
        <f t="shared" si="11"/>
        <v>100</v>
      </c>
      <c r="V42" s="1508" t="s">
        <v>8</v>
      </c>
      <c r="W42" s="1509">
        <f t="shared" si="12"/>
        <v>100</v>
      </c>
      <c r="X42" s="1502"/>
      <c r="Y42" s="352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27"/>
      <c r="Q43" s="1507" t="str">
        <f t="shared" si="14"/>
        <v>宗地开发程度</v>
      </c>
      <c r="R43" s="1503" t="s">
        <v>8</v>
      </c>
      <c r="S43" s="1504">
        <f t="shared" si="10"/>
        <v>100</v>
      </c>
      <c r="T43" s="1503" t="s">
        <v>8</v>
      </c>
      <c r="U43" s="1504">
        <f t="shared" si="11"/>
        <v>100</v>
      </c>
      <c r="V43" s="1503" t="s">
        <v>8</v>
      </c>
      <c r="W43" s="1504">
        <f t="shared" si="12"/>
        <v>100</v>
      </c>
      <c r="X43" s="1505"/>
      <c r="Y43" s="352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27" t="s">
        <v>544</v>
      </c>
      <c r="Q44" s="1507" t="str">
        <f t="shared" si="14"/>
        <v>工程地质条件</v>
      </c>
      <c r="R44" s="1508" t="s">
        <v>8</v>
      </c>
      <c r="S44" s="1509">
        <f t="shared" si="10"/>
        <v>100</v>
      </c>
      <c r="T44" s="1508" t="s">
        <v>8</v>
      </c>
      <c r="U44" s="1509">
        <f t="shared" si="11"/>
        <v>100</v>
      </c>
      <c r="V44" s="1508" t="s">
        <v>8</v>
      </c>
      <c r="W44" s="1509">
        <f t="shared" si="12"/>
        <v>100</v>
      </c>
      <c r="X44" s="1502"/>
      <c r="Y44" s="352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7"/>
      <c r="Q45" s="1507">
        <f t="shared" si="14"/>
        <v>111</v>
      </c>
      <c r="R45" s="1508" t="s">
        <v>8</v>
      </c>
      <c r="S45" s="1509">
        <f t="shared" si="10"/>
        <v>100</v>
      </c>
      <c r="T45" s="1508" t="s">
        <v>8</v>
      </c>
      <c r="U45" s="1509">
        <f t="shared" si="11"/>
        <v>100</v>
      </c>
      <c r="V45" s="1508" t="s">
        <v>8</v>
      </c>
      <c r="W45" s="1509">
        <f t="shared" si="12"/>
        <v>100</v>
      </c>
      <c r="X45" s="1502"/>
      <c r="Y45" s="352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7"/>
      <c r="Q46" s="1507">
        <f t="shared" si="14"/>
        <v>111</v>
      </c>
      <c r="R46" s="1508" t="s">
        <v>8</v>
      </c>
      <c r="S46" s="1509">
        <f t="shared" si="10"/>
        <v>100</v>
      </c>
      <c r="T46" s="1508" t="s">
        <v>8</v>
      </c>
      <c r="U46" s="1509">
        <f t="shared" si="11"/>
        <v>100</v>
      </c>
      <c r="V46" s="1508" t="s">
        <v>8</v>
      </c>
      <c r="W46" s="1509">
        <f t="shared" si="12"/>
        <v>100</v>
      </c>
      <c r="X46" s="1502"/>
      <c r="Y46" s="352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7"/>
      <c r="Q47" s="1507">
        <f t="shared" si="14"/>
        <v>111</v>
      </c>
      <c r="R47" s="1512" t="s">
        <v>8</v>
      </c>
      <c r="S47" s="1513">
        <f t="shared" si="10"/>
        <v>100</v>
      </c>
      <c r="T47" s="1512" t="s">
        <v>8</v>
      </c>
      <c r="U47" s="1513">
        <f t="shared" si="11"/>
        <v>100</v>
      </c>
      <c r="V47" s="1512" t="s">
        <v>8</v>
      </c>
      <c r="W47" s="1513">
        <f t="shared" si="12"/>
        <v>100</v>
      </c>
      <c r="X47" s="1514"/>
      <c r="Y47" s="352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522" t="str">
        <f>A48</f>
        <v>成交单价</v>
      </c>
      <c r="Q48" s="3522"/>
      <c r="R48" s="3536">
        <f>E48</f>
        <v>0</v>
      </c>
      <c r="S48" s="3536"/>
      <c r="T48" s="3536">
        <f>G48</f>
        <v>0</v>
      </c>
      <c r="U48" s="3536"/>
      <c r="V48" s="3536">
        <f>I48</f>
        <v>0</v>
      </c>
      <c r="W48" s="353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22" t="str">
        <f>A49</f>
        <v>比较价格（元/平方米）</v>
      </c>
      <c r="Q49" s="3522"/>
      <c r="R49" s="3546" t="e">
        <f>ROUND(PRODUCT(R48,AA9:AA47),0)</f>
        <v>#DIV/0!</v>
      </c>
      <c r="S49" s="3546"/>
      <c r="T49" s="3546" t="e">
        <f>ROUND(PRODUCT(T48,AB9:AB47),0)</f>
        <v>#DIV/0!</v>
      </c>
      <c r="U49" s="3546"/>
      <c r="V49" s="3546" t="e">
        <f>ROUND(PRODUCT(V48,AC9:AC47),0)</f>
        <v>#DIV/0!</v>
      </c>
      <c r="W49" s="3546"/>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43" t="str">
        <f>A50</f>
        <v>估价对象XX用房的比较价格（楼面单价，元/平方米）</v>
      </c>
      <c r="Q50" s="3544"/>
      <c r="R50" s="3545" t="e">
        <f>ROUND(IF(D49="简单平均",AVERAGE(R49:W49),R49*F49+T49*H49+V49*J49),0)</f>
        <v>#DIV/0!</v>
      </c>
      <c r="S50" s="3545"/>
      <c r="T50" s="3545"/>
      <c r="U50" s="3545"/>
      <c r="V50" s="3545"/>
      <c r="W50" s="354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06" t="s">
        <v>2269</v>
      </c>
      <c r="H57" s="350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23300</v>
      </c>
      <c r="F58" s="628" t="e">
        <f t="shared" ref="F58:F67" si="15">ROUND(B58*E58/10000,0)</f>
        <v>#DIV/0!</v>
      </c>
      <c r="G58" s="3508"/>
      <c r="H58" s="350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1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1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1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1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八级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八级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八级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23300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17" sqref="A1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28" t="s">
        <v>516</v>
      </c>
      <c r="D6" s="3529"/>
      <c r="E6" s="3553" t="s">
        <v>517</v>
      </c>
      <c r="F6" s="3554"/>
      <c r="G6" s="3528" t="s">
        <v>518</v>
      </c>
      <c r="H6" s="3529"/>
      <c r="I6" s="3528" t="s">
        <v>519</v>
      </c>
      <c r="J6" s="3529"/>
      <c r="K6" s="508" t="s">
        <v>520</v>
      </c>
      <c r="L6" s="2015"/>
      <c r="M6" s="2016"/>
      <c r="N6" s="2016"/>
      <c r="O6" s="2016"/>
      <c r="P6" s="3530" t="s">
        <v>521</v>
      </c>
      <c r="Q6" s="3531"/>
      <c r="R6" s="3516" t="s">
        <v>517</v>
      </c>
      <c r="S6" s="3517"/>
      <c r="T6" s="3516" t="s">
        <v>518</v>
      </c>
      <c r="U6" s="3517"/>
      <c r="V6" s="3536" t="s">
        <v>519</v>
      </c>
      <c r="W6" s="3536"/>
      <c r="X6" s="1502"/>
      <c r="Y6" s="3516" t="s">
        <v>521</v>
      </c>
      <c r="Z6" s="3517"/>
      <c r="AA6" s="3511" t="s">
        <v>517</v>
      </c>
      <c r="AB6" s="3512" t="s">
        <v>518</v>
      </c>
      <c r="AC6" s="3511" t="s">
        <v>519</v>
      </c>
    </row>
    <row r="7" spans="1:29" ht="15">
      <c r="A7" s="509"/>
      <c r="B7" s="510"/>
      <c r="C7" s="3539" t="s">
        <v>2897</v>
      </c>
      <c r="D7" s="3540"/>
      <c r="E7" s="3555" t="s">
        <v>2898</v>
      </c>
      <c r="F7" s="3556"/>
      <c r="G7" s="3539" t="s">
        <v>2899</v>
      </c>
      <c r="H7" s="3540"/>
      <c r="I7" s="3539" t="s">
        <v>2900</v>
      </c>
      <c r="J7" s="3540"/>
      <c r="K7" s="508"/>
      <c r="L7" s="2015"/>
      <c r="M7" s="2016"/>
      <c r="N7" s="2016"/>
      <c r="O7" s="2016"/>
      <c r="P7" s="3532"/>
      <c r="Q7" s="3533"/>
      <c r="R7" s="3518"/>
      <c r="S7" s="3519"/>
      <c r="T7" s="3518"/>
      <c r="U7" s="3519"/>
      <c r="V7" s="3536"/>
      <c r="W7" s="3536"/>
      <c r="X7" s="1502"/>
      <c r="Y7" s="3518"/>
      <c r="Z7" s="3519"/>
      <c r="AA7" s="3512"/>
      <c r="AB7" s="3512"/>
      <c r="AC7" s="3512"/>
    </row>
    <row r="8" spans="1:29" ht="15.75" thickBot="1">
      <c r="A8" s="511"/>
      <c r="B8" s="512"/>
      <c r="C8" s="3537" t="s">
        <v>2901</v>
      </c>
      <c r="D8" s="3538"/>
      <c r="E8" s="3557" t="s">
        <v>2901</v>
      </c>
      <c r="F8" s="3558"/>
      <c r="G8" s="3537" t="s">
        <v>2901</v>
      </c>
      <c r="H8" s="3538"/>
      <c r="I8" s="3537" t="s">
        <v>2901</v>
      </c>
      <c r="J8" s="3538"/>
      <c r="K8" s="508" t="s">
        <v>522</v>
      </c>
      <c r="L8" s="2015"/>
      <c r="M8" s="2016"/>
      <c r="N8" s="2016"/>
      <c r="O8" s="2016"/>
      <c r="P8" s="3534"/>
      <c r="Q8" s="3535"/>
      <c r="R8" s="3518"/>
      <c r="S8" s="3519"/>
      <c r="T8" s="3520"/>
      <c r="U8" s="3521"/>
      <c r="V8" s="3536"/>
      <c r="W8" s="3536"/>
      <c r="X8" s="1502"/>
      <c r="Y8" s="3520"/>
      <c r="Z8" s="3521"/>
      <c r="AA8" s="3513"/>
      <c r="AB8" s="3513"/>
      <c r="AC8" s="3513"/>
    </row>
    <row r="9" spans="1:29" s="1203" customFormat="1" ht="15.75" thickBot="1">
      <c r="A9" s="2629"/>
      <c r="B9" s="2636" t="s">
        <v>523</v>
      </c>
      <c r="C9" s="513">
        <f>'数据-取费表'!B2</f>
        <v>44071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4" t="s">
        <v>524</v>
      </c>
      <c r="Q9" s="3523"/>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2" t="s">
        <v>529</v>
      </c>
      <c r="Q11" s="1134" t="str">
        <f t="shared" ref="Q11:Q17" si="6">B11</f>
        <v>用途</v>
      </c>
      <c r="R11" s="1503" t="s">
        <v>8</v>
      </c>
      <c r="S11" s="1504">
        <f t="shared" si="0"/>
        <v>100</v>
      </c>
      <c r="T11" s="1503" t="s">
        <v>8</v>
      </c>
      <c r="U11" s="1504">
        <f t="shared" si="1"/>
        <v>100</v>
      </c>
      <c r="V11" s="1503" t="s">
        <v>8</v>
      </c>
      <c r="W11" s="1504">
        <f t="shared" si="2"/>
        <v>100</v>
      </c>
      <c r="X11" s="1505"/>
      <c r="Y11" s="3473"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2"/>
      <c r="Q12" s="1134" t="str">
        <f t="shared" si="6"/>
        <v>土地使用年限（年）</v>
      </c>
      <c r="R12" s="1503" t="s">
        <v>8</v>
      </c>
      <c r="S12" s="1504">
        <f t="shared" si="0"/>
        <v>100</v>
      </c>
      <c r="T12" s="1503" t="s">
        <v>8</v>
      </c>
      <c r="U12" s="1504">
        <f t="shared" si="1"/>
        <v>100</v>
      </c>
      <c r="V12" s="1503" t="s">
        <v>8</v>
      </c>
      <c r="W12" s="1504">
        <f t="shared" si="2"/>
        <v>100</v>
      </c>
      <c r="X12" s="1505"/>
      <c r="Y12" s="3473"/>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2"/>
      <c r="Q13" s="1134" t="str">
        <f t="shared" si="6"/>
        <v>容积率</v>
      </c>
      <c r="R13" s="1503" t="s">
        <v>8</v>
      </c>
      <c r="S13" s="1504" t="e">
        <f t="shared" si="0"/>
        <v>#N/A</v>
      </c>
      <c r="T13" s="1503" t="s">
        <v>8</v>
      </c>
      <c r="U13" s="1504" t="e">
        <f t="shared" si="1"/>
        <v>#N/A</v>
      </c>
      <c r="V13" s="1503" t="s">
        <v>8</v>
      </c>
      <c r="W13" s="1504" t="e">
        <f t="shared" si="2"/>
        <v>#N/A</v>
      </c>
      <c r="X13" s="1505"/>
      <c r="Y13" s="3473"/>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2"/>
      <c r="Q15" s="1134">
        <f t="shared" si="6"/>
        <v>111</v>
      </c>
      <c r="R15" s="1503" t="s">
        <v>8</v>
      </c>
      <c r="S15" s="1504">
        <f t="shared" si="0"/>
        <v>100</v>
      </c>
      <c r="T15" s="1503" t="s">
        <v>8</v>
      </c>
      <c r="U15" s="1504">
        <f t="shared" si="1"/>
        <v>100</v>
      </c>
      <c r="V15" s="1503" t="s">
        <v>8</v>
      </c>
      <c r="W15" s="1504">
        <f t="shared" si="2"/>
        <v>100</v>
      </c>
      <c r="X15" s="1505"/>
      <c r="Y15" s="3473"/>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2"/>
      <c r="Q16" s="1134">
        <f t="shared" si="6"/>
        <v>111</v>
      </c>
      <c r="R16" s="1503" t="s">
        <v>8</v>
      </c>
      <c r="S16" s="1504">
        <f t="shared" si="0"/>
        <v>100</v>
      </c>
      <c r="T16" s="1503" t="s">
        <v>8</v>
      </c>
      <c r="U16" s="1504">
        <f t="shared" si="1"/>
        <v>100</v>
      </c>
      <c r="V16" s="1503" t="s">
        <v>8</v>
      </c>
      <c r="W16" s="1504">
        <f t="shared" si="2"/>
        <v>100</v>
      </c>
      <c r="X16" s="1505"/>
      <c r="Y16" s="347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4" t="s">
        <v>534</v>
      </c>
      <c r="Q17" s="1507" t="str">
        <f t="shared" si="6"/>
        <v>产业集聚程度</v>
      </c>
      <c r="R17" s="1508" t="s">
        <v>8</v>
      </c>
      <c r="S17" s="1509">
        <f t="shared" si="0"/>
        <v>100</v>
      </c>
      <c r="T17" s="1508" t="s">
        <v>8</v>
      </c>
      <c r="U17" s="1509">
        <f t="shared" si="1"/>
        <v>100</v>
      </c>
      <c r="V17" s="1508" t="s">
        <v>8</v>
      </c>
      <c r="W17" s="1509">
        <f t="shared" si="2"/>
        <v>100</v>
      </c>
      <c r="X17" s="1502"/>
      <c r="Y17" s="352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25"/>
      <c r="Q18" s="1507"/>
      <c r="R18" s="1508"/>
      <c r="S18" s="1509"/>
      <c r="T18" s="1508"/>
      <c r="U18" s="1509"/>
      <c r="V18" s="1508"/>
      <c r="W18" s="1509"/>
      <c r="X18" s="1502"/>
      <c r="Y18" s="352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5"/>
      <c r="Q19" s="1507" t="str">
        <f>B19</f>
        <v>交通便捷度</v>
      </c>
      <c r="R19" s="1508" t="s">
        <v>8</v>
      </c>
      <c r="S19" s="1509">
        <f>F19</f>
        <v>100</v>
      </c>
      <c r="T19" s="1508" t="s">
        <v>8</v>
      </c>
      <c r="U19" s="1509">
        <f>H19</f>
        <v>100</v>
      </c>
      <c r="V19" s="1508" t="s">
        <v>8</v>
      </c>
      <c r="W19" s="1509">
        <f>J19</f>
        <v>100</v>
      </c>
      <c r="X19" s="1502"/>
      <c r="Y19" s="352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25"/>
      <c r="Q21" s="1507" t="str">
        <f t="shared" ref="Q21:Q35" si="8">B21</f>
        <v>区域土地利用方向</v>
      </c>
      <c r="R21" s="1508" t="s">
        <v>8</v>
      </c>
      <c r="S21" s="1509">
        <f>F21</f>
        <v>100</v>
      </c>
      <c r="T21" s="1508" t="s">
        <v>8</v>
      </c>
      <c r="U21" s="1509">
        <f>H21</f>
        <v>100</v>
      </c>
      <c r="V21" s="1508" t="s">
        <v>8</v>
      </c>
      <c r="W21" s="1509">
        <f>J21</f>
        <v>100</v>
      </c>
      <c r="X21" s="1502"/>
      <c r="Y21" s="352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25"/>
      <c r="Q22" s="1507"/>
      <c r="R22" s="1508"/>
      <c r="S22" s="1509"/>
      <c r="T22" s="1508"/>
      <c r="U22" s="1509"/>
      <c r="V22" s="1508"/>
      <c r="W22" s="1509"/>
      <c r="X22" s="1502"/>
      <c r="Y22" s="352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5"/>
      <c r="Q23" s="1507" t="str">
        <f t="shared" si="8"/>
        <v>环境状况</v>
      </c>
      <c r="R23" s="1508" t="s">
        <v>8</v>
      </c>
      <c r="S23" s="1509">
        <f>F23</f>
        <v>100</v>
      </c>
      <c r="T23" s="1508" t="s">
        <v>8</v>
      </c>
      <c r="U23" s="1509">
        <f>H23</f>
        <v>100</v>
      </c>
      <c r="V23" s="1508" t="s">
        <v>8</v>
      </c>
      <c r="W23" s="1509">
        <f>J23</f>
        <v>100</v>
      </c>
      <c r="X23" s="1502"/>
      <c r="Y23" s="352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25"/>
      <c r="Q24" s="1507"/>
      <c r="R24" s="1508"/>
      <c r="S24" s="1509"/>
      <c r="T24" s="1508"/>
      <c r="U24" s="1509"/>
      <c r="V24" s="1508"/>
      <c r="W24" s="1509"/>
      <c r="X24" s="1502"/>
      <c r="Y24" s="352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5"/>
      <c r="Q25" s="1134" t="str">
        <f t="shared" si="8"/>
        <v>公共配套设施</v>
      </c>
      <c r="R25" s="1503" t="s">
        <v>8</v>
      </c>
      <c r="S25" s="1504">
        <f>F25</f>
        <v>100</v>
      </c>
      <c r="T25" s="1503" t="s">
        <v>8</v>
      </c>
      <c r="U25" s="1504">
        <f>H25</f>
        <v>100</v>
      </c>
      <c r="V25" s="1503" t="s">
        <v>8</v>
      </c>
      <c r="W25" s="1504">
        <f>J25</f>
        <v>100</v>
      </c>
      <c r="X25" s="1505"/>
      <c r="Y25" s="352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25"/>
      <c r="Q26" s="1134"/>
      <c r="R26" s="1503"/>
      <c r="S26" s="1504"/>
      <c r="T26" s="1503"/>
      <c r="U26" s="1504"/>
      <c r="V26" s="1503"/>
      <c r="W26" s="1504"/>
      <c r="X26" s="1505"/>
      <c r="Y26" s="352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5"/>
      <c r="Q27" s="2428" t="str">
        <f t="shared" ref="Q27" si="9">B27</f>
        <v>基础设施水平</v>
      </c>
      <c r="R27" s="1503" t="s">
        <v>8</v>
      </c>
      <c r="S27" s="1504">
        <f>F27</f>
        <v>100</v>
      </c>
      <c r="T27" s="1503" t="s">
        <v>8</v>
      </c>
      <c r="U27" s="1504">
        <f>H27</f>
        <v>100</v>
      </c>
      <c r="V27" s="1503" t="s">
        <v>8</v>
      </c>
      <c r="W27" s="1504">
        <f>J27</f>
        <v>100</v>
      </c>
      <c r="X27" s="1505"/>
      <c r="Y27" s="352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25"/>
      <c r="Q28" s="2428"/>
      <c r="R28" s="1503"/>
      <c r="S28" s="1504"/>
      <c r="T28" s="1503"/>
      <c r="U28" s="1504"/>
      <c r="V28" s="1503"/>
      <c r="W28" s="1504"/>
      <c r="X28" s="1505"/>
      <c r="Y28" s="352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2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5"/>
      <c r="Q30" s="1507" t="str">
        <f t="shared" si="8"/>
        <v>毗邻道路的类型与等级</v>
      </c>
      <c r="R30" s="1508" t="s">
        <v>8</v>
      </c>
      <c r="S30" s="1509">
        <f t="shared" si="10"/>
        <v>100</v>
      </c>
      <c r="T30" s="1508" t="s">
        <v>8</v>
      </c>
      <c r="U30" s="1509">
        <f t="shared" si="11"/>
        <v>100</v>
      </c>
      <c r="V30" s="1508" t="s">
        <v>8</v>
      </c>
      <c r="W30" s="1509">
        <f t="shared" si="12"/>
        <v>100</v>
      </c>
      <c r="X30" s="1502"/>
      <c r="Y30" s="352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25"/>
      <c r="Q31" s="1507"/>
      <c r="R31" s="1508"/>
      <c r="S31" s="1509"/>
      <c r="T31" s="1508"/>
      <c r="U31" s="1509"/>
      <c r="V31" s="1508"/>
      <c r="W31" s="1509"/>
      <c r="X31" s="1502"/>
      <c r="Y31" s="352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5"/>
      <c r="Q32" s="1507" t="str">
        <f t="shared" si="8"/>
        <v>土地级别</v>
      </c>
      <c r="R32" s="1508" t="s">
        <v>8</v>
      </c>
      <c r="S32" s="1509">
        <f t="shared" si="10"/>
        <v>100</v>
      </c>
      <c r="T32" s="1508" t="s">
        <v>8</v>
      </c>
      <c r="U32" s="1509">
        <f t="shared" si="11"/>
        <v>100</v>
      </c>
      <c r="V32" s="1508" t="s">
        <v>8</v>
      </c>
      <c r="W32" s="1509">
        <f t="shared" si="12"/>
        <v>100</v>
      </c>
      <c r="X32" s="1502"/>
      <c r="Y32" s="352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5"/>
      <c r="Q33" s="1507">
        <f t="shared" si="8"/>
        <v>111</v>
      </c>
      <c r="R33" s="1508" t="s">
        <v>8</v>
      </c>
      <c r="S33" s="1509">
        <f t="shared" si="10"/>
        <v>100</v>
      </c>
      <c r="T33" s="1508" t="s">
        <v>8</v>
      </c>
      <c r="U33" s="1509">
        <f t="shared" si="11"/>
        <v>100</v>
      </c>
      <c r="V33" s="1508" t="s">
        <v>8</v>
      </c>
      <c r="W33" s="1509">
        <f t="shared" si="12"/>
        <v>100</v>
      </c>
      <c r="X33" s="1502"/>
      <c r="Y33" s="352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6" t="s">
        <v>544</v>
      </c>
      <c r="Q34" s="1507">
        <f t="shared" si="8"/>
        <v>111</v>
      </c>
      <c r="R34" s="1508" t="s">
        <v>8</v>
      </c>
      <c r="S34" s="1509">
        <f t="shared" si="10"/>
        <v>100</v>
      </c>
      <c r="T34" s="1508" t="s">
        <v>8</v>
      </c>
      <c r="U34" s="1509">
        <f t="shared" si="11"/>
        <v>100</v>
      </c>
      <c r="V34" s="1508" t="s">
        <v>8</v>
      </c>
      <c r="W34" s="1509">
        <f t="shared" si="12"/>
        <v>100</v>
      </c>
      <c r="X34" s="1502"/>
      <c r="Y34" s="352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7"/>
      <c r="Q35" s="1507">
        <f t="shared" si="8"/>
        <v>111</v>
      </c>
      <c r="R35" s="1512" t="s">
        <v>8</v>
      </c>
      <c r="S35" s="1513">
        <f t="shared" si="10"/>
        <v>100</v>
      </c>
      <c r="T35" s="1512" t="s">
        <v>8</v>
      </c>
      <c r="U35" s="1513">
        <f t="shared" si="11"/>
        <v>100</v>
      </c>
      <c r="V35" s="1512" t="s">
        <v>8</v>
      </c>
      <c r="W35" s="1513">
        <f t="shared" si="12"/>
        <v>100</v>
      </c>
      <c r="X35" s="1514"/>
      <c r="Y35" s="352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7"/>
      <c r="Q36" s="1507" t="str">
        <f>B36</f>
        <v>宗地面积</v>
      </c>
      <c r="R36" s="1508" t="s">
        <v>8</v>
      </c>
      <c r="S36" s="1509" t="e">
        <f t="shared" si="10"/>
        <v>#N/A</v>
      </c>
      <c r="T36" s="1508" t="s">
        <v>8</v>
      </c>
      <c r="U36" s="1509" t="e">
        <f t="shared" si="11"/>
        <v>#N/A</v>
      </c>
      <c r="V36" s="1508" t="s">
        <v>8</v>
      </c>
      <c r="W36" s="1509" t="e">
        <f t="shared" si="12"/>
        <v>#N/A</v>
      </c>
      <c r="X36" s="1502"/>
      <c r="Y36" s="352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7"/>
      <c r="Q37" s="1507" t="str">
        <f t="shared" ref="Q37:Q42" si="14">B37</f>
        <v>宗地形状</v>
      </c>
      <c r="R37" s="1508" t="s">
        <v>8</v>
      </c>
      <c r="S37" s="1509">
        <f t="shared" si="10"/>
        <v>100</v>
      </c>
      <c r="T37" s="1508" t="s">
        <v>8</v>
      </c>
      <c r="U37" s="1509">
        <f t="shared" si="11"/>
        <v>100</v>
      </c>
      <c r="V37" s="1508" t="s">
        <v>8</v>
      </c>
      <c r="W37" s="1509">
        <f t="shared" si="12"/>
        <v>100</v>
      </c>
      <c r="X37" s="1502"/>
      <c r="Y37" s="352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7"/>
      <c r="Q38" s="1507" t="str">
        <f t="shared" si="14"/>
        <v>宗地开发程度</v>
      </c>
      <c r="R38" s="1503" t="s">
        <v>8</v>
      </c>
      <c r="S38" s="1504">
        <f t="shared" si="10"/>
        <v>100</v>
      </c>
      <c r="T38" s="1503" t="s">
        <v>8</v>
      </c>
      <c r="U38" s="1504">
        <f t="shared" si="11"/>
        <v>100</v>
      </c>
      <c r="V38" s="1503" t="s">
        <v>8</v>
      </c>
      <c r="W38" s="1504">
        <f t="shared" si="12"/>
        <v>100</v>
      </c>
      <c r="X38" s="1505"/>
      <c r="Y38" s="352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7" t="s">
        <v>595</v>
      </c>
      <c r="Q39" s="1507" t="str">
        <f t="shared" si="14"/>
        <v>工程地质条件</v>
      </c>
      <c r="R39" s="1508" t="s">
        <v>8</v>
      </c>
      <c r="S39" s="1509">
        <f t="shared" si="10"/>
        <v>100</v>
      </c>
      <c r="T39" s="1508" t="s">
        <v>8</v>
      </c>
      <c r="U39" s="1509">
        <f t="shared" si="11"/>
        <v>100</v>
      </c>
      <c r="V39" s="1508" t="s">
        <v>8</v>
      </c>
      <c r="W39" s="1509">
        <f t="shared" si="12"/>
        <v>100</v>
      </c>
      <c r="X39" s="1502"/>
      <c r="Y39" s="352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7"/>
      <c r="Q40" s="1507">
        <f t="shared" si="14"/>
        <v>111</v>
      </c>
      <c r="R40" s="1508" t="s">
        <v>8</v>
      </c>
      <c r="S40" s="1509">
        <f t="shared" si="10"/>
        <v>100</v>
      </c>
      <c r="T40" s="1508" t="s">
        <v>8</v>
      </c>
      <c r="U40" s="1509">
        <f t="shared" si="11"/>
        <v>100</v>
      </c>
      <c r="V40" s="1508" t="s">
        <v>8</v>
      </c>
      <c r="W40" s="1509">
        <f t="shared" si="12"/>
        <v>100</v>
      </c>
      <c r="X40" s="1502"/>
      <c r="Y40" s="352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7"/>
      <c r="Q41" s="1507">
        <f t="shared" si="14"/>
        <v>111</v>
      </c>
      <c r="R41" s="1508" t="s">
        <v>8</v>
      </c>
      <c r="S41" s="1509">
        <f t="shared" si="10"/>
        <v>100</v>
      </c>
      <c r="T41" s="1508" t="s">
        <v>8</v>
      </c>
      <c r="U41" s="1509">
        <f t="shared" si="11"/>
        <v>100</v>
      </c>
      <c r="V41" s="1508" t="s">
        <v>8</v>
      </c>
      <c r="W41" s="1509">
        <f t="shared" si="12"/>
        <v>100</v>
      </c>
      <c r="X41" s="1502"/>
      <c r="Y41" s="352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7"/>
      <c r="Q42" s="1507">
        <f t="shared" si="14"/>
        <v>111</v>
      </c>
      <c r="R42" s="1512" t="s">
        <v>8</v>
      </c>
      <c r="S42" s="1513">
        <f t="shared" si="10"/>
        <v>100</v>
      </c>
      <c r="T42" s="1512" t="s">
        <v>8</v>
      </c>
      <c r="U42" s="1513">
        <f t="shared" si="11"/>
        <v>100</v>
      </c>
      <c r="V42" s="1512" t="s">
        <v>8</v>
      </c>
      <c r="W42" s="1513">
        <f t="shared" si="12"/>
        <v>100</v>
      </c>
      <c r="X42" s="1514"/>
      <c r="Y42" s="3527"/>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22" t="str">
        <f>A43</f>
        <v>成交单价</v>
      </c>
      <c r="Q43" s="3522"/>
      <c r="R43" s="3536">
        <f>E43</f>
        <v>0</v>
      </c>
      <c r="S43" s="3536"/>
      <c r="T43" s="3536">
        <f>G43</f>
        <v>0</v>
      </c>
      <c r="U43" s="3536"/>
      <c r="V43" s="3536">
        <f>I43</f>
        <v>0</v>
      </c>
      <c r="W43" s="3536"/>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22" t="str">
        <f>A44</f>
        <v>比较价格（元/平方米）</v>
      </c>
      <c r="Q44" s="3522"/>
      <c r="R44" s="3546" t="e">
        <f>ROUND(PRODUCT(R43,AA9:AA42),0)</f>
        <v>#DIV/0!</v>
      </c>
      <c r="S44" s="3546"/>
      <c r="T44" s="3546" t="e">
        <f>ROUND(PRODUCT(T43,AB9:AB42),0)</f>
        <v>#DIV/0!</v>
      </c>
      <c r="U44" s="3546"/>
      <c r="V44" s="3546" t="e">
        <f>ROUND(PRODUCT(V43,AC9:AC42),0)</f>
        <v>#DIV/0!</v>
      </c>
      <c r="W44" s="3546"/>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543" t="str">
        <f>A45</f>
        <v>估价对象XX用房的比较价格（楼面单价，元/平方米）</v>
      </c>
      <c r="Q45" s="3544"/>
      <c r="R45" s="3552" t="e">
        <f>ROUND(IF(D44="简单平均",AVERAGE(R44:W44),R44*F44+T44*H44+V44*J44),0)</f>
        <v>#DIV/0!</v>
      </c>
      <c r="S45" s="3552"/>
      <c r="T45" s="3552"/>
      <c r="U45" s="3552"/>
      <c r="V45" s="3552"/>
      <c r="W45" s="355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47" t="s">
        <v>2272</v>
      </c>
      <c r="H52" s="354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23300</v>
      </c>
      <c r="F53" s="1864" t="e">
        <f t="shared" ref="F53:F62" si="15">ROUND(B53*E53/10000,0)</f>
        <v>#DIV/0!</v>
      </c>
      <c r="G53" s="3549"/>
      <c r="H53" s="355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5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5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5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5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八级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八级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23300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Normal="60" zoomScaleSheetLayoutView="100" workbookViewId="0">
      <selection activeCell="C26" sqref="C2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f>'数据-基础表'!A3</f>
        <v>23300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0</v>
      </c>
      <c r="C2" s="1356" t="s">
        <v>912</v>
      </c>
      <c r="D2" s="1357" t="s">
        <v>913</v>
      </c>
      <c r="E2" s="1358" t="s">
        <v>1668</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13688</v>
      </c>
      <c r="U2" s="2643"/>
      <c r="V2" s="2654">
        <f ca="1">ROUND(T2*U2/10000,0)</f>
        <v>0</v>
      </c>
      <c r="W2" s="2070"/>
      <c r="X2" s="2070"/>
      <c r="Y2" s="2070"/>
      <c r="Z2" s="2070"/>
      <c r="AA2" s="2070"/>
      <c r="AB2" s="2070"/>
      <c r="AC2" s="2071"/>
    </row>
    <row r="3" spans="1:39" ht="15.75">
      <c r="A3" s="1360" t="s">
        <v>1678</v>
      </c>
      <c r="B3" s="1025" t="e">
        <f ca="1">ROUND(B2*10000/D1,0)</f>
        <v>#DIV/0!</v>
      </c>
      <c r="C3" s="1356" t="s">
        <v>918</v>
      </c>
      <c r="D3" s="1357" t="s">
        <v>919</v>
      </c>
      <c r="E3" s="1361" t="s">
        <v>3010</v>
      </c>
      <c r="F3" s="1362" t="s">
        <v>3011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9021</v>
      </c>
      <c r="U3" s="2643"/>
      <c r="V3" s="2654">
        <f t="shared" ref="V3:V16" ca="1" si="1">ROUND(T3*U3/10000,0)</f>
        <v>0</v>
      </c>
      <c r="W3" s="2070"/>
      <c r="X3" s="2070"/>
      <c r="Y3" s="2070"/>
      <c r="Z3" s="2070"/>
      <c r="AA3" s="2070"/>
      <c r="AB3" s="2070"/>
      <c r="AC3" s="2071"/>
    </row>
    <row r="4" spans="1:39" ht="28.5">
      <c r="A4" s="1805" t="s">
        <v>2268</v>
      </c>
      <c r="B4" s="2308">
        <f ca="1">ROUND(B2*10000/F1,0)</f>
        <v>0</v>
      </c>
      <c r="C4" s="1808" t="s">
        <v>2243</v>
      </c>
      <c r="D4" s="1808">
        <f ca="1">ROUND(B2/(F1/666.67),0)</f>
        <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7099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5680</v>
      </c>
      <c r="D5" s="2793">
        <f>ROUND(C6+C16,0)</f>
        <v>5680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5304</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5680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3989</v>
      </c>
      <c r="U6" s="2643"/>
      <c r="V6" s="2654">
        <f t="shared" ca="1" si="1"/>
        <v>0</v>
      </c>
      <c r="W6" s="2070"/>
      <c r="X6" s="2070"/>
      <c r="Y6" s="2070"/>
      <c r="Z6" s="2070"/>
      <c r="AA6" s="2070"/>
      <c r="AB6" s="2070"/>
      <c r="AC6" s="2072"/>
      <c r="AD6" s="1368"/>
      <c r="AE6" s="1368"/>
      <c r="AF6" s="1368"/>
      <c r="AG6" s="1368"/>
      <c r="AH6" s="1368"/>
      <c r="AI6" s="1368"/>
      <c r="AJ6" s="1369"/>
    </row>
    <row r="7" spans="1:39" ht="24">
      <c r="A7" s="356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3189</v>
      </c>
      <c r="U7" s="2643"/>
      <c r="V7" s="2654">
        <f t="shared" ca="1" si="1"/>
        <v>0</v>
      </c>
      <c r="W7" s="2652" t="s">
        <v>2745</v>
      </c>
      <c r="X7" s="2644" t="str">
        <f>G2</f>
        <v>八级</v>
      </c>
      <c r="Y7" s="2644" t="s">
        <v>2746</v>
      </c>
      <c r="Z7" s="2645">
        <f>G3</f>
        <v>1</v>
      </c>
      <c r="AA7" s="2073"/>
      <c r="AB7" s="2073"/>
      <c r="AC7" s="2074"/>
      <c r="AD7" s="2646"/>
      <c r="AE7" s="2646"/>
      <c r="AF7" s="2646"/>
      <c r="AG7" s="2646"/>
      <c r="AH7" s="2646"/>
      <c r="AI7" s="2646"/>
      <c r="AJ7" s="2647"/>
    </row>
    <row r="8" spans="1:39" ht="15">
      <c r="A8" s="356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5680</v>
      </c>
      <c r="N8" s="1801">
        <f>SUMPRODUCT((因素修正幅度!B206:B244=I2)*(因素修正幅度!C3:F3=E2)*(因素修正幅度!C206:F244))</f>
        <v>0.15</v>
      </c>
      <c r="O8" s="3235"/>
      <c r="P8" s="2070"/>
      <c r="Q8" s="2070"/>
      <c r="R8" s="2654">
        <v>7</v>
      </c>
      <c r="S8" s="2643"/>
      <c r="T8" s="2654">
        <f t="shared" ca="1" si="0"/>
        <v>0</v>
      </c>
      <c r="U8" s="2643"/>
      <c r="V8" s="2654">
        <f t="shared" ca="1" si="1"/>
        <v>0</v>
      </c>
      <c r="W8" s="3571" t="s">
        <v>2763</v>
      </c>
      <c r="X8" s="357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6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6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6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7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6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6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6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6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60" t="s">
        <v>1829</v>
      </c>
      <c r="B16" s="1376" t="s">
        <v>941</v>
      </c>
      <c r="C16" s="1039">
        <f>ROUND(IF(F17="与级别开发程度一致",0,(G17-E17)/C17),0)</f>
        <v>0</v>
      </c>
      <c r="D16" s="3578" t="s">
        <v>945</v>
      </c>
      <c r="E16" s="3579"/>
      <c r="F16" s="3578" t="s">
        <v>942</v>
      </c>
      <c r="G16" s="3579"/>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64"/>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0.9</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1.3788</v>
      </c>
      <c r="D19" s="1415" t="s">
        <v>948</v>
      </c>
      <c r="E19" s="1041">
        <v>41640</v>
      </c>
      <c r="F19" s="1415" t="s">
        <v>949</v>
      </c>
      <c r="G19" s="1042">
        <f>'数据-取费表'!B2</f>
        <v>44071</v>
      </c>
      <c r="H19" s="1416" t="s">
        <v>3017</v>
      </c>
      <c r="I19" s="2503" t="str">
        <f>IF(H19="季度增幅（自定义）",SUMIF(N21:N24,E2,O21:O24),"")</f>
        <v/>
      </c>
      <c r="J19" s="1412"/>
      <c r="K19" s="3234"/>
      <c r="L19" s="2753" t="s">
        <v>2820</v>
      </c>
      <c r="M19" s="2754">
        <f>ROUND(SUMIF(地价!B2:F2,E2,地价!B31:F31),0)</f>
        <v>258</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ROUND(SUMPRODUCT((地价!A4:A31=YEAR(G19)&amp;"-"&amp;ROUNDUP(MONTH(G19)/3,0))*(地价!B2:F2=E2)*(地价!B4:F31)),0)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3018</v>
      </c>
      <c r="C21" s="1141">
        <f>IF(B21="容积率修正",IF(G3&lt;=10,D22,J22),C23)</f>
        <v>1.2383999999999999</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8729</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2182</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7"/>
      <c r="B33" s="1464" t="s">
        <v>990</v>
      </c>
      <c r="C33" s="1046">
        <f ca="1">ROUND(D5*C19*C20*C24*F33,0)</f>
        <v>4699</v>
      </c>
      <c r="D33" s="1477"/>
      <c r="E33" s="1035">
        <f ca="1">ROUND(C33*D33/10000,0)</f>
        <v>0</v>
      </c>
      <c r="F33" s="1035">
        <f>SUMIF(修正!A45:A56,G2,修正!B45:B56)</f>
        <v>0.6</v>
      </c>
      <c r="G33" s="1035">
        <f t="shared" ref="G33" ca="1" si="6">ROUND(IF(E2="工业",C33*$M$39,C33*$M$38),0)</f>
        <v>1175</v>
      </c>
      <c r="H33" s="1035">
        <f>D33</f>
        <v>0</v>
      </c>
      <c r="I33" s="1035">
        <f ca="1">ROUND(G33*H33/10000,0)</f>
        <v>0</v>
      </c>
      <c r="J33" s="356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68"/>
      <c r="B34" s="1394" t="s">
        <v>991</v>
      </c>
      <c r="C34" s="1046">
        <f ca="1">ROUND(D5*C19*C20*C24*F34,0)</f>
        <v>2349</v>
      </c>
      <c r="D34" s="1477"/>
      <c r="E34" s="1035">
        <f t="shared" ref="E34:E39" ca="1" si="7">ROUND(C34*D34/10000,0)</f>
        <v>0</v>
      </c>
      <c r="F34" s="1035">
        <f>SUMIF(修正!A45:A56,G2,修正!C45:C56)</f>
        <v>0.3</v>
      </c>
      <c r="G34" s="1035">
        <f ca="1">ROUND(IF(E2="工业",C34*$M$39,C34*$M$38),0)</f>
        <v>587</v>
      </c>
      <c r="H34" s="1035">
        <f t="shared" ref="H34:H39" si="8">D34</f>
        <v>0</v>
      </c>
      <c r="I34" s="1035">
        <f t="shared" ref="I34:I39" ca="1" si="9">ROUND(G34*H34/10000,0)</f>
        <v>0</v>
      </c>
      <c r="J34" s="356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68"/>
      <c r="B35" s="1394" t="s">
        <v>992</v>
      </c>
      <c r="C35" s="1046">
        <f ca="1">ROUND(D5*C19*C20*C24*F35,0)</f>
        <v>1566</v>
      </c>
      <c r="D35" s="1477"/>
      <c r="E35" s="1035">
        <f t="shared" ca="1" si="7"/>
        <v>0</v>
      </c>
      <c r="F35" s="1035">
        <f>SUMIF(修正!A45:A56,G2,修正!D45:D56)</f>
        <v>0.2</v>
      </c>
      <c r="G35" s="1035">
        <f ca="1">ROUND(IF(E2="工业",C35*$M$39,C35*$M$38),0)</f>
        <v>392</v>
      </c>
      <c r="H35" s="1035">
        <f t="shared" si="8"/>
        <v>0</v>
      </c>
      <c r="I35" s="1035">
        <f t="shared" ca="1" si="9"/>
        <v>0</v>
      </c>
      <c r="J35" s="356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69"/>
      <c r="B36" s="1394" t="s">
        <v>993</v>
      </c>
      <c r="C36" s="1046">
        <f ca="1">ROUND(D5*C19*C20*C24*F36,0)</f>
        <v>1566</v>
      </c>
      <c r="D36" s="1477"/>
      <c r="E36" s="1035">
        <f t="shared" ca="1" si="7"/>
        <v>0</v>
      </c>
      <c r="F36" s="1035">
        <f>SUMIF(修正!A45:A56,G2,修正!E45:E56)</f>
        <v>0.2</v>
      </c>
      <c r="G36" s="1035">
        <f ca="1">ROUND(IF(E2="工业",C36*$M$39,C36*$M$38),0)</f>
        <v>392</v>
      </c>
      <c r="H36" s="1035">
        <f t="shared" si="8"/>
        <v>0</v>
      </c>
      <c r="I36" s="1035">
        <f t="shared" ca="1" si="9"/>
        <v>0</v>
      </c>
      <c r="J36" s="356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1566</v>
      </c>
      <c r="D37" s="1477"/>
      <c r="E37" s="1035">
        <f t="shared" ca="1" si="7"/>
        <v>0</v>
      </c>
      <c r="F37" s="1046">
        <f>SUMIF(修正!A45:A56,G2,修正!F45:F56)</f>
        <v>0.2</v>
      </c>
      <c r="G37" s="1035">
        <f ca="1">ROUND(IF(E2="工业",C37*$M$39,C37*$M$38),0)</f>
        <v>392</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0.15</v>
      </c>
      <c r="G58" s="2270"/>
      <c r="H58" s="2315">
        <f>IFERROR(ROUNDDOWN($F$58*I58/2,4),"——")</f>
        <v>1.7999999999999999E-2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2.2499999999999999E-2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6.0000000000000001E-3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f t="shared" si="19"/>
        <v>3.0000000000000001E-3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3.7499999999999999E-3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3.7499999999999999E-3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4.4999999999999997E-3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8.9999999999999993E-3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4.4999999999999997E-3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65" t="s">
        <v>1624</v>
      </c>
      <c r="B90" s="3565"/>
      <c r="C90" s="3565"/>
      <c r="D90" s="3565"/>
      <c r="E90" s="3565"/>
      <c r="F90" s="3565"/>
      <c r="G90" s="3565"/>
      <c r="H90" s="3565"/>
      <c r="I90" s="3565"/>
      <c r="J90" s="3565"/>
      <c r="K90" s="2305"/>
      <c r="L90" s="2305"/>
      <c r="M90" s="2305"/>
      <c r="N90" s="2305"/>
    </row>
    <row r="91" spans="1:40">
      <c r="A91" s="3566" t="s">
        <v>1434</v>
      </c>
      <c r="B91" s="3566" t="s">
        <v>1625</v>
      </c>
      <c r="C91" s="1123" t="s">
        <v>1626</v>
      </c>
      <c r="D91" s="1124"/>
      <c r="E91" s="1124"/>
      <c r="F91" s="1124"/>
      <c r="G91" s="1124"/>
      <c r="H91" s="1124"/>
      <c r="I91" s="1124"/>
      <c r="J91" s="1125"/>
      <c r="K91" s="1117"/>
      <c r="L91" s="1117"/>
      <c r="M91" s="1117"/>
      <c r="N91" s="1117"/>
    </row>
    <row r="92" spans="1:40">
      <c r="A92" s="3566"/>
      <c r="B92" s="356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7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7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7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7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7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7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7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7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7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7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7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7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7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7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7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74"/>
      <c r="B108" s="357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75"/>
      <c r="B109" s="357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59" t="s">
        <v>1630</v>
      </c>
      <c r="B110" s="3559"/>
      <c r="C110" s="3559"/>
      <c r="D110" s="3559"/>
      <c r="E110" s="3559"/>
      <c r="F110" s="3559"/>
      <c r="G110" s="3559"/>
      <c r="H110" s="3559"/>
      <c r="I110" s="3559"/>
      <c r="J110" s="3559"/>
      <c r="K110" s="2303"/>
      <c r="L110" s="2303"/>
      <c r="M110" s="2303"/>
      <c r="N110" s="2303"/>
    </row>
    <row r="112" spans="1:14" ht="12.75" thickBot="1"/>
    <row r="113" spans="1:13" ht="25.5" thickBot="1">
      <c r="A113" s="1003" t="s">
        <v>887</v>
      </c>
      <c r="B113" s="2306">
        <f>G3</f>
        <v>1</v>
      </c>
      <c r="C113" s="1004" t="s">
        <v>888</v>
      </c>
      <c r="D113" s="1005">
        <f>SUMPRODUCT((A115:A118=F113)*(B114:M114=H113)*B115:M118)</f>
        <v>0.75539999999999996</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66" t="s">
        <v>998</v>
      </c>
      <c r="B18" s="1137" t="s">
        <v>1437</v>
      </c>
      <c r="C18" s="1114" t="s">
        <v>1438</v>
      </c>
      <c r="D18" s="1115"/>
      <c r="E18" s="1137">
        <v>1</v>
      </c>
      <c r="F18" s="1116" t="s">
        <v>1439</v>
      </c>
      <c r="G18" s="1117"/>
      <c r="H18" s="1088"/>
      <c r="I18" s="1088"/>
    </row>
    <row r="19" spans="1:9" s="1530" customFormat="1" ht="19.5" customHeight="1">
      <c r="A19" s="3566"/>
      <c r="B19" s="3566" t="s">
        <v>1440</v>
      </c>
      <c r="C19" s="1114" t="s">
        <v>1441</v>
      </c>
      <c r="D19" s="1115"/>
      <c r="E19" s="1137">
        <v>0.9</v>
      </c>
      <c r="F19" s="1116" t="s">
        <v>1442</v>
      </c>
      <c r="G19" s="1117"/>
      <c r="H19" s="1088"/>
      <c r="I19" s="1088"/>
    </row>
    <row r="20" spans="1:9" s="1530" customFormat="1" ht="19.5" customHeight="1">
      <c r="A20" s="3566"/>
      <c r="B20" s="3566"/>
      <c r="C20" s="1114" t="s">
        <v>1443</v>
      </c>
      <c r="D20" s="1115"/>
      <c r="E20" s="1137">
        <v>1.1000000000000001</v>
      </c>
      <c r="F20" s="1116" t="s">
        <v>1444</v>
      </c>
      <c r="G20" s="1117"/>
      <c r="H20" s="1088"/>
      <c r="I20" s="1088"/>
    </row>
    <row r="21" spans="1:9" s="1530" customFormat="1" ht="19.5" customHeight="1">
      <c r="A21" s="3566"/>
      <c r="B21" s="3566"/>
      <c r="C21" s="1114" t="s">
        <v>1445</v>
      </c>
      <c r="D21" s="1115"/>
      <c r="E21" s="1137">
        <v>0.8</v>
      </c>
      <c r="F21" s="1116" t="s">
        <v>1446</v>
      </c>
      <c r="G21" s="1117"/>
      <c r="H21" s="1088"/>
      <c r="I21" s="1088"/>
    </row>
    <row r="22" spans="1:9" s="1530" customFormat="1" ht="19.5" customHeight="1">
      <c r="A22" s="3566"/>
      <c r="B22" s="3566"/>
      <c r="C22" s="1114" t="s">
        <v>1447</v>
      </c>
      <c r="D22" s="1115"/>
      <c r="E22" s="1137">
        <v>0.5</v>
      </c>
      <c r="F22" s="1116"/>
      <c r="G22" s="1117"/>
      <c r="H22" s="1088"/>
      <c r="I22" s="1088"/>
    </row>
    <row r="23" spans="1:9" s="1530" customFormat="1" ht="19.5" customHeight="1">
      <c r="A23" s="3566" t="s">
        <v>1020</v>
      </c>
      <c r="B23" s="1137" t="s">
        <v>1437</v>
      </c>
      <c r="C23" s="1114" t="s">
        <v>1448</v>
      </c>
      <c r="D23" s="1115"/>
      <c r="E23" s="1137">
        <v>1</v>
      </c>
      <c r="F23" s="1116" t="s">
        <v>1449</v>
      </c>
      <c r="G23" s="1117"/>
      <c r="H23" s="1088"/>
      <c r="I23" s="1088"/>
    </row>
    <row r="24" spans="1:9" s="1530" customFormat="1" ht="19.5" customHeight="1">
      <c r="A24" s="3566"/>
      <c r="B24" s="3566" t="s">
        <v>1440</v>
      </c>
      <c r="C24" s="1114" t="s">
        <v>1450</v>
      </c>
      <c r="D24" s="1115"/>
      <c r="E24" s="1137">
        <v>0.5</v>
      </c>
      <c r="F24" s="1116"/>
      <c r="G24" s="1117"/>
      <c r="H24" s="1088"/>
      <c r="I24" s="1088"/>
    </row>
    <row r="25" spans="1:9" s="1530" customFormat="1" ht="19.5" customHeight="1">
      <c r="A25" s="3566"/>
      <c r="B25" s="3566"/>
      <c r="C25" s="1114" t="s">
        <v>1451</v>
      </c>
      <c r="D25" s="1115"/>
      <c r="E25" s="1137">
        <v>1.1000000000000001</v>
      </c>
      <c r="F25" s="1116"/>
      <c r="G25" s="1117"/>
      <c r="H25" s="1088"/>
      <c r="I25" s="1088"/>
    </row>
    <row r="26" spans="1:9" s="1530" customFormat="1" ht="19.5" customHeight="1">
      <c r="A26" s="3566"/>
      <c r="B26" s="3566"/>
      <c r="C26" s="1114" t="s">
        <v>1452</v>
      </c>
      <c r="D26" s="1115"/>
      <c r="E26" s="1137">
        <v>1.1000000000000001</v>
      </c>
      <c r="F26" s="1116"/>
      <c r="G26" s="1117"/>
      <c r="H26" s="1088"/>
      <c r="I26" s="1088"/>
    </row>
    <row r="27" spans="1:9" s="1530" customFormat="1" ht="19.5" customHeight="1">
      <c r="A27" s="3566"/>
      <c r="B27" s="3566"/>
      <c r="C27" s="1114" t="s">
        <v>1453</v>
      </c>
      <c r="D27" s="1115"/>
      <c r="E27" s="1137">
        <v>0.9</v>
      </c>
      <c r="F27" s="1116" t="s">
        <v>1454</v>
      </c>
      <c r="G27" s="1117"/>
      <c r="H27" s="1088"/>
      <c r="I27" s="1088"/>
    </row>
    <row r="28" spans="1:9" s="1530" customFormat="1" ht="19.5" customHeight="1">
      <c r="A28" s="3566"/>
      <c r="B28" s="3566"/>
      <c r="C28" s="1114" t="s">
        <v>1455</v>
      </c>
      <c r="D28" s="1115"/>
      <c r="E28" s="1137">
        <v>0.9</v>
      </c>
      <c r="F28" s="1116" t="s">
        <v>1456</v>
      </c>
      <c r="G28" s="1117"/>
      <c r="H28" s="1088"/>
      <c r="I28" s="1088"/>
    </row>
    <row r="29" spans="1:9" s="1530" customFormat="1" ht="19.5" customHeight="1">
      <c r="A29" s="3566"/>
      <c r="B29" s="3566"/>
      <c r="C29" s="1114" t="s">
        <v>1457</v>
      </c>
      <c r="D29" s="1115"/>
      <c r="E29" s="1137">
        <v>0.9</v>
      </c>
      <c r="F29" s="1116" t="s">
        <v>1458</v>
      </c>
      <c r="G29" s="1117"/>
      <c r="H29" s="1088"/>
      <c r="I29" s="1088"/>
    </row>
    <row r="30" spans="1:9" s="1530" customFormat="1" ht="19.5" customHeight="1">
      <c r="A30" s="3566"/>
      <c r="B30" s="3566"/>
      <c r="C30" s="1114" t="s">
        <v>1459</v>
      </c>
      <c r="D30" s="1115"/>
      <c r="E30" s="1137">
        <v>0.9</v>
      </c>
      <c r="F30" s="1116" t="s">
        <v>1460</v>
      </c>
      <c r="G30" s="1117"/>
      <c r="H30" s="1088"/>
      <c r="I30" s="1088"/>
    </row>
    <row r="31" spans="1:9" s="1530" customFormat="1" ht="19.5" customHeight="1">
      <c r="A31" s="3566"/>
      <c r="B31" s="3566"/>
      <c r="C31" s="1114" t="s">
        <v>1461</v>
      </c>
      <c r="D31" s="1115"/>
      <c r="E31" s="1137">
        <v>0.8</v>
      </c>
      <c r="F31" s="1116" t="s">
        <v>1462</v>
      </c>
      <c r="G31" s="1117"/>
      <c r="H31" s="1088"/>
      <c r="I31" s="1088"/>
    </row>
    <row r="32" spans="1:9" s="1530" customFormat="1" ht="19.5" customHeight="1">
      <c r="A32" s="3566"/>
      <c r="B32" s="3566"/>
      <c r="C32" s="1114" t="s">
        <v>1463</v>
      </c>
      <c r="D32" s="1115"/>
      <c r="E32" s="1137">
        <v>0.8</v>
      </c>
      <c r="F32" s="1116" t="s">
        <v>1464</v>
      </c>
      <c r="G32" s="1117"/>
      <c r="H32" s="1088"/>
      <c r="I32" s="1088"/>
    </row>
    <row r="33" spans="1:9" s="1530" customFormat="1" ht="19.5" customHeight="1">
      <c r="A33" s="3566" t="s">
        <v>1465</v>
      </c>
      <c r="B33" s="1137" t="s">
        <v>1437</v>
      </c>
      <c r="C33" s="1114" t="s">
        <v>1466</v>
      </c>
      <c r="D33" s="1115"/>
      <c r="E33" s="1137">
        <v>1</v>
      </c>
      <c r="F33" s="1116" t="s">
        <v>1467</v>
      </c>
      <c r="G33" s="1117"/>
      <c r="H33" s="1088"/>
      <c r="I33" s="1088"/>
    </row>
    <row r="34" spans="1:9" s="1530" customFormat="1" ht="19.5" customHeight="1">
      <c r="A34" s="3566"/>
      <c r="B34" s="1137" t="s">
        <v>1440</v>
      </c>
      <c r="C34" s="1114" t="s">
        <v>1468</v>
      </c>
      <c r="D34" s="1115"/>
      <c r="E34" s="1137">
        <v>1.5</v>
      </c>
      <c r="F34" s="1116" t="s">
        <v>1469</v>
      </c>
      <c r="G34" s="1117"/>
      <c r="H34" s="1088"/>
      <c r="I34" s="1088"/>
    </row>
    <row r="35" spans="1:9" s="1530" customFormat="1" ht="19.5" customHeight="1">
      <c r="A35" s="3566" t="s">
        <v>1423</v>
      </c>
      <c r="B35" s="1137" t="s">
        <v>1437</v>
      </c>
      <c r="C35" s="1114" t="s">
        <v>1470</v>
      </c>
      <c r="D35" s="1115"/>
      <c r="E35" s="1137">
        <v>1</v>
      </c>
      <c r="F35" s="1116" t="s">
        <v>1471</v>
      </c>
      <c r="G35" s="1117"/>
      <c r="H35" s="1088"/>
      <c r="I35" s="1088"/>
    </row>
    <row r="36" spans="1:9" s="1530" customFormat="1" ht="19.5" customHeight="1">
      <c r="A36" s="3566"/>
      <c r="B36" s="3566" t="s">
        <v>1440</v>
      </c>
      <c r="C36" s="1114" t="s">
        <v>1472</v>
      </c>
      <c r="D36" s="1115"/>
      <c r="E36" s="1137">
        <v>1</v>
      </c>
      <c r="F36" s="1116" t="s">
        <v>1473</v>
      </c>
      <c r="G36" s="1117"/>
      <c r="H36" s="1088"/>
      <c r="I36" s="1088"/>
    </row>
    <row r="37" spans="1:9" s="1530" customFormat="1" ht="19.5" customHeight="1">
      <c r="A37" s="3566"/>
      <c r="B37" s="3566"/>
      <c r="C37" s="1114" t="s">
        <v>1474</v>
      </c>
      <c r="D37" s="1115"/>
      <c r="E37" s="1137">
        <v>1.5</v>
      </c>
      <c r="F37" s="1116" t="s">
        <v>1475</v>
      </c>
      <c r="G37" s="1117"/>
      <c r="H37" s="1088"/>
      <c r="I37" s="1088"/>
    </row>
    <row r="38" spans="1:9" s="1530" customFormat="1" ht="19.5" customHeight="1">
      <c r="A38" s="3566"/>
      <c r="B38" s="3566"/>
      <c r="C38" s="1114" t="s">
        <v>1476</v>
      </c>
      <c r="D38" s="1115"/>
      <c r="E38" s="1137">
        <v>1</v>
      </c>
      <c r="F38" s="1116" t="s">
        <v>1477</v>
      </c>
      <c r="G38" s="1117"/>
      <c r="H38" s="1088"/>
      <c r="I38" s="1088"/>
    </row>
    <row r="39" spans="1:9" s="1530" customFormat="1" ht="19.5" customHeight="1">
      <c r="A39" s="3566"/>
      <c r="B39" s="356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66" t="s">
        <v>1492</v>
      </c>
      <c r="C61" s="1051" t="s">
        <v>1493</v>
      </c>
      <c r="D61" s="1051" t="s">
        <v>1494</v>
      </c>
      <c r="E61" s="1122">
        <v>0.5</v>
      </c>
      <c r="F61" s="1137">
        <v>80</v>
      </c>
      <c r="H61" s="1088">
        <f>SUMIF(C59:C119,基准地价!C8,E59:E119)</f>
        <v>0</v>
      </c>
    </row>
    <row r="62" spans="1:8" s="1088" customFormat="1" ht="24">
      <c r="A62" s="1137">
        <v>2</v>
      </c>
      <c r="B62" s="3566"/>
      <c r="C62" s="1051" t="s">
        <v>1495</v>
      </c>
      <c r="D62" s="1051" t="s">
        <v>1496</v>
      </c>
      <c r="E62" s="1122">
        <v>0.5</v>
      </c>
      <c r="F62" s="1137">
        <v>80</v>
      </c>
    </row>
    <row r="63" spans="1:8" s="1088" customFormat="1" ht="36">
      <c r="A63" s="1137">
        <v>3</v>
      </c>
      <c r="B63" s="3566"/>
      <c r="C63" s="1051" t="s">
        <v>1497</v>
      </c>
      <c r="D63" s="1051" t="s">
        <v>1498</v>
      </c>
      <c r="E63" s="1122">
        <v>0.5</v>
      </c>
      <c r="F63" s="1137">
        <v>80</v>
      </c>
    </row>
    <row r="64" spans="1:8" s="1088" customFormat="1" ht="36">
      <c r="A64" s="1137">
        <v>4</v>
      </c>
      <c r="B64" s="3566"/>
      <c r="C64" s="1051" t="s">
        <v>1499</v>
      </c>
      <c r="D64" s="1051" t="s">
        <v>1500</v>
      </c>
      <c r="E64" s="1122">
        <v>0.4</v>
      </c>
      <c r="F64" s="1137">
        <v>60</v>
      </c>
    </row>
    <row r="65" spans="1:6" s="1088" customFormat="1" ht="36">
      <c r="A65" s="1137">
        <v>5</v>
      </c>
      <c r="B65" s="3566"/>
      <c r="C65" s="1051" t="s">
        <v>1501</v>
      </c>
      <c r="D65" s="1051" t="s">
        <v>1502</v>
      </c>
      <c r="E65" s="1122">
        <v>0.2</v>
      </c>
      <c r="F65" s="1137">
        <v>30</v>
      </c>
    </row>
    <row r="66" spans="1:6" s="1088" customFormat="1" ht="36">
      <c r="A66" s="1137">
        <v>6</v>
      </c>
      <c r="B66" s="3566"/>
      <c r="C66" s="1051" t="s">
        <v>1503</v>
      </c>
      <c r="D66" s="1051" t="s">
        <v>1504</v>
      </c>
      <c r="E66" s="1122">
        <v>0.3</v>
      </c>
      <c r="F66" s="1137">
        <v>50</v>
      </c>
    </row>
    <row r="67" spans="1:6" s="1088" customFormat="1" ht="36">
      <c r="A67" s="1137">
        <v>7</v>
      </c>
      <c r="B67" s="3566"/>
      <c r="C67" s="1051" t="s">
        <v>1505</v>
      </c>
      <c r="D67" s="1051" t="s">
        <v>1506</v>
      </c>
      <c r="E67" s="1122">
        <v>0.2</v>
      </c>
      <c r="F67" s="1137">
        <v>30</v>
      </c>
    </row>
    <row r="68" spans="1:6" s="1088" customFormat="1" ht="36">
      <c r="A68" s="1137">
        <v>8</v>
      </c>
      <c r="B68" s="3566"/>
      <c r="C68" s="1051" t="s">
        <v>1507</v>
      </c>
      <c r="D68" s="1051" t="s">
        <v>1508</v>
      </c>
      <c r="E68" s="1122">
        <v>0.2</v>
      </c>
      <c r="F68" s="1137">
        <v>30</v>
      </c>
    </row>
    <row r="69" spans="1:6" s="1088" customFormat="1" ht="36">
      <c r="A69" s="1137">
        <v>9</v>
      </c>
      <c r="B69" s="3566"/>
      <c r="C69" s="1051" t="s">
        <v>1509</v>
      </c>
      <c r="D69" s="1051" t="s">
        <v>1510</v>
      </c>
      <c r="E69" s="1122">
        <v>0.2</v>
      </c>
      <c r="F69" s="1137">
        <v>30</v>
      </c>
    </row>
    <row r="70" spans="1:6" s="1088" customFormat="1" ht="48">
      <c r="A70" s="1137">
        <v>10</v>
      </c>
      <c r="B70" s="3566"/>
      <c r="C70" s="1051" t="s">
        <v>1511</v>
      </c>
      <c r="D70" s="1051" t="s">
        <v>1512</v>
      </c>
      <c r="E70" s="1122">
        <v>0.2</v>
      </c>
      <c r="F70" s="1137">
        <v>30</v>
      </c>
    </row>
    <row r="71" spans="1:6" s="1088" customFormat="1" ht="48">
      <c r="A71" s="1137">
        <v>11</v>
      </c>
      <c r="B71" s="3566"/>
      <c r="C71" s="1051" t="s">
        <v>1513</v>
      </c>
      <c r="D71" s="1051" t="s">
        <v>1514</v>
      </c>
      <c r="E71" s="1122">
        <v>0.2</v>
      </c>
      <c r="F71" s="1137">
        <v>30</v>
      </c>
    </row>
    <row r="72" spans="1:6" s="1088" customFormat="1" ht="36">
      <c r="A72" s="1137">
        <v>12</v>
      </c>
      <c r="B72" s="3566"/>
      <c r="C72" s="1051" t="s">
        <v>1515</v>
      </c>
      <c r="D72" s="1051" t="s">
        <v>1516</v>
      </c>
      <c r="E72" s="1122">
        <v>0.5</v>
      </c>
      <c r="F72" s="1137">
        <v>80</v>
      </c>
    </row>
    <row r="73" spans="1:6" s="1088" customFormat="1" ht="24">
      <c r="A73" s="1137">
        <v>13</v>
      </c>
      <c r="B73" s="3566"/>
      <c r="C73" s="1051" t="s">
        <v>1517</v>
      </c>
      <c r="D73" s="1051" t="s">
        <v>1518</v>
      </c>
      <c r="E73" s="1122">
        <v>0.4</v>
      </c>
      <c r="F73" s="1137">
        <v>60</v>
      </c>
    </row>
    <row r="74" spans="1:6" s="1088" customFormat="1" ht="24">
      <c r="A74" s="1137">
        <v>14</v>
      </c>
      <c r="B74" s="3566"/>
      <c r="C74" s="1051" t="s">
        <v>1519</v>
      </c>
      <c r="D74" s="1051" t="s">
        <v>1520</v>
      </c>
      <c r="E74" s="1122">
        <v>0.2</v>
      </c>
      <c r="F74" s="1137">
        <v>30</v>
      </c>
    </row>
    <row r="75" spans="1:6" s="1088" customFormat="1" ht="24">
      <c r="A75" s="1137">
        <v>15</v>
      </c>
      <c r="B75" s="3566"/>
      <c r="C75" s="1051" t="s">
        <v>1521</v>
      </c>
      <c r="D75" s="1051" t="s">
        <v>1522</v>
      </c>
      <c r="E75" s="1122">
        <v>0.2</v>
      </c>
      <c r="F75" s="1137">
        <v>30</v>
      </c>
    </row>
    <row r="76" spans="1:6" s="1088" customFormat="1" ht="24">
      <c r="A76" s="1137">
        <v>16</v>
      </c>
      <c r="B76" s="3566" t="s">
        <v>1523</v>
      </c>
      <c r="C76" s="1051" t="s">
        <v>1524</v>
      </c>
      <c r="D76" s="1051" t="s">
        <v>1525</v>
      </c>
      <c r="E76" s="1122">
        <v>0.5</v>
      </c>
      <c r="F76" s="1137">
        <v>80</v>
      </c>
    </row>
    <row r="77" spans="1:6" s="1088" customFormat="1" ht="24">
      <c r="A77" s="1137">
        <v>17</v>
      </c>
      <c r="B77" s="3566"/>
      <c r="C77" s="1051" t="s">
        <v>1526</v>
      </c>
      <c r="D77" s="1051" t="s">
        <v>1527</v>
      </c>
      <c r="E77" s="1122">
        <v>0.5</v>
      </c>
      <c r="F77" s="1137">
        <v>80</v>
      </c>
    </row>
    <row r="78" spans="1:6" s="1088" customFormat="1" ht="24">
      <c r="A78" s="1137">
        <v>18</v>
      </c>
      <c r="B78" s="3566"/>
      <c r="C78" s="1051" t="s">
        <v>1528</v>
      </c>
      <c r="D78" s="1051" t="s">
        <v>1529</v>
      </c>
      <c r="E78" s="1122">
        <v>0.2</v>
      </c>
      <c r="F78" s="1137">
        <v>30</v>
      </c>
    </row>
    <row r="79" spans="1:6" s="1088" customFormat="1" ht="24">
      <c r="A79" s="1137">
        <v>19</v>
      </c>
      <c r="B79" s="3566"/>
      <c r="C79" s="1051" t="s">
        <v>1530</v>
      </c>
      <c r="D79" s="1051" t="s">
        <v>1531</v>
      </c>
      <c r="E79" s="1122">
        <v>0.5</v>
      </c>
      <c r="F79" s="1137">
        <v>80</v>
      </c>
    </row>
    <row r="80" spans="1:6" s="1088" customFormat="1" ht="36">
      <c r="A80" s="1137">
        <v>20</v>
      </c>
      <c r="B80" s="3566"/>
      <c r="C80" s="1051" t="s">
        <v>1532</v>
      </c>
      <c r="D80" s="1051" t="s">
        <v>1533</v>
      </c>
      <c r="E80" s="1122">
        <v>0.2</v>
      </c>
      <c r="F80" s="1137">
        <v>30</v>
      </c>
    </row>
    <row r="81" spans="1:6" s="1088" customFormat="1" ht="36">
      <c r="A81" s="1137">
        <v>21</v>
      </c>
      <c r="B81" s="3566"/>
      <c r="C81" s="1051" t="s">
        <v>1534</v>
      </c>
      <c r="D81" s="1051" t="s">
        <v>1535</v>
      </c>
      <c r="E81" s="1122">
        <v>0.2</v>
      </c>
      <c r="F81" s="1137">
        <v>30</v>
      </c>
    </row>
    <row r="82" spans="1:6" s="1088" customFormat="1" ht="48">
      <c r="A82" s="1137">
        <v>22</v>
      </c>
      <c r="B82" s="3566"/>
      <c r="C82" s="1051" t="s">
        <v>1536</v>
      </c>
      <c r="D82" s="1051" t="s">
        <v>1537</v>
      </c>
      <c r="E82" s="1122">
        <v>0.2</v>
      </c>
      <c r="F82" s="1137">
        <v>30</v>
      </c>
    </row>
    <row r="83" spans="1:6" s="1088" customFormat="1" ht="48">
      <c r="A83" s="1137">
        <v>23</v>
      </c>
      <c r="B83" s="3566"/>
      <c r="C83" s="1051" t="s">
        <v>1538</v>
      </c>
      <c r="D83" s="1051" t="s">
        <v>1539</v>
      </c>
      <c r="E83" s="1122">
        <v>0.2</v>
      </c>
      <c r="F83" s="1137">
        <v>30</v>
      </c>
    </row>
    <row r="84" spans="1:6" s="1088" customFormat="1" ht="36">
      <c r="A84" s="1137">
        <v>24</v>
      </c>
      <c r="B84" s="3566"/>
      <c r="C84" s="1051" t="s">
        <v>1540</v>
      </c>
      <c r="D84" s="1051" t="s">
        <v>1541</v>
      </c>
      <c r="E84" s="1122">
        <v>0.2</v>
      </c>
      <c r="F84" s="1137">
        <v>30</v>
      </c>
    </row>
    <row r="85" spans="1:6" s="1088" customFormat="1" ht="36">
      <c r="A85" s="1137">
        <v>25</v>
      </c>
      <c r="B85" s="3566"/>
      <c r="C85" s="1051" t="s">
        <v>1542</v>
      </c>
      <c r="D85" s="1051" t="s">
        <v>1543</v>
      </c>
      <c r="E85" s="1122">
        <v>0.5</v>
      </c>
      <c r="F85" s="1137">
        <v>80</v>
      </c>
    </row>
    <row r="86" spans="1:6" s="1088" customFormat="1" ht="36">
      <c r="A86" s="1137">
        <v>26</v>
      </c>
      <c r="B86" s="3566"/>
      <c r="C86" s="1051" t="s">
        <v>1544</v>
      </c>
      <c r="D86" s="1051" t="s">
        <v>1545</v>
      </c>
      <c r="E86" s="1122">
        <v>0.2</v>
      </c>
      <c r="F86" s="1137">
        <v>30</v>
      </c>
    </row>
    <row r="87" spans="1:6" s="1088" customFormat="1" ht="36">
      <c r="A87" s="1137">
        <v>27</v>
      </c>
      <c r="B87" s="3566"/>
      <c r="C87" s="1051" t="s">
        <v>1546</v>
      </c>
      <c r="D87" s="1051" t="s">
        <v>1547</v>
      </c>
      <c r="E87" s="1122">
        <v>0.2</v>
      </c>
      <c r="F87" s="1137">
        <v>30</v>
      </c>
    </row>
    <row r="88" spans="1:6" s="1088" customFormat="1" ht="36">
      <c r="A88" s="1137">
        <v>28</v>
      </c>
      <c r="B88" s="3566"/>
      <c r="C88" s="1051" t="s">
        <v>1548</v>
      </c>
      <c r="D88" s="1051" t="s">
        <v>1549</v>
      </c>
      <c r="E88" s="1122">
        <v>0.2</v>
      </c>
      <c r="F88" s="1137">
        <v>30</v>
      </c>
    </row>
    <row r="89" spans="1:6" s="1088" customFormat="1" ht="24">
      <c r="A89" s="1137">
        <v>29</v>
      </c>
      <c r="B89" s="3566"/>
      <c r="C89" s="1051" t="s">
        <v>1550</v>
      </c>
      <c r="D89" s="1051" t="s">
        <v>1551</v>
      </c>
      <c r="E89" s="1122">
        <v>0.2</v>
      </c>
      <c r="F89" s="1137">
        <v>30</v>
      </c>
    </row>
    <row r="90" spans="1:6" s="1088" customFormat="1" ht="24">
      <c r="A90" s="1137">
        <v>30</v>
      </c>
      <c r="B90" s="3566"/>
      <c r="C90" s="1051" t="s">
        <v>1552</v>
      </c>
      <c r="D90" s="1051" t="s">
        <v>1553</v>
      </c>
      <c r="E90" s="1122">
        <v>0.2</v>
      </c>
      <c r="F90" s="1137">
        <v>30</v>
      </c>
    </row>
    <row r="91" spans="1:6" s="1088" customFormat="1" ht="36">
      <c r="A91" s="1137">
        <v>31</v>
      </c>
      <c r="B91" s="3566"/>
      <c r="C91" s="1051" t="s">
        <v>1554</v>
      </c>
      <c r="D91" s="1051" t="s">
        <v>1555</v>
      </c>
      <c r="E91" s="1122">
        <v>0.2</v>
      </c>
      <c r="F91" s="1137">
        <v>30</v>
      </c>
    </row>
    <row r="92" spans="1:6" s="1088" customFormat="1" ht="24">
      <c r="A92" s="1137">
        <v>32</v>
      </c>
      <c r="B92" s="3566" t="s">
        <v>1556</v>
      </c>
      <c r="C92" s="1137" t="s">
        <v>1557</v>
      </c>
      <c r="D92" s="1051" t="s">
        <v>1558</v>
      </c>
      <c r="E92" s="1122">
        <v>0.2</v>
      </c>
      <c r="F92" s="1137">
        <v>30</v>
      </c>
    </row>
    <row r="93" spans="1:6" s="1088" customFormat="1" ht="36">
      <c r="A93" s="1137">
        <v>33</v>
      </c>
      <c r="B93" s="3566"/>
      <c r="C93" s="1137" t="s">
        <v>1559</v>
      </c>
      <c r="D93" s="1051" t="s">
        <v>1560</v>
      </c>
      <c r="E93" s="1122">
        <v>0.2</v>
      </c>
      <c r="F93" s="1137">
        <v>30</v>
      </c>
    </row>
    <row r="94" spans="1:6" s="1088" customFormat="1" ht="48">
      <c r="A94" s="1137">
        <v>34</v>
      </c>
      <c r="B94" s="3566"/>
      <c r="C94" s="1137" t="s">
        <v>1561</v>
      </c>
      <c r="D94" s="1051" t="s">
        <v>1562</v>
      </c>
      <c r="E94" s="1122">
        <v>0.2</v>
      </c>
      <c r="F94" s="1137">
        <v>30</v>
      </c>
    </row>
    <row r="95" spans="1:6" s="1088" customFormat="1" ht="36">
      <c r="A95" s="1137">
        <v>35</v>
      </c>
      <c r="B95" s="3566"/>
      <c r="C95" s="1137" t="s">
        <v>1563</v>
      </c>
      <c r="D95" s="1051" t="s">
        <v>1564</v>
      </c>
      <c r="E95" s="1122">
        <v>0.2</v>
      </c>
      <c r="F95" s="1137">
        <v>30</v>
      </c>
    </row>
    <row r="96" spans="1:6" s="1088" customFormat="1" ht="48">
      <c r="A96" s="1137">
        <v>36</v>
      </c>
      <c r="B96" s="3566"/>
      <c r="C96" s="1051" t="s">
        <v>1565</v>
      </c>
      <c r="D96" s="1051" t="s">
        <v>1566</v>
      </c>
      <c r="E96" s="1122">
        <v>0.2</v>
      </c>
      <c r="F96" s="1137">
        <v>30</v>
      </c>
    </row>
    <row r="97" spans="1:6" s="1088" customFormat="1" ht="36">
      <c r="A97" s="1137">
        <v>37</v>
      </c>
      <c r="B97" s="3566"/>
      <c r="C97" s="1137" t="s">
        <v>1567</v>
      </c>
      <c r="D97" s="1051" t="s">
        <v>1568</v>
      </c>
      <c r="E97" s="1122">
        <v>0.2</v>
      </c>
      <c r="F97" s="1137">
        <v>30</v>
      </c>
    </row>
    <row r="98" spans="1:6" s="1088" customFormat="1" ht="36">
      <c r="A98" s="1137">
        <v>38</v>
      </c>
      <c r="B98" s="3566"/>
      <c r="C98" s="1137" t="s">
        <v>1569</v>
      </c>
      <c r="D98" s="1051" t="s">
        <v>1570</v>
      </c>
      <c r="E98" s="1122">
        <v>0.2</v>
      </c>
      <c r="F98" s="1137">
        <v>30</v>
      </c>
    </row>
    <row r="99" spans="1:6" s="1088" customFormat="1" ht="36">
      <c r="A99" s="1137">
        <v>39</v>
      </c>
      <c r="B99" s="3566" t="s">
        <v>1571</v>
      </c>
      <c r="C99" s="1137" t="s">
        <v>1572</v>
      </c>
      <c r="D99" s="1051" t="s">
        <v>1573</v>
      </c>
      <c r="E99" s="1122">
        <v>0.3</v>
      </c>
      <c r="F99" s="1137">
        <v>50</v>
      </c>
    </row>
    <row r="100" spans="1:6" s="1088" customFormat="1" ht="24">
      <c r="A100" s="1137">
        <v>40</v>
      </c>
      <c r="B100" s="3566"/>
      <c r="C100" s="1137" t="s">
        <v>1574</v>
      </c>
      <c r="D100" s="1051" t="s">
        <v>1575</v>
      </c>
      <c r="E100" s="1122">
        <v>0.2</v>
      </c>
      <c r="F100" s="1137">
        <v>30</v>
      </c>
    </row>
    <row r="101" spans="1:6" s="1088" customFormat="1" ht="36">
      <c r="A101" s="1137">
        <v>41</v>
      </c>
      <c r="B101" s="356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66" t="s">
        <v>1586</v>
      </c>
      <c r="C105" s="1137" t="s">
        <v>1587</v>
      </c>
      <c r="D105" s="1051" t="s">
        <v>1588</v>
      </c>
      <c r="E105" s="1122">
        <v>0.2</v>
      </c>
      <c r="F105" s="1137">
        <v>30</v>
      </c>
    </row>
    <row r="106" spans="1:6" s="1088" customFormat="1" ht="36">
      <c r="A106" s="1137">
        <v>46</v>
      </c>
      <c r="B106" s="3566"/>
      <c r="C106" s="1137" t="s">
        <v>1589</v>
      </c>
      <c r="D106" s="1051" t="s">
        <v>1590</v>
      </c>
      <c r="E106" s="1122">
        <v>0.2</v>
      </c>
      <c r="F106" s="1137">
        <v>30</v>
      </c>
    </row>
    <row r="107" spans="1:6" s="1088" customFormat="1" ht="36">
      <c r="A107" s="1137">
        <v>47</v>
      </c>
      <c r="B107" s="3566" t="s">
        <v>1591</v>
      </c>
      <c r="C107" s="1137" t="s">
        <v>1592</v>
      </c>
      <c r="D107" s="1051" t="s">
        <v>1593</v>
      </c>
      <c r="E107" s="1122">
        <v>0.3</v>
      </c>
      <c r="F107" s="1137">
        <v>50</v>
      </c>
    </row>
    <row r="108" spans="1:6" s="1088" customFormat="1" ht="36">
      <c r="A108" s="1137">
        <v>48</v>
      </c>
      <c r="B108" s="356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66" t="s">
        <v>1602</v>
      </c>
      <c r="C111" s="1137" t="s">
        <v>1603</v>
      </c>
      <c r="D111" s="1051" t="s">
        <v>1604</v>
      </c>
      <c r="E111" s="1122">
        <v>0.2</v>
      </c>
      <c r="F111" s="1137">
        <v>30</v>
      </c>
    </row>
    <row r="112" spans="1:6" s="1088" customFormat="1" ht="24">
      <c r="A112" s="1137">
        <v>52</v>
      </c>
      <c r="B112" s="3566"/>
      <c r="C112" s="1137" t="s">
        <v>1605</v>
      </c>
      <c r="D112" s="1051" t="s">
        <v>1606</v>
      </c>
      <c r="E112" s="1122">
        <v>0.2</v>
      </c>
      <c r="F112" s="1137">
        <v>30</v>
      </c>
    </row>
    <row r="113" spans="1:14" s="1088" customFormat="1" ht="24">
      <c r="A113" s="1137">
        <v>53</v>
      </c>
      <c r="B113" s="356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66" t="s">
        <v>1615</v>
      </c>
      <c r="C116" s="1137" t="s">
        <v>1616</v>
      </c>
      <c r="D116" s="1051" t="s">
        <v>1617</v>
      </c>
      <c r="E116" s="1122">
        <v>0.2</v>
      </c>
      <c r="F116" s="1137">
        <v>30</v>
      </c>
    </row>
    <row r="117" spans="1:14" ht="36">
      <c r="A117" s="1137">
        <v>57</v>
      </c>
      <c r="B117" s="356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65" t="s">
        <v>1624</v>
      </c>
      <c r="B121" s="3565"/>
      <c r="C121" s="3565"/>
      <c r="D121" s="3565"/>
      <c r="E121" s="3565"/>
      <c r="F121" s="3565"/>
      <c r="G121" s="3565"/>
      <c r="H121" s="3565"/>
      <c r="I121" s="3565"/>
      <c r="J121" s="356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0" t="s">
        <v>1030</v>
      </c>
      <c r="B1" s="3580"/>
      <c r="C1" s="3580"/>
      <c r="D1" s="3580"/>
      <c r="E1" s="3580"/>
      <c r="F1" s="358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1" t="s">
        <v>1043</v>
      </c>
      <c r="B2" s="3581"/>
      <c r="C2" s="3581"/>
      <c r="D2" s="3581"/>
      <c r="E2" s="3581"/>
      <c r="F2" s="358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5680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4" t="s">
        <v>2068</v>
      </c>
      <c r="B1" s="358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87" t="s">
        <v>2557</v>
      </c>
      <c r="C1" s="3587"/>
      <c r="D1" s="3587"/>
      <c r="E1" s="3587"/>
      <c r="F1" s="3587"/>
      <c r="G1" s="3586" t="s">
        <v>2558</v>
      </c>
      <c r="H1" s="3586"/>
      <c r="I1" s="3586"/>
      <c r="J1" s="3586"/>
      <c r="K1" s="3586"/>
      <c r="L1" s="3586"/>
      <c r="N1" s="3586" t="s">
        <v>2559</v>
      </c>
      <c r="O1" s="3586"/>
      <c r="P1" s="3586"/>
      <c r="Q1" s="3586"/>
      <c r="S1" s="3586" t="s">
        <v>2560</v>
      </c>
      <c r="T1" s="3586"/>
      <c r="U1" s="3586"/>
      <c r="V1" s="3586"/>
      <c r="X1" s="3585" t="s">
        <v>2620</v>
      </c>
      <c r="Y1" s="3586"/>
      <c r="Z1" s="3586"/>
      <c r="AA1" s="3586"/>
      <c r="AB1" s="3586"/>
      <c r="AD1" s="3585" t="s">
        <v>2624</v>
      </c>
      <c r="AE1" s="3586"/>
      <c r="AF1" s="3586"/>
      <c r="AG1" s="3586"/>
      <c r="AH1" s="3586"/>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2954</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2953</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2952</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2950</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89">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2943</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89"/>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2944</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89"/>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2940</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95"/>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2932</v>
      </c>
      <c r="B16" s="2915">
        <v>439</v>
      </c>
      <c r="C16" s="2915">
        <v>327</v>
      </c>
      <c r="D16" s="2915">
        <f t="shared" si="102"/>
        <v>327</v>
      </c>
      <c r="E16" s="2915">
        <v>627</v>
      </c>
      <c r="F16" s="2916">
        <v>283</v>
      </c>
      <c r="G16" s="3594">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89"/>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89"/>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95"/>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94">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89"/>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89"/>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90"/>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88">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89"/>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89"/>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90"/>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88">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89"/>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89"/>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90"/>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91">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92"/>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92"/>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93"/>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88">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89"/>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89"/>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90"/>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88">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89">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89">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90">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88">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89">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89">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90">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88">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89">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89">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90">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88">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89">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89">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90">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88">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89">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89">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90">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88">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89">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89">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90">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88">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89">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89">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90">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88">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89">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89">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90">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88">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89">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89">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90">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88">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89">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89">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90">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97" t="s">
        <v>2445</v>
      </c>
      <c r="C8" s="1740">
        <f ca="1">ROUND(F8*F10*F9*(1-F11)/10000,0)</f>
        <v>0</v>
      </c>
      <c r="D8" s="1737" t="s">
        <v>2516</v>
      </c>
      <c r="E8" s="61" t="s">
        <v>631</v>
      </c>
      <c r="F8" s="775">
        <f ca="1">INDIRECT("'数据-取费表'!u"&amp;$G$1)</f>
        <v>0</v>
      </c>
      <c r="G8" s="1527"/>
      <c r="H8" s="2357" t="s">
        <v>1815</v>
      </c>
      <c r="I8" s="3597" t="s">
        <v>2445</v>
      </c>
      <c r="J8" s="773">
        <f ca="1">ROUND(M8*M10*M9*(1-M11)/10000,0)</f>
        <v>0</v>
      </c>
      <c r="K8" s="339" t="s">
        <v>2516</v>
      </c>
      <c r="L8" s="774" t="s">
        <v>1729</v>
      </c>
      <c r="M8" s="775">
        <f ca="1">INDIRECT("'数据-取费表'!z"&amp;$G$1)</f>
        <v>0</v>
      </c>
    </row>
    <row r="9" spans="1:25" ht="18" customHeight="1">
      <c r="A9" s="2353"/>
      <c r="B9" s="3598"/>
      <c r="C9" s="1741"/>
      <c r="D9" s="1738"/>
      <c r="E9" s="61" t="s">
        <v>632</v>
      </c>
      <c r="F9" s="775">
        <f ca="1">IF(INDIRECT("'数据-取费表'!ah"&amp;$G$1)="",INDIRECT("'数据-取费表'!k"&amp;$G$1),INDIRECT("'数据-取费表'!ah"&amp;$G$1))</f>
        <v>0</v>
      </c>
      <c r="G9" s="1527"/>
      <c r="H9" s="2342"/>
      <c r="I9" s="3598"/>
      <c r="J9" s="778"/>
      <c r="K9" s="779"/>
      <c r="L9" s="774" t="s">
        <v>1730</v>
      </c>
      <c r="M9" s="775">
        <f ca="1">F9</f>
        <v>0</v>
      </c>
    </row>
    <row r="10" spans="1:25" ht="18" customHeight="1">
      <c r="A10" s="2346"/>
      <c r="B10" s="3599"/>
      <c r="C10" s="1741"/>
      <c r="D10" s="1738"/>
      <c r="E10" s="61" t="s">
        <v>633</v>
      </c>
      <c r="F10" s="775">
        <f ca="1">INDIRECT("'数据-取费表'!ai"&amp;$G$1)</f>
        <v>0</v>
      </c>
      <c r="G10" s="1527"/>
      <c r="H10" s="2342"/>
      <c r="I10" s="3599"/>
      <c r="J10" s="778"/>
      <c r="K10" s="779"/>
      <c r="L10" s="774" t="s">
        <v>1731</v>
      </c>
      <c r="M10" s="775">
        <f ca="1">INDIRECT("'数据-取费表'!ai"&amp;$G$1)</f>
        <v>0</v>
      </c>
    </row>
    <row r="11" spans="1:25" ht="18" customHeight="1">
      <c r="A11" s="776"/>
      <c r="B11" s="3600"/>
      <c r="C11" s="1741"/>
      <c r="D11" s="1738"/>
      <c r="E11" s="61" t="s">
        <v>634</v>
      </c>
      <c r="F11" s="784">
        <f ca="1">INDIRECT("'数据-取费表'!w"&amp;$G$1)</f>
        <v>0</v>
      </c>
      <c r="G11" s="1527"/>
      <c r="H11" s="2358"/>
      <c r="I11" s="359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0.01</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0.01</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96"/>
      <c r="J36" s="1962"/>
      <c r="K36" s="1963"/>
      <c r="L36" s="1962"/>
      <c r="M36" s="1962"/>
    </row>
    <row r="37" spans="1:18" ht="18" customHeight="1">
      <c r="A37" s="804"/>
      <c r="B37" s="783"/>
      <c r="C37" s="69"/>
      <c r="D37" s="805"/>
      <c r="E37" s="774" t="s">
        <v>668</v>
      </c>
      <c r="F37" s="775">
        <f ca="1">INDIRECT("'数据-取费表'!r"&amp;$G$1)</f>
        <v>0</v>
      </c>
      <c r="G37" s="1945"/>
      <c r="H37" s="1948"/>
      <c r="I37" s="359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-1</v>
      </c>
      <c r="K54" s="3601"/>
      <c r="L54" s="360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27801</v>
      </c>
      <c r="C2" s="3264"/>
      <c r="D2" s="3265"/>
      <c r="E2" s="3266"/>
      <c r="F2" s="3266"/>
      <c r="G2" s="3260"/>
      <c r="H2" s="1940"/>
      <c r="I2" s="1940"/>
      <c r="J2" s="1940"/>
      <c r="K2" s="1941"/>
      <c r="L2" s="1940"/>
      <c r="M2" s="1940"/>
    </row>
    <row r="3" spans="1:33" ht="18" customHeight="1" thickBot="1">
      <c r="A3" s="822" t="s">
        <v>1718</v>
      </c>
      <c r="B3" s="823">
        <f ca="1">IF(ISERROR(B2*10000/F43),0,ROUND(B2*10000/F43,0))</f>
        <v>11932</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1085</v>
      </c>
      <c r="D5" s="2349" t="s">
        <v>2443</v>
      </c>
      <c r="E5" s="2343"/>
      <c r="F5" s="2344"/>
      <c r="G5" s="1945"/>
      <c r="H5" s="771">
        <v>1</v>
      </c>
      <c r="I5" s="772" t="s">
        <v>2440</v>
      </c>
      <c r="J5" s="55">
        <f ca="1">J6+J10+J12</f>
        <v>0</v>
      </c>
      <c r="K5" s="2349" t="s">
        <v>2443</v>
      </c>
      <c r="L5" s="2343"/>
      <c r="M5" s="2344"/>
    </row>
    <row r="6" spans="1:33" ht="18" customHeight="1">
      <c r="A6" s="1745" t="s">
        <v>1815</v>
      </c>
      <c r="B6" s="3597" t="s">
        <v>2445</v>
      </c>
      <c r="C6" s="773">
        <f ca="1">ROUND(F6*F8*F7*(1-F9)/10000,0)</f>
        <v>1084</v>
      </c>
      <c r="D6" s="2350" t="s">
        <v>2444</v>
      </c>
      <c r="E6" s="774" t="s">
        <v>1729</v>
      </c>
      <c r="F6" s="775">
        <f ca="1">INDIRECT("'数据-取费表'!u"&amp;$G$1)</f>
        <v>1.5</v>
      </c>
      <c r="G6" s="1945"/>
      <c r="H6" s="2357" t="s">
        <v>2450</v>
      </c>
      <c r="I6" s="3597" t="s">
        <v>2445</v>
      </c>
      <c r="J6" s="773">
        <f ca="1">ROUND(M6*M8*M7*(1-M9)/10000,0)</f>
        <v>0</v>
      </c>
      <c r="K6" s="339" t="s">
        <v>1728</v>
      </c>
      <c r="L6" s="774" t="s">
        <v>1729</v>
      </c>
      <c r="M6" s="775">
        <f ca="1">INDIRECT("'数据-取费表'!z"&amp;$G$1)</f>
        <v>0</v>
      </c>
    </row>
    <row r="7" spans="1:33" ht="18" customHeight="1">
      <c r="A7" s="2353"/>
      <c r="B7" s="3598"/>
      <c r="C7" s="778"/>
      <c r="D7" s="779"/>
      <c r="E7" s="774" t="s">
        <v>1730</v>
      </c>
      <c r="F7" s="775">
        <f ca="1">IF(INDIRECT("'数据-取费表'!ah"&amp;$G$1)="",INDIRECT("'数据-取费表'!k"&amp;$G$1),INDIRECT("'数据-取费表'!ah"&amp;$G$1))</f>
        <v>23300</v>
      </c>
      <c r="G7" s="1945"/>
      <c r="H7" s="2342"/>
      <c r="I7" s="3598"/>
      <c r="J7" s="778"/>
      <c r="K7" s="779"/>
      <c r="L7" s="774" t="s">
        <v>1730</v>
      </c>
      <c r="M7" s="775">
        <f ca="1">F7</f>
        <v>23300</v>
      </c>
    </row>
    <row r="8" spans="1:33" ht="18" customHeight="1">
      <c r="A8" s="2346"/>
      <c r="B8" s="3599"/>
      <c r="C8" s="778"/>
      <c r="D8" s="779"/>
      <c r="E8" s="774" t="s">
        <v>1731</v>
      </c>
      <c r="F8" s="775">
        <f ca="1">INDIRECT("'数据-取费表'!ai"&amp;$G$1)</f>
        <v>365</v>
      </c>
      <c r="G8" s="1945"/>
      <c r="H8" s="2342"/>
      <c r="I8" s="3599"/>
      <c r="J8" s="778"/>
      <c r="K8" s="779"/>
      <c r="L8" s="774" t="s">
        <v>1731</v>
      </c>
      <c r="M8" s="775">
        <f ca="1">INDIRECT("'数据-取费表'!ai"&amp;$G$1)</f>
        <v>365</v>
      </c>
    </row>
    <row r="9" spans="1:33" ht="18" customHeight="1">
      <c r="A9" s="776"/>
      <c r="B9" s="3600"/>
      <c r="C9" s="778"/>
      <c r="D9" s="779"/>
      <c r="E9" s="774" t="s">
        <v>1732</v>
      </c>
      <c r="F9" s="784">
        <f ca="1">INDIRECT("'数据-取费表'!w"&amp;$G$1)</f>
        <v>0.15</v>
      </c>
      <c r="G9" s="1945"/>
      <c r="H9" s="2358"/>
      <c r="I9" s="3599"/>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3274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4766</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3495</v>
      </c>
      <c r="D14" s="1893" t="s">
        <v>1736</v>
      </c>
      <c r="E14" s="1894"/>
      <c r="F14" s="795"/>
      <c r="G14" s="1945"/>
      <c r="H14" s="1578" t="s">
        <v>1821</v>
      </c>
      <c r="I14" s="2111" t="s">
        <v>2806</v>
      </c>
      <c r="J14" s="53">
        <f ca="1">C29</f>
        <v>4766</v>
      </c>
      <c r="K14" s="26"/>
      <c r="L14" s="791"/>
      <c r="M14" s="792"/>
    </row>
    <row r="15" spans="1:33" s="1947" customFormat="1" ht="18" customHeight="1" thickBot="1">
      <c r="A15" s="1577" t="s">
        <v>1876</v>
      </c>
      <c r="B15" s="774" t="s">
        <v>641</v>
      </c>
      <c r="C15" s="53">
        <f ca="1">ROUND(C14*F15,0)</f>
        <v>105</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114</v>
      </c>
      <c r="K16" s="1736" t="s">
        <v>1741</v>
      </c>
      <c r="L16" s="2339"/>
      <c r="M16" s="2344"/>
    </row>
    <row r="17" spans="1:33" s="1947" customFormat="1" ht="18" customHeight="1">
      <c r="A17" s="1577" t="s">
        <v>1878</v>
      </c>
      <c r="B17" s="774" t="s">
        <v>647</v>
      </c>
      <c r="C17" s="53">
        <f ca="1">ROUND(F17*(F43+INDIRECT("'数据-取费表'!S"&amp;$G$1))/10000,0)</f>
        <v>466</v>
      </c>
      <c r="D17" s="774" t="s">
        <v>1742</v>
      </c>
      <c r="E17" s="774" t="s">
        <v>1743</v>
      </c>
      <c r="F17" s="56">
        <f>'数据-取费表'!B35</f>
        <v>200</v>
      </c>
      <c r="G17" s="3261"/>
      <c r="H17" s="1578" t="s">
        <v>1821</v>
      </c>
      <c r="I17" s="774" t="s">
        <v>650</v>
      </c>
      <c r="J17" s="3019">
        <f ca="1">ROUND(IF(AND(项目基本情况!B11="自然人",项目基本情况!B10="北京市"),J6*M17/(1+'数据-取费表'!F30),J18+J19+J20),0)</f>
        <v>43</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52</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4118</v>
      </c>
      <c r="D19" s="259" t="s">
        <v>1748</v>
      </c>
      <c r="E19" s="1896"/>
      <c r="F19" s="56"/>
      <c r="G19" s="1945"/>
      <c r="H19" s="1577" t="s">
        <v>1876</v>
      </c>
      <c r="I19" s="774" t="s">
        <v>1749</v>
      </c>
      <c r="J19" s="53">
        <f ca="1">IF(K19="按租金收入计税",ROUND(J6*M19/(1+'数据-取费表'!C42),1),ROUND(C29*F33*0.7,1))</f>
        <v>40</v>
      </c>
      <c r="K19" s="800" t="s">
        <v>659</v>
      </c>
      <c r="L19" s="774" t="s">
        <v>1738</v>
      </c>
      <c r="M19" s="799">
        <f>IF(K19="按租金收入计税",'数据-取费表'!B51,'数据-取费表'!B50)</f>
        <v>1.2E-2</v>
      </c>
    </row>
    <row r="20" spans="1:33" s="1947" customFormat="1" ht="18" customHeight="1">
      <c r="A20" s="1578" t="s">
        <v>1880</v>
      </c>
      <c r="B20" s="774" t="s">
        <v>660</v>
      </c>
      <c r="C20" s="53">
        <f ca="1">ROUND(C19*F20,0)</f>
        <v>41</v>
      </c>
      <c r="D20" s="801" t="s">
        <v>1750</v>
      </c>
      <c r="E20" s="774" t="s">
        <v>1738</v>
      </c>
      <c r="F20" s="799">
        <f>'数据-取费表'!B37</f>
        <v>0.01</v>
      </c>
      <c r="G20" s="3261"/>
      <c r="H20" s="1580" t="s">
        <v>1871</v>
      </c>
      <c r="I20" s="339" t="s">
        <v>1751</v>
      </c>
      <c r="J20" s="54">
        <f ca="1">ROUND(M20*M21/10000,0)</f>
        <v>3</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0.01</v>
      </c>
      <c r="G21" s="3261"/>
      <c r="H21" s="2359"/>
      <c r="I21" s="783"/>
      <c r="J21" s="69"/>
      <c r="K21" s="805"/>
      <c r="L21" s="774" t="s">
        <v>1757</v>
      </c>
      <c r="M21" s="775">
        <f ca="1">INDIRECT("'数据-取费表'!r"&amp;$G$1)</f>
        <v>23300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71</v>
      </c>
      <c r="K22" s="2337" t="s">
        <v>1760</v>
      </c>
      <c r="L22" s="774" t="s">
        <v>1738</v>
      </c>
      <c r="M22" s="806">
        <f ca="1">INDIRECT("'数据-取费表'!Ak"&amp;$G$1)</f>
        <v>1.4999999999999999E-2</v>
      </c>
    </row>
    <row r="23" spans="1:33" s="1947" customFormat="1" ht="18" customHeight="1">
      <c r="A23" s="1577" t="s">
        <v>1822</v>
      </c>
      <c r="B23" s="774" t="s">
        <v>2517</v>
      </c>
      <c r="C23" s="53">
        <f ca="1">ROUND(IF('数据-取费表'!B22&lt;=1,(C19+C20)*F24*F23/2,(C19+C20)*(POWER((1+F24),F23/2)-1)),0)</f>
        <v>98</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-114</v>
      </c>
      <c r="K25" s="2401" t="s">
        <v>1768</v>
      </c>
      <c r="L25" s="2402"/>
      <c r="M25" s="2403"/>
    </row>
    <row r="26" spans="1:33" ht="18" customHeight="1">
      <c r="A26" s="1577" t="s">
        <v>1822</v>
      </c>
      <c r="B26" s="774" t="s">
        <v>2422</v>
      </c>
      <c r="C26" s="53">
        <f ca="1">ROUND((C19+C20)*F26,0)</f>
        <v>208</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5.0000000000000001E-4</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4766</v>
      </c>
      <c r="D29" s="2398"/>
      <c r="E29" s="2399"/>
      <c r="F29" s="2400"/>
      <c r="G29" s="3261"/>
      <c r="H29" s="812" t="s">
        <v>1778</v>
      </c>
      <c r="I29" s="813" t="s">
        <v>1779</v>
      </c>
      <c r="J29" s="814">
        <f ca="1">ROUND(J26/(1+F40)^F41,0)</f>
        <v>0</v>
      </c>
      <c r="K29" s="815" t="s">
        <v>1780</v>
      </c>
      <c r="L29" s="816"/>
      <c r="M29" s="817">
        <f ca="1">INDIRECT("'数据-取费表'!k"&amp;$G$1)</f>
        <v>23300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190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ROUND(IF(AND(项目基本情况!B11="自然人",项目基本情况!B10="北京市"),C6*F31/(1+'数据-取费表'!F30),C32+C33+C34),0)</f>
        <v>100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56.8</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3.5</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23300</v>
      </c>
      <c r="G35" s="1945"/>
      <c r="H35" s="1948"/>
      <c r="I35" s="826" t="s">
        <v>1805</v>
      </c>
      <c r="J35" s="827">
        <f ca="1">ROUND(C13*J36,0)</f>
        <v>381</v>
      </c>
      <c r="K35" s="1961"/>
      <c r="L35" s="1960"/>
      <c r="M35" s="1960"/>
    </row>
    <row r="36" spans="1:18" ht="18" customHeight="1">
      <c r="A36" s="1578" t="s">
        <v>1880</v>
      </c>
      <c r="B36" s="774" t="s">
        <v>1793</v>
      </c>
      <c r="C36" s="53">
        <f ca="1">ROUND(C29*F36,1)</f>
        <v>71.5</v>
      </c>
      <c r="D36" s="1891" t="s">
        <v>1794</v>
      </c>
      <c r="E36" s="774" t="s">
        <v>1787</v>
      </c>
      <c r="F36" s="806">
        <f ca="1">INDIRECT("'数据-取费表'!Ak"&amp;$G$1)</f>
        <v>1.4999999999999999E-2</v>
      </c>
      <c r="G36" s="1945"/>
      <c r="H36" s="1960"/>
      <c r="I36" s="828" t="s">
        <v>1806</v>
      </c>
      <c r="J36" s="829">
        <f ca="1">INDIRECT("'数据-取费表'!j"&amp;$G$1)</f>
        <v>0.08</v>
      </c>
      <c r="K36" s="1964"/>
      <c r="L36" s="1960"/>
      <c r="M36" s="1960"/>
    </row>
    <row r="37" spans="1:18" ht="18" customHeight="1">
      <c r="A37" s="1578" t="s">
        <v>1881</v>
      </c>
      <c r="B37" s="774" t="s">
        <v>673</v>
      </c>
      <c r="C37" s="53">
        <f ca="1">ROUND(C13*F37,1)</f>
        <v>7.1</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10.9</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895</v>
      </c>
      <c r="D39" s="2401" t="s">
        <v>1797</v>
      </c>
      <c r="E39" s="2402"/>
      <c r="F39" s="2403"/>
      <c r="G39" s="1945"/>
      <c r="H39" s="1960"/>
      <c r="I39" s="826" t="s">
        <v>1809</v>
      </c>
      <c r="J39" s="834">
        <f ca="1">ROUND(J35/C39,3)</f>
        <v>0.42599999999999999</v>
      </c>
      <c r="K39" s="1965"/>
      <c r="L39" s="1960"/>
      <c r="M39" s="1960"/>
    </row>
    <row r="40" spans="1:18" ht="18" customHeight="1">
      <c r="A40" s="771" t="s">
        <v>1886</v>
      </c>
      <c r="B40" s="2112" t="s">
        <v>2289</v>
      </c>
      <c r="C40" s="773">
        <f ca="1">ROUND(C39*(1-((1+F42)/(1+F40))^F41)/(F40-F42),0)</f>
        <v>27801</v>
      </c>
      <c r="D40" s="803" t="s">
        <v>1798</v>
      </c>
      <c r="E40" s="774" t="s">
        <v>2404</v>
      </c>
      <c r="F40" s="784">
        <f ca="1">INDIRECT("'数据-取费表'!I"&amp;$G$1)</f>
        <v>0.04</v>
      </c>
      <c r="G40" s="1945"/>
      <c r="H40" s="1945"/>
      <c r="I40" s="826" t="s">
        <v>1810</v>
      </c>
      <c r="J40" s="834">
        <f ca="1">1-J39</f>
        <v>0.57400000000000007</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0.17100000000000001</v>
      </c>
      <c r="K42" s="1964"/>
      <c r="L42" s="1900"/>
      <c r="M42" s="1900"/>
    </row>
    <row r="43" spans="1:18" ht="18" customHeight="1" thickBot="1">
      <c r="A43" s="812" t="s">
        <v>1778</v>
      </c>
      <c r="B43" s="813" t="s">
        <v>1801</v>
      </c>
      <c r="C43" s="814">
        <f ca="1">ROUND(C40*10000/F43,0)</f>
        <v>11932</v>
      </c>
      <c r="D43" s="815" t="s">
        <v>1802</v>
      </c>
      <c r="E43" s="816" t="s">
        <v>1803</v>
      </c>
      <c r="F43" s="817">
        <f ca="1">INDIRECT("'数据-取费表'!k"&amp;$G$1)</f>
        <v>23300</v>
      </c>
      <c r="G43" s="1945"/>
      <c r="H43" s="1900"/>
      <c r="I43" s="836" t="s">
        <v>1813</v>
      </c>
      <c r="J43" s="837">
        <f ca="1">1-J42</f>
        <v>0.82899999999999996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-30443</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3019</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50</v>
      </c>
      <c r="M48" s="3263"/>
      <c r="O48" s="2253" t="s">
        <v>2364</v>
      </c>
      <c r="P48" s="2254" t="s">
        <v>2390</v>
      </c>
      <c r="Q48" s="2255">
        <f ca="1">C40+J29</f>
        <v>27801</v>
      </c>
      <c r="R48" s="2254" t="s">
        <v>2365</v>
      </c>
    </row>
    <row r="49" spans="1:18" s="1942" customFormat="1" ht="18" customHeight="1" thickBot="1">
      <c r="A49" s="776"/>
      <c r="B49" s="777"/>
      <c r="C49" s="778"/>
      <c r="D49" s="779"/>
      <c r="E49" s="774" t="s">
        <v>1730</v>
      </c>
      <c r="F49" s="775">
        <f ca="1">F7</f>
        <v>23300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4766</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12050</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3603" t="s">
        <v>2931</v>
      </c>
      <c r="L53" s="3604"/>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27801</v>
      </c>
      <c r="R54" s="2258" t="s">
        <v>2377</v>
      </c>
    </row>
    <row r="55" spans="1:18" s="1942" customFormat="1" ht="18" customHeight="1" thickTop="1" thickBot="1">
      <c r="A55" s="787">
        <v>2</v>
      </c>
      <c r="B55" s="788" t="s">
        <v>638</v>
      </c>
      <c r="C55" s="789">
        <f ca="1">C13</f>
        <v>4766</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4766</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123</v>
      </c>
      <c r="D57" s="26" t="s">
        <v>1741</v>
      </c>
      <c r="E57" s="2482"/>
      <c r="F57" s="56"/>
      <c r="I57" s="2819" t="s">
        <v>2343</v>
      </c>
      <c r="J57" s="2820" t="str">
        <f ca="1">IF(OR(M47="住宅",J51&lt;L48,J56="是"),"——",J51-L48)</f>
        <v>——</v>
      </c>
      <c r="K57" s="2799" t="s">
        <v>2348</v>
      </c>
      <c r="L57" s="1822">
        <f ca="1">IF(L48&lt;J51,"——",IF(L55="比较法",L49,IF(L55="基准地价",L50,L51)))</f>
        <v>12050</v>
      </c>
      <c r="M57" s="3263"/>
      <c r="O57" s="2253" t="s">
        <v>2364</v>
      </c>
      <c r="P57" s="2254" t="s">
        <v>2394</v>
      </c>
      <c r="Q57" s="2255">
        <f ca="1">C40+J29</f>
        <v>27801</v>
      </c>
      <c r="R57" s="2254" t="s">
        <v>2365</v>
      </c>
    </row>
    <row r="58" spans="1:18" s="1942" customFormat="1" ht="28.5" customHeight="1" thickBot="1">
      <c r="A58" s="1578" t="s">
        <v>1815</v>
      </c>
      <c r="B58" s="774" t="s">
        <v>650</v>
      </c>
      <c r="C58" s="3019">
        <f ca="1">ROUND(IF(AND(项目基本情况!B11="自然人",项目基本情况!B10="北京市"),C48*F58/(1+'数据-取费表'!F30),C59+C60+C61),0)</f>
        <v>44</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40</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3.5</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23300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71.5</v>
      </c>
      <c r="D63" s="2481" t="s">
        <v>1794</v>
      </c>
      <c r="E63" s="774" t="s">
        <v>1738</v>
      </c>
      <c r="F63" s="806">
        <f t="shared" ca="1" si="0"/>
        <v>1.4999999999999999E-2</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7.1</v>
      </c>
      <c r="D64" s="2481" t="s">
        <v>674</v>
      </c>
      <c r="E64" s="774" t="s">
        <v>1738</v>
      </c>
      <c r="F64" s="807">
        <f t="shared" ca="1" si="0"/>
        <v>1.5E-3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-123</v>
      </c>
      <c r="D66" s="2480" t="s">
        <v>694</v>
      </c>
      <c r="E66" s="2479"/>
      <c r="F66" s="809"/>
      <c r="K66" s="1968"/>
      <c r="O66" s="2253" t="s">
        <v>2364</v>
      </c>
      <c r="P66" s="2254" t="s">
        <v>2394</v>
      </c>
      <c r="Q66" s="2255">
        <f ca="1">C40+J29</f>
        <v>27801</v>
      </c>
      <c r="R66" s="2254" t="s">
        <v>2365</v>
      </c>
    </row>
    <row r="67" spans="1:18" s="1942" customFormat="1" ht="20.25" thickBot="1">
      <c r="A67" s="771" t="s">
        <v>1771</v>
      </c>
      <c r="B67" s="2112" t="s">
        <v>2289</v>
      </c>
      <c r="C67" s="773">
        <f ca="1">ROUND(C66*(1-((1+F69)/(1+F67))^F68)/(F67-F69),0)</f>
        <v>-2642</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12050</v>
      </c>
      <c r="R68" s="2261" t="s">
        <v>2401</v>
      </c>
    </row>
    <row r="69" spans="1:18" ht="20.25" thickBot="1">
      <c r="A69" s="780"/>
      <c r="B69" s="781"/>
      <c r="C69" s="782"/>
      <c r="D69" s="805"/>
      <c r="E69" s="774" t="s">
        <v>704</v>
      </c>
      <c r="F69" s="2226"/>
      <c r="O69" s="2256" t="s">
        <v>2369</v>
      </c>
      <c r="P69" s="2262" t="s">
        <v>2383</v>
      </c>
      <c r="Q69" s="2255">
        <f ca="1">ROUND(Q70-Q71*Q72,0)</f>
        <v>514</v>
      </c>
      <c r="R69" s="2258"/>
    </row>
    <row r="70" spans="1:18" ht="15.75" thickBot="1">
      <c r="A70" s="812" t="s">
        <v>1778</v>
      </c>
      <c r="B70" s="813" t="s">
        <v>1801</v>
      </c>
      <c r="C70" s="814">
        <f ca="1">ROUND(C67*10000/F70,0)</f>
        <v>-1134</v>
      </c>
      <c r="D70" s="815" t="s">
        <v>1802</v>
      </c>
      <c r="E70" s="816" t="s">
        <v>1803</v>
      </c>
      <c r="F70" s="817">
        <f ca="1">F43</f>
        <v>23300</v>
      </c>
      <c r="O70" s="2256" t="s">
        <v>2384</v>
      </c>
      <c r="P70" s="2262" t="s">
        <v>2385</v>
      </c>
      <c r="Q70" s="2255">
        <f ca="1">C39</f>
        <v>895</v>
      </c>
      <c r="R70" s="2254" t="s">
        <v>2365</v>
      </c>
    </row>
    <row r="71" spans="1:18" ht="15.75" thickBot="1">
      <c r="O71" s="2256" t="s">
        <v>2386</v>
      </c>
      <c r="P71" s="2262" t="s">
        <v>2387</v>
      </c>
      <c r="Q71" s="2255">
        <f ca="1">C13</f>
        <v>4766</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1" t="s">
        <v>2453</v>
      </c>
      <c r="B1" s="3622"/>
      <c r="C1" s="3623"/>
      <c r="D1" s="3624">
        <f>SUM(I10,I15,I20,I21,I23)</f>
        <v>0</v>
      </c>
      <c r="E1" s="3624"/>
      <c r="F1" s="3624"/>
      <c r="G1" s="3624"/>
      <c r="H1" s="3624"/>
      <c r="I1" s="3625"/>
    </row>
    <row r="2" spans="1:9">
      <c r="A2" s="3611" t="s">
        <v>2454</v>
      </c>
      <c r="B2" s="3612" t="s">
        <v>2455</v>
      </c>
      <c r="C2" s="3612"/>
      <c r="D2" s="2360" t="s">
        <v>2456</v>
      </c>
      <c r="E2" s="2360" t="s">
        <v>2457</v>
      </c>
      <c r="F2" s="2360" t="s">
        <v>2458</v>
      </c>
      <c r="G2" s="2360" t="s">
        <v>2459</v>
      </c>
      <c r="H2" s="2360" t="s">
        <v>2460</v>
      </c>
      <c r="I2" s="2361" t="s">
        <v>2461</v>
      </c>
    </row>
    <row r="3" spans="1:9">
      <c r="A3" s="3611"/>
      <c r="B3" s="3612" t="s">
        <v>2462</v>
      </c>
      <c r="C3" s="3612"/>
      <c r="D3" s="2362"/>
      <c r="E3" s="2360"/>
      <c r="F3" s="2363"/>
      <c r="G3" s="2363"/>
      <c r="H3" s="2364"/>
      <c r="I3" s="2365">
        <f>ROUND(D3*E3*F3*G3*H3/10000,0)</f>
        <v>0</v>
      </c>
    </row>
    <row r="4" spans="1:9">
      <c r="A4" s="3611"/>
      <c r="B4" s="3612" t="s">
        <v>2463</v>
      </c>
      <c r="C4" s="3612"/>
      <c r="D4" s="2362"/>
      <c r="E4" s="2360"/>
      <c r="F4" s="2363"/>
      <c r="G4" s="2363"/>
      <c r="H4" s="2364"/>
      <c r="I4" s="2365">
        <f t="shared" ref="I4:I9" si="0">ROUND(D4*E4*F4*G4*H4/10000,0)</f>
        <v>0</v>
      </c>
    </row>
    <row r="5" spans="1:9">
      <c r="A5" s="3611"/>
      <c r="B5" s="3612" t="s">
        <v>2464</v>
      </c>
      <c r="C5" s="3612"/>
      <c r="D5" s="2362"/>
      <c r="E5" s="2360"/>
      <c r="F5" s="2363"/>
      <c r="G5" s="2363"/>
      <c r="H5" s="2364"/>
      <c r="I5" s="2365">
        <f t="shared" si="0"/>
        <v>0</v>
      </c>
    </row>
    <row r="6" spans="1:9">
      <c r="A6" s="3611"/>
      <c r="B6" s="3612" t="s">
        <v>2465</v>
      </c>
      <c r="C6" s="3612"/>
      <c r="D6" s="2362"/>
      <c r="E6" s="2360"/>
      <c r="F6" s="2363"/>
      <c r="G6" s="2363"/>
      <c r="H6" s="2364"/>
      <c r="I6" s="2365">
        <f t="shared" si="0"/>
        <v>0</v>
      </c>
    </row>
    <row r="7" spans="1:9">
      <c r="A7" s="3611"/>
      <c r="B7" s="3612" t="s">
        <v>2466</v>
      </c>
      <c r="C7" s="3612"/>
      <c r="D7" s="2362"/>
      <c r="E7" s="2360"/>
      <c r="F7" s="2363"/>
      <c r="G7" s="2363"/>
      <c r="H7" s="2364"/>
      <c r="I7" s="2365">
        <f t="shared" si="0"/>
        <v>0</v>
      </c>
    </row>
    <row r="8" spans="1:9">
      <c r="A8" s="3611"/>
      <c r="B8" s="3612" t="s">
        <v>2467</v>
      </c>
      <c r="C8" s="3612"/>
      <c r="D8" s="2362"/>
      <c r="E8" s="2360"/>
      <c r="F8" s="2363"/>
      <c r="G8" s="2363"/>
      <c r="H8" s="2364"/>
      <c r="I8" s="2365">
        <f t="shared" si="0"/>
        <v>0</v>
      </c>
    </row>
    <row r="9" spans="1:9">
      <c r="A9" s="3611"/>
      <c r="B9" s="3612" t="s">
        <v>2468</v>
      </c>
      <c r="C9" s="3612"/>
      <c r="D9" s="2362"/>
      <c r="E9" s="2360"/>
      <c r="F9" s="2363"/>
      <c r="G9" s="2363"/>
      <c r="H9" s="2364"/>
      <c r="I9" s="2365">
        <f t="shared" si="0"/>
        <v>0</v>
      </c>
    </row>
    <row r="10" spans="1:9">
      <c r="A10" s="3611"/>
      <c r="B10" s="3613" t="s">
        <v>2469</v>
      </c>
      <c r="C10" s="3613"/>
      <c r="D10" s="2366">
        <v>527</v>
      </c>
      <c r="E10" s="2366" t="e">
        <f>ROUND(D1*10000/D10/H9,0)</f>
        <v>#DIV/0!</v>
      </c>
      <c r="F10" s="2367"/>
      <c r="G10" s="2367"/>
      <c r="H10" s="2368"/>
      <c r="I10" s="2369">
        <f>SUM(I3:I9)</f>
        <v>0</v>
      </c>
    </row>
    <row r="11" spans="1:9" ht="14.25">
      <c r="A11" s="3611" t="s">
        <v>2470</v>
      </c>
      <c r="B11" s="3612" t="s">
        <v>2471</v>
      </c>
      <c r="C11" s="3612"/>
      <c r="D11" s="2362" t="s">
        <v>2472</v>
      </c>
      <c r="E11" s="2362" t="s">
        <v>2473</v>
      </c>
      <c r="F11" s="2363" t="s">
        <v>2474</v>
      </c>
      <c r="G11" s="2363" t="s">
        <v>2475</v>
      </c>
      <c r="H11" s="2370" t="s">
        <v>2476</v>
      </c>
      <c r="I11" s="2361" t="s">
        <v>2477</v>
      </c>
    </row>
    <row r="12" spans="1:9">
      <c r="A12" s="3611"/>
      <c r="B12" s="3612" t="s">
        <v>2478</v>
      </c>
      <c r="C12" s="3612"/>
      <c r="D12" s="2362"/>
      <c r="E12" s="2362"/>
      <c r="F12" s="2363"/>
      <c r="G12" s="2364"/>
      <c r="H12" s="2371"/>
      <c r="I12" s="2361">
        <f>ROUND(D12*E12*F12*G12/10000,0)</f>
        <v>0</v>
      </c>
    </row>
    <row r="13" spans="1:9">
      <c r="A13" s="3611"/>
      <c r="B13" s="3612" t="s">
        <v>2479</v>
      </c>
      <c r="C13" s="3612"/>
      <c r="D13" s="2362"/>
      <c r="E13" s="2362"/>
      <c r="F13" s="2363"/>
      <c r="G13" s="2364"/>
      <c r="H13" s="2371"/>
      <c r="I13" s="2361">
        <f>ROUND(D13*E13*F13*G13/10000,0)</f>
        <v>0</v>
      </c>
    </row>
    <row r="14" spans="1:9">
      <c r="A14" s="3611"/>
      <c r="B14" s="3612" t="s">
        <v>2480</v>
      </c>
      <c r="C14" s="3612"/>
      <c r="D14" s="2362"/>
      <c r="E14" s="2362"/>
      <c r="F14" s="2363"/>
      <c r="G14" s="2364"/>
      <c r="H14" s="2371"/>
      <c r="I14" s="2361">
        <f>ROUND(D14*E14*F14*G14/10000,0)</f>
        <v>0</v>
      </c>
    </row>
    <row r="15" spans="1:9">
      <c r="A15" s="3611"/>
      <c r="B15" s="3613" t="s">
        <v>2469</v>
      </c>
      <c r="C15" s="3613"/>
      <c r="D15" s="2366"/>
      <c r="E15" s="2366">
        <f>SUM(E12:E14)</f>
        <v>0</v>
      </c>
      <c r="F15" s="2367"/>
      <c r="G15" s="2364"/>
      <c r="H15" s="2371"/>
      <c r="I15" s="2372">
        <f>SUM(I12:I14)</f>
        <v>0</v>
      </c>
    </row>
    <row r="16" spans="1:9" ht="24">
      <c r="A16" s="3611" t="s">
        <v>2481</v>
      </c>
      <c r="B16" s="3612" t="s">
        <v>2482</v>
      </c>
      <c r="C16" s="3612"/>
      <c r="D16" s="2362" t="s">
        <v>2483</v>
      </c>
      <c r="E16" s="2373" t="s">
        <v>2484</v>
      </c>
      <c r="F16" s="2363" t="s">
        <v>2485</v>
      </c>
      <c r="G16" s="2364" t="s">
        <v>2475</v>
      </c>
      <c r="H16" s="2370" t="s">
        <v>2476</v>
      </c>
      <c r="I16" s="2361" t="s">
        <v>2477</v>
      </c>
    </row>
    <row r="17" spans="1:9" ht="14.25">
      <c r="A17" s="3611"/>
      <c r="B17" s="3612" t="s">
        <v>2486</v>
      </c>
      <c r="C17" s="3612"/>
      <c r="D17" s="2362"/>
      <c r="E17" s="2362"/>
      <c r="F17" s="2363"/>
      <c r="G17" s="2364"/>
      <c r="H17" s="2374"/>
      <c r="I17" s="2375">
        <f>ROUND(D17*E17*F17*G17/10000,0)</f>
        <v>0</v>
      </c>
    </row>
    <row r="18" spans="1:9" ht="14.25">
      <c r="A18" s="3611"/>
      <c r="B18" s="3612" t="s">
        <v>2487</v>
      </c>
      <c r="C18" s="3612"/>
      <c r="D18" s="2362"/>
      <c r="E18" s="2362"/>
      <c r="F18" s="2363"/>
      <c r="G18" s="2364"/>
      <c r="H18" s="2374"/>
      <c r="I18" s="2375">
        <f>ROUND(D18*E18*F18*G18/10000,0)</f>
        <v>0</v>
      </c>
    </row>
    <row r="19" spans="1:9" ht="14.25">
      <c r="A19" s="3611"/>
      <c r="B19" s="3612" t="s">
        <v>2488</v>
      </c>
      <c r="C19" s="3612"/>
      <c r="D19" s="2362"/>
      <c r="E19" s="2362"/>
      <c r="F19" s="2363"/>
      <c r="G19" s="2364"/>
      <c r="H19" s="2374"/>
      <c r="I19" s="2375">
        <f>ROUND(D19*E19*F19*G19/10000,0)</f>
        <v>0</v>
      </c>
    </row>
    <row r="20" spans="1:9">
      <c r="A20" s="3611"/>
      <c r="B20" s="3613" t="s">
        <v>2469</v>
      </c>
      <c r="C20" s="3613"/>
      <c r="D20" s="2366">
        <f>SUM(D17:D19)</f>
        <v>0</v>
      </c>
      <c r="E20" s="2366"/>
      <c r="F20" s="2367"/>
      <c r="G20" s="2364"/>
      <c r="H20" s="2371"/>
      <c r="I20" s="2372">
        <f>SUM(I17:I19)</f>
        <v>0</v>
      </c>
    </row>
    <row r="21" spans="1:9">
      <c r="A21" s="3611" t="s">
        <v>2489</v>
      </c>
      <c r="B21" s="3614"/>
      <c r="C21" s="3614"/>
      <c r="D21" s="3614"/>
      <c r="E21" s="3614"/>
      <c r="F21" s="3614"/>
      <c r="G21" s="3614"/>
      <c r="H21" s="2376">
        <v>0.1</v>
      </c>
      <c r="I21" s="2369">
        <f>ROUND(I10*H21,0)</f>
        <v>0</v>
      </c>
    </row>
    <row r="22" spans="1:9" ht="14.25">
      <c r="A22" s="3615" t="s">
        <v>2490</v>
      </c>
      <c r="B22" s="3616"/>
      <c r="C22" s="3617"/>
      <c r="D22" s="2377" t="s">
        <v>2491</v>
      </c>
      <c r="E22" s="2377" t="s">
        <v>2492</v>
      </c>
      <c r="F22" s="2378" t="s">
        <v>2493</v>
      </c>
      <c r="G22" s="2378" t="s">
        <v>2494</v>
      </c>
      <c r="H22" s="2370" t="s">
        <v>2495</v>
      </c>
      <c r="I22" s="2361" t="s">
        <v>2496</v>
      </c>
    </row>
    <row r="23" spans="1:9" ht="14.25" thickBot="1">
      <c r="A23" s="3618"/>
      <c r="B23" s="3619"/>
      <c r="C23" s="3620"/>
      <c r="D23" s="2379"/>
      <c r="E23" s="2379"/>
      <c r="F23" s="2379"/>
      <c r="G23" s="2380"/>
      <c r="H23" s="2381"/>
      <c r="I23" s="2382">
        <f>ROUND(E23*D23*F23*(1-G23)/10000,0)</f>
        <v>0</v>
      </c>
    </row>
    <row r="26" spans="1:9">
      <c r="A26" s="2383" t="s">
        <v>2497</v>
      </c>
      <c r="B26" s="2383"/>
      <c r="C26" s="2383"/>
      <c r="D26" s="2383"/>
      <c r="E26" s="3608">
        <f>C27-C30-C31-C32</f>
        <v>0</v>
      </c>
      <c r="F26" s="3608"/>
      <c r="G26" s="3608"/>
      <c r="H26" s="2756" t="s">
        <v>2822</v>
      </c>
    </row>
    <row r="27" spans="1:9">
      <c r="A27" s="2384">
        <v>1</v>
      </c>
      <c r="B27" s="2385" t="s">
        <v>2498</v>
      </c>
      <c r="C27" s="2385"/>
      <c r="D27" s="2385"/>
      <c r="E27" s="3609"/>
      <c r="F27" s="3609"/>
      <c r="G27" s="3609"/>
    </row>
    <row r="28" spans="1:9">
      <c r="A28" s="2386" t="s">
        <v>2499</v>
      </c>
      <c r="B28" s="2385" t="s">
        <v>2500</v>
      </c>
      <c r="C28" s="2385"/>
      <c r="D28" s="2385"/>
      <c r="E28" s="3609"/>
      <c r="F28" s="3609"/>
      <c r="G28" s="360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0"/>
      <c r="F32" s="3610"/>
      <c r="G32" s="3610"/>
    </row>
    <row r="33" spans="1:7" hidden="1">
      <c r="A33" s="3605" t="s">
        <v>2508</v>
      </c>
      <c r="B33" s="3606"/>
      <c r="C33" s="3606"/>
      <c r="D33" s="3607"/>
      <c r="E33" s="3608"/>
      <c r="F33" s="3608"/>
      <c r="G33" s="3608"/>
    </row>
    <row r="34" spans="1:7" hidden="1">
      <c r="A34" s="2388">
        <v>1</v>
      </c>
      <c r="B34" s="2385" t="s">
        <v>2509</v>
      </c>
      <c r="C34" s="2385"/>
      <c r="D34" s="2385"/>
      <c r="E34" s="3609"/>
      <c r="F34" s="3609"/>
      <c r="G34" s="3609"/>
    </row>
    <row r="35" spans="1:7" hidden="1">
      <c r="A35" s="2388">
        <v>2</v>
      </c>
      <c r="B35" s="2385" t="s">
        <v>2510</v>
      </c>
      <c r="C35" s="2385"/>
      <c r="D35" s="2385"/>
      <c r="E35" s="3609"/>
      <c r="F35" s="3609"/>
      <c r="G35" s="3609"/>
    </row>
    <row r="36" spans="1:7" hidden="1">
      <c r="A36" s="2388">
        <v>3</v>
      </c>
      <c r="B36" s="2385" t="s">
        <v>2511</v>
      </c>
      <c r="C36" s="2385"/>
      <c r="D36" s="2385"/>
      <c r="E36" s="3609"/>
      <c r="F36" s="3609"/>
      <c r="G36" s="3609"/>
    </row>
    <row r="37" spans="1:7" hidden="1">
      <c r="A37" s="2388">
        <v>4</v>
      </c>
      <c r="B37" s="2385" t="s">
        <v>2512</v>
      </c>
      <c r="C37" s="2385"/>
      <c r="D37" s="2385"/>
      <c r="E37" s="3609"/>
      <c r="F37" s="3609"/>
      <c r="G37" s="3609"/>
    </row>
    <row r="38" spans="1:7" hidden="1">
      <c r="A38" s="3605" t="s">
        <v>2513</v>
      </c>
      <c r="B38" s="3606"/>
      <c r="C38" s="3606"/>
      <c r="D38" s="3607"/>
      <c r="E38" s="3608"/>
      <c r="F38" s="3608"/>
      <c r="G38" s="36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9" sqref="E9"/>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9896</v>
      </c>
      <c r="C2" s="3268"/>
      <c r="D2" s="3268"/>
      <c r="E2" s="3268"/>
      <c r="F2" s="3268"/>
      <c r="G2" s="3268"/>
    </row>
    <row r="3" spans="1:25" s="1942" customFormat="1" ht="18" customHeight="1">
      <c r="A3" s="1331" t="s">
        <v>1676</v>
      </c>
      <c r="B3" s="419">
        <f ca="1">ROUND(B2*10000/'数据-汇总表'!E3,0)</f>
        <v>4247</v>
      </c>
      <c r="C3" s="3268"/>
      <c r="D3" s="3268"/>
      <c r="E3" s="3268"/>
      <c r="F3" s="3268"/>
      <c r="G3" s="3268"/>
    </row>
    <row r="4" spans="1:25" s="1942" customFormat="1" ht="18" customHeight="1">
      <c r="A4" s="420" t="s">
        <v>462</v>
      </c>
      <c r="B4" s="421">
        <f ca="1">ROUND(B2*10000/'数据-汇总表'!D3,0)</f>
        <v>4247</v>
      </c>
      <c r="C4" s="3221"/>
      <c r="D4" s="3268"/>
      <c r="E4" s="3268"/>
      <c r="F4" s="3268"/>
      <c r="G4" s="3268"/>
    </row>
    <row r="5" spans="1:25" s="1942" customFormat="1" ht="18" customHeight="1" thickBot="1">
      <c r="A5" s="423"/>
      <c r="B5" s="424">
        <f ca="1">ROUND(B2/('数据-汇总表'!D3/666.67),0)</f>
        <v>283</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9233</v>
      </c>
      <c r="D7" s="740"/>
      <c r="E7" s="741"/>
      <c r="F7" s="741"/>
      <c r="G7" s="2332" t="s">
        <v>3185</v>
      </c>
    </row>
    <row r="8" spans="1:25" s="2064" customFormat="1" ht="13.5" customHeight="1">
      <c r="A8" s="2323" t="s">
        <v>2423</v>
      </c>
      <c r="B8" s="2326" t="s">
        <v>2425</v>
      </c>
      <c r="C8" s="3271">
        <f t="shared" ref="C8:C9" si="0">ROUND(D8*E8/10000,0)</f>
        <v>9233</v>
      </c>
      <c r="D8" s="3271">
        <f>'数据-基础表'!A3</f>
        <v>23300</v>
      </c>
      <c r="E8" s="3272">
        <f>'土地案例 (自来水)'!P15</f>
        <v>3962.5411932959341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466</v>
      </c>
      <c r="D13" s="3271">
        <f>'数据-汇总表'!E6</f>
        <v>23300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201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462</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9896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9896</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9896</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9896</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28" t="s">
        <v>516</v>
      </c>
      <c r="D4" s="3529"/>
      <c r="E4" s="3553" t="s">
        <v>517</v>
      </c>
      <c r="F4" s="3554"/>
      <c r="G4" s="3528" t="s">
        <v>518</v>
      </c>
      <c r="H4" s="3529"/>
      <c r="I4" s="3528" t="s">
        <v>519</v>
      </c>
      <c r="J4" s="3529"/>
      <c r="K4" s="842"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11" t="s">
        <v>518</v>
      </c>
      <c r="AC4" s="3511" t="s">
        <v>519</v>
      </c>
    </row>
    <row r="5" spans="1:29" ht="15">
      <c r="A5" s="509"/>
      <c r="B5" s="510"/>
      <c r="C5" s="3539" t="s">
        <v>2897</v>
      </c>
      <c r="D5" s="3540"/>
      <c r="E5" s="3555" t="s">
        <v>2898</v>
      </c>
      <c r="F5" s="3556"/>
      <c r="G5" s="3539" t="s">
        <v>2899</v>
      </c>
      <c r="H5" s="3540"/>
      <c r="I5" s="3539" t="s">
        <v>2900</v>
      </c>
      <c r="J5" s="3540"/>
      <c r="K5" s="843"/>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843"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14" t="s">
        <v>524</v>
      </c>
      <c r="Q7" s="3523"/>
      <c r="R7" s="1503" t="s">
        <v>13</v>
      </c>
      <c r="S7" s="1504">
        <f t="shared" ref="S7:S15" si="0">F7</f>
        <v>0</v>
      </c>
      <c r="T7" s="1503" t="s">
        <v>13</v>
      </c>
      <c r="U7" s="1504">
        <f t="shared" ref="U7:U15" si="1">H7</f>
        <v>0</v>
      </c>
      <c r="V7" s="1503" t="s">
        <v>13</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14" t="s">
        <v>527</v>
      </c>
      <c r="Q8" s="3515"/>
      <c r="R8" s="1503" t="s">
        <v>13</v>
      </c>
      <c r="S8" s="1504">
        <f t="shared" si="0"/>
        <v>0</v>
      </c>
      <c r="T8" s="1503" t="s">
        <v>13</v>
      </c>
      <c r="U8" s="1504">
        <f t="shared" si="1"/>
        <v>0</v>
      </c>
      <c r="V8" s="1503" t="s">
        <v>13</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22"/>
      <c r="Q11" s="1134" t="str">
        <f t="shared" si="6"/>
        <v>容积率</v>
      </c>
      <c r="R11" s="1503" t="s">
        <v>11</v>
      </c>
      <c r="S11" s="1504" t="e">
        <f t="shared" si="0"/>
        <v>#N/A</v>
      </c>
      <c r="T11" s="1503" t="s">
        <v>11</v>
      </c>
      <c r="U11" s="1504" t="e">
        <f t="shared" si="1"/>
        <v>#N/A</v>
      </c>
      <c r="V11" s="1503" t="s">
        <v>11</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2"/>
      <c r="Q12" s="1134">
        <f t="shared" si="6"/>
        <v>111</v>
      </c>
      <c r="R12" s="1503" t="s">
        <v>11</v>
      </c>
      <c r="S12" s="1504">
        <f t="shared" si="0"/>
        <v>100</v>
      </c>
      <c r="T12" s="1503" t="s">
        <v>11</v>
      </c>
      <c r="U12" s="1504">
        <f t="shared" si="1"/>
        <v>100</v>
      </c>
      <c r="V12" s="1503" t="s">
        <v>11</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2"/>
      <c r="Q13" s="1134">
        <f t="shared" si="6"/>
        <v>111</v>
      </c>
      <c r="R13" s="1503" t="s">
        <v>11</v>
      </c>
      <c r="S13" s="1504">
        <f t="shared" si="0"/>
        <v>100</v>
      </c>
      <c r="T13" s="1503" t="s">
        <v>11</v>
      </c>
      <c r="U13" s="1504">
        <f t="shared" si="1"/>
        <v>100</v>
      </c>
      <c r="V13" s="1503" t="s">
        <v>11</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2"/>
      <c r="Q14" s="1134">
        <f t="shared" si="6"/>
        <v>111</v>
      </c>
      <c r="R14" s="1503" t="s">
        <v>11</v>
      </c>
      <c r="S14" s="1504">
        <f t="shared" si="0"/>
        <v>100</v>
      </c>
      <c r="T14" s="1503" t="s">
        <v>11</v>
      </c>
      <c r="U14" s="1504">
        <f t="shared" si="1"/>
        <v>100</v>
      </c>
      <c r="V14" s="1503" t="s">
        <v>11</v>
      </c>
      <c r="W14" s="1504">
        <f t="shared" si="2"/>
        <v>100</v>
      </c>
      <c r="X14" s="1505"/>
      <c r="Y14" s="347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24" t="s">
        <v>534</v>
      </c>
      <c r="Q15" s="1507" t="str">
        <f t="shared" si="6"/>
        <v>居住社区成熟度</v>
      </c>
      <c r="R15" s="1508" t="s">
        <v>11</v>
      </c>
      <c r="S15" s="1509">
        <f t="shared" si="0"/>
        <v>100</v>
      </c>
      <c r="T15" s="1508" t="s">
        <v>11</v>
      </c>
      <c r="U15" s="1509">
        <f t="shared" si="1"/>
        <v>100</v>
      </c>
      <c r="V15" s="1508" t="s">
        <v>11</v>
      </c>
      <c r="W15" s="1509">
        <f t="shared" si="2"/>
        <v>100</v>
      </c>
      <c r="X15" s="1502"/>
      <c r="Y15" s="352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25"/>
      <c r="Q17" s="1507" t="str">
        <f>B17</f>
        <v>交通便捷度</v>
      </c>
      <c r="R17" s="1508" t="s">
        <v>11</v>
      </c>
      <c r="S17" s="1509">
        <f>F17</f>
        <v>100</v>
      </c>
      <c r="T17" s="1508" t="s">
        <v>11</v>
      </c>
      <c r="U17" s="1509">
        <f>H17</f>
        <v>100</v>
      </c>
      <c r="V17" s="1508" t="s">
        <v>11</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25"/>
      <c r="Q19" s="1507" t="str">
        <f>B19</f>
        <v>公共配套设施</v>
      </c>
      <c r="R19" s="1508" t="s">
        <v>11</v>
      </c>
      <c r="S19" s="1509">
        <f>F19</f>
        <v>100</v>
      </c>
      <c r="T19" s="1508" t="s">
        <v>11</v>
      </c>
      <c r="U19" s="1509">
        <f>H19</f>
        <v>100</v>
      </c>
      <c r="V19" s="1508" t="s">
        <v>11</v>
      </c>
      <c r="W19" s="1509">
        <f>J19</f>
        <v>100</v>
      </c>
      <c r="X19" s="1502"/>
      <c r="Y19" s="352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25"/>
      <c r="Q21" s="2429" t="str">
        <f>B21</f>
        <v>基础设施水平</v>
      </c>
      <c r="R21" s="1508" t="s">
        <v>11</v>
      </c>
      <c r="S21" s="1509">
        <f>F21</f>
        <v>100</v>
      </c>
      <c r="T21" s="1508" t="s">
        <v>11</v>
      </c>
      <c r="U21" s="1509">
        <f>H21</f>
        <v>100</v>
      </c>
      <c r="V21" s="1508" t="s">
        <v>11</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25"/>
      <c r="Q22" s="2429"/>
      <c r="R22" s="1508"/>
      <c r="S22" s="1509"/>
      <c r="T22" s="1508"/>
      <c r="U22" s="1509"/>
      <c r="V22" s="1508"/>
      <c r="W22" s="1509"/>
      <c r="X22" s="2431"/>
      <c r="Y22" s="352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25"/>
      <c r="Q23" s="1507" t="str">
        <f>B23</f>
        <v>自然及人文环境</v>
      </c>
      <c r="R23" s="1508" t="s">
        <v>11</v>
      </c>
      <c r="S23" s="1509">
        <f>F23</f>
        <v>100</v>
      </c>
      <c r="T23" s="1508" t="s">
        <v>11</v>
      </c>
      <c r="U23" s="1509">
        <f>H23</f>
        <v>100</v>
      </c>
      <c r="V23" s="1508" t="s">
        <v>11</v>
      </c>
      <c r="W23" s="1509">
        <f>J23</f>
        <v>100</v>
      </c>
      <c r="X23" s="1502"/>
      <c r="Y23" s="352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5"/>
      <c r="Q25" s="1507" t="str">
        <f t="shared" ref="Q25:Q46" si="11">B25</f>
        <v>楼层-1</v>
      </c>
      <c r="R25" s="1508" t="s">
        <v>11</v>
      </c>
      <c r="S25" s="1509">
        <f>F25</f>
        <v>100</v>
      </c>
      <c r="T25" s="1508" t="s">
        <v>11</v>
      </c>
      <c r="U25" s="1509">
        <f>H25</f>
        <v>100</v>
      </c>
      <c r="V25" s="1508" t="s">
        <v>11</v>
      </c>
      <c r="W25" s="1509">
        <f>J25</f>
        <v>100</v>
      </c>
      <c r="X25" s="1502"/>
      <c r="Y25" s="352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5"/>
      <c r="Q26" s="1507" t="str">
        <f t="shared" si="11"/>
        <v>朝向</v>
      </c>
      <c r="R26" s="1508" t="s">
        <v>11</v>
      </c>
      <c r="S26" s="1509">
        <f>F26</f>
        <v>100</v>
      </c>
      <c r="T26" s="1508" t="s">
        <v>11</v>
      </c>
      <c r="U26" s="1509">
        <f>H26</f>
        <v>100</v>
      </c>
      <c r="V26" s="1508" t="s">
        <v>11</v>
      </c>
      <c r="W26" s="1509">
        <f>J26</f>
        <v>100</v>
      </c>
      <c r="X26" s="1502"/>
      <c r="Y26" s="352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5"/>
      <c r="Q27" s="1134" t="str">
        <f t="shared" si="11"/>
        <v>道路级别</v>
      </c>
      <c r="R27" s="1503" t="s">
        <v>11</v>
      </c>
      <c r="S27" s="1504">
        <f>F27</f>
        <v>100</v>
      </c>
      <c r="T27" s="1503" t="s">
        <v>11</v>
      </c>
      <c r="U27" s="1504">
        <f>H27</f>
        <v>100</v>
      </c>
      <c r="V27" s="1503" t="s">
        <v>11</v>
      </c>
      <c r="W27" s="1504">
        <f>J27</f>
        <v>100</v>
      </c>
      <c r="X27" s="1505"/>
      <c r="Y27" s="352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2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5"/>
      <c r="Q29" s="1507">
        <f t="shared" si="11"/>
        <v>111</v>
      </c>
      <c r="R29" s="1508" t="s">
        <v>11</v>
      </c>
      <c r="S29" s="1509">
        <f t="shared" si="12"/>
        <v>100</v>
      </c>
      <c r="T29" s="1508" t="s">
        <v>11</v>
      </c>
      <c r="U29" s="1509">
        <f t="shared" si="13"/>
        <v>100</v>
      </c>
      <c r="V29" s="1508" t="s">
        <v>11</v>
      </c>
      <c r="W29" s="1509">
        <f t="shared" si="14"/>
        <v>100</v>
      </c>
      <c r="X29" s="1502"/>
      <c r="Y29" s="352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5"/>
      <c r="Q30" s="1507">
        <f t="shared" si="11"/>
        <v>111</v>
      </c>
      <c r="R30" s="1508" t="s">
        <v>11</v>
      </c>
      <c r="S30" s="1509">
        <f t="shared" si="12"/>
        <v>100</v>
      </c>
      <c r="T30" s="1508" t="s">
        <v>11</v>
      </c>
      <c r="U30" s="1509">
        <f t="shared" si="13"/>
        <v>100</v>
      </c>
      <c r="V30" s="1508" t="s">
        <v>11</v>
      </c>
      <c r="W30" s="1509">
        <f t="shared" si="14"/>
        <v>100</v>
      </c>
      <c r="X30" s="1502"/>
      <c r="Y30" s="352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5"/>
      <c r="Q31" s="1507">
        <f t="shared" si="11"/>
        <v>111</v>
      </c>
      <c r="R31" s="1508" t="s">
        <v>11</v>
      </c>
      <c r="S31" s="1509">
        <f t="shared" si="12"/>
        <v>100</v>
      </c>
      <c r="T31" s="1508" t="s">
        <v>11</v>
      </c>
      <c r="U31" s="1509">
        <f t="shared" si="13"/>
        <v>100</v>
      </c>
      <c r="V31" s="1508" t="s">
        <v>11</v>
      </c>
      <c r="W31" s="1509">
        <f t="shared" si="14"/>
        <v>100</v>
      </c>
      <c r="X31" s="1502"/>
      <c r="Y31" s="352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26" t="s">
        <v>544</v>
      </c>
      <c r="Q32" s="1507" t="str">
        <f t="shared" si="11"/>
        <v>建筑类型</v>
      </c>
      <c r="R32" s="1508" t="s">
        <v>11</v>
      </c>
      <c r="S32" s="1509">
        <f t="shared" si="12"/>
        <v>100</v>
      </c>
      <c r="T32" s="1508" t="s">
        <v>11</v>
      </c>
      <c r="U32" s="1509">
        <f t="shared" si="13"/>
        <v>100</v>
      </c>
      <c r="V32" s="1508" t="s">
        <v>11</v>
      </c>
      <c r="W32" s="1509">
        <f t="shared" si="14"/>
        <v>100</v>
      </c>
      <c r="X32" s="1502"/>
      <c r="Y32" s="352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27"/>
      <c r="Q33" s="1536" t="str">
        <f t="shared" si="11"/>
        <v>项目建筑规模</v>
      </c>
      <c r="R33" s="1512" t="s">
        <v>11</v>
      </c>
      <c r="S33" s="1513" t="e">
        <f t="shared" si="12"/>
        <v>#N/A</v>
      </c>
      <c r="T33" s="1512" t="s">
        <v>11</v>
      </c>
      <c r="U33" s="1513" t="e">
        <f t="shared" si="13"/>
        <v>#N/A</v>
      </c>
      <c r="V33" s="1512" t="s">
        <v>11</v>
      </c>
      <c r="W33" s="1513" t="e">
        <f t="shared" si="14"/>
        <v>#N/A</v>
      </c>
      <c r="X33" s="1514"/>
      <c r="Y33" s="352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27"/>
      <c r="Q34" s="1507" t="str">
        <f t="shared" si="11"/>
        <v>建筑结构</v>
      </c>
      <c r="R34" s="1508" t="s">
        <v>11</v>
      </c>
      <c r="S34" s="1509">
        <f t="shared" si="12"/>
        <v>100</v>
      </c>
      <c r="T34" s="1508" t="s">
        <v>11</v>
      </c>
      <c r="U34" s="1509">
        <f t="shared" si="13"/>
        <v>100</v>
      </c>
      <c r="V34" s="1508" t="s">
        <v>11</v>
      </c>
      <c r="W34" s="1509">
        <f t="shared" si="14"/>
        <v>100</v>
      </c>
      <c r="X34" s="1502"/>
      <c r="Y34" s="352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27"/>
      <c r="Q35" s="1507" t="str">
        <f t="shared" si="11"/>
        <v>建筑品质</v>
      </c>
      <c r="R35" s="1508" t="s">
        <v>11</v>
      </c>
      <c r="S35" s="1509">
        <f t="shared" si="12"/>
        <v>100</v>
      </c>
      <c r="T35" s="1508" t="s">
        <v>11</v>
      </c>
      <c r="U35" s="1509">
        <f t="shared" si="13"/>
        <v>100</v>
      </c>
      <c r="V35" s="1508" t="s">
        <v>11</v>
      </c>
      <c r="W35" s="1509">
        <f t="shared" si="14"/>
        <v>100</v>
      </c>
      <c r="X35" s="1502"/>
      <c r="Y35" s="352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27"/>
      <c r="Q36" s="1507" t="str">
        <f t="shared" si="11"/>
        <v>公共部分装修</v>
      </c>
      <c r="R36" s="1508" t="s">
        <v>11</v>
      </c>
      <c r="S36" s="1509">
        <f t="shared" si="12"/>
        <v>100</v>
      </c>
      <c r="T36" s="1508" t="s">
        <v>11</v>
      </c>
      <c r="U36" s="1509">
        <f t="shared" si="13"/>
        <v>100</v>
      </c>
      <c r="V36" s="1508" t="s">
        <v>11</v>
      </c>
      <c r="W36" s="1509">
        <f t="shared" si="14"/>
        <v>100</v>
      </c>
      <c r="X36" s="1502"/>
      <c r="Y36" s="352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27"/>
      <c r="Q37" s="1134" t="str">
        <f t="shared" si="11"/>
        <v>成新度</v>
      </c>
      <c r="R37" s="1503" t="s">
        <v>11</v>
      </c>
      <c r="S37" s="1504" t="e">
        <f t="shared" si="12"/>
        <v>#N/A</v>
      </c>
      <c r="T37" s="1503" t="s">
        <v>11</v>
      </c>
      <c r="U37" s="1504" t="e">
        <f t="shared" si="13"/>
        <v>#N/A</v>
      </c>
      <c r="V37" s="1503" t="s">
        <v>11</v>
      </c>
      <c r="W37" s="1504" t="e">
        <f t="shared" si="14"/>
        <v>#N/A</v>
      </c>
      <c r="X37" s="1505"/>
      <c r="Y37" s="352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27" t="s">
        <v>544</v>
      </c>
      <c r="Q38" s="1507" t="str">
        <f t="shared" si="11"/>
        <v>物业管理</v>
      </c>
      <c r="R38" s="1508" t="s">
        <v>11</v>
      </c>
      <c r="S38" s="1509">
        <f t="shared" si="12"/>
        <v>100</v>
      </c>
      <c r="T38" s="1508" t="s">
        <v>11</v>
      </c>
      <c r="U38" s="1509">
        <f t="shared" si="13"/>
        <v>100</v>
      </c>
      <c r="V38" s="1508" t="s">
        <v>11</v>
      </c>
      <c r="W38" s="1509">
        <f t="shared" si="14"/>
        <v>100</v>
      </c>
      <c r="X38" s="1502"/>
      <c r="Y38" s="352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27"/>
      <c r="Q39" s="1507" t="str">
        <f t="shared" si="11"/>
        <v>市政基础设施</v>
      </c>
      <c r="R39" s="1508" t="s">
        <v>11</v>
      </c>
      <c r="S39" s="1509">
        <f t="shared" si="12"/>
        <v>100</v>
      </c>
      <c r="T39" s="1508" t="s">
        <v>11</v>
      </c>
      <c r="U39" s="1509">
        <f t="shared" si="13"/>
        <v>100</v>
      </c>
      <c r="V39" s="1508" t="s">
        <v>11</v>
      </c>
      <c r="W39" s="1509">
        <f t="shared" si="14"/>
        <v>100</v>
      </c>
      <c r="X39" s="1502"/>
      <c r="Y39" s="352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7"/>
      <c r="Q40" s="1507" t="str">
        <f t="shared" si="11"/>
        <v>房型</v>
      </c>
      <c r="R40" s="1508" t="s">
        <v>11</v>
      </c>
      <c r="S40" s="1509">
        <f t="shared" si="12"/>
        <v>100</v>
      </c>
      <c r="T40" s="1508" t="s">
        <v>11</v>
      </c>
      <c r="U40" s="1509">
        <f t="shared" si="13"/>
        <v>100</v>
      </c>
      <c r="V40" s="1508" t="s">
        <v>11</v>
      </c>
      <c r="W40" s="1509">
        <f t="shared" si="14"/>
        <v>100</v>
      </c>
      <c r="X40" s="1502"/>
      <c r="Y40" s="352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7"/>
      <c r="Q41" s="1536" t="str">
        <f t="shared" si="11"/>
        <v>单套/主力户型建筑面积</v>
      </c>
      <c r="R41" s="1512" t="s">
        <v>11</v>
      </c>
      <c r="S41" s="1513">
        <f t="shared" si="12"/>
        <v>100</v>
      </c>
      <c r="T41" s="1512" t="s">
        <v>11</v>
      </c>
      <c r="U41" s="1513">
        <f t="shared" si="13"/>
        <v>100</v>
      </c>
      <c r="V41" s="1512" t="s">
        <v>11</v>
      </c>
      <c r="W41" s="1513">
        <f t="shared" si="14"/>
        <v>100</v>
      </c>
      <c r="X41" s="1514"/>
      <c r="Y41" s="352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27"/>
      <c r="Q42" s="1507" t="str">
        <f t="shared" si="11"/>
        <v>内部装修</v>
      </c>
      <c r="R42" s="1508" t="s">
        <v>11</v>
      </c>
      <c r="S42" s="1509">
        <f t="shared" si="12"/>
        <v>100</v>
      </c>
      <c r="T42" s="1508" t="s">
        <v>11</v>
      </c>
      <c r="U42" s="1509">
        <f t="shared" si="13"/>
        <v>100</v>
      </c>
      <c r="V42" s="1508" t="s">
        <v>11</v>
      </c>
      <c r="W42" s="1509">
        <f t="shared" si="14"/>
        <v>100</v>
      </c>
      <c r="X42" s="1502"/>
      <c r="Y42" s="352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7"/>
      <c r="Q43" s="1507" t="str">
        <f t="shared" si="11"/>
        <v>内部装修维护情况</v>
      </c>
      <c r="R43" s="1508" t="s">
        <v>11</v>
      </c>
      <c r="S43" s="1509">
        <f t="shared" si="12"/>
        <v>100</v>
      </c>
      <c r="T43" s="1508" t="s">
        <v>11</v>
      </c>
      <c r="U43" s="1509">
        <f t="shared" si="13"/>
        <v>100</v>
      </c>
      <c r="V43" s="1508" t="s">
        <v>11</v>
      </c>
      <c r="W43" s="1509">
        <f t="shared" si="14"/>
        <v>100</v>
      </c>
      <c r="X43" s="1502"/>
      <c r="Y43" s="352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27"/>
      <c r="Q44" s="1134">
        <f t="shared" si="11"/>
        <v>111</v>
      </c>
      <c r="R44" s="1503" t="s">
        <v>11</v>
      </c>
      <c r="S44" s="1504">
        <f t="shared" si="12"/>
        <v>100</v>
      </c>
      <c r="T44" s="1503" t="s">
        <v>11</v>
      </c>
      <c r="U44" s="1504">
        <f t="shared" si="13"/>
        <v>100</v>
      </c>
      <c r="V44" s="1503" t="s">
        <v>11</v>
      </c>
      <c r="W44" s="1504">
        <f t="shared" si="14"/>
        <v>100</v>
      </c>
      <c r="X44" s="1505"/>
      <c r="Y44" s="352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7"/>
      <c r="Q45" s="1507">
        <f t="shared" si="11"/>
        <v>111</v>
      </c>
      <c r="R45" s="1508" t="s">
        <v>11</v>
      </c>
      <c r="S45" s="1509">
        <f t="shared" si="12"/>
        <v>100</v>
      </c>
      <c r="T45" s="1508" t="s">
        <v>11</v>
      </c>
      <c r="U45" s="1509">
        <f t="shared" si="13"/>
        <v>100</v>
      </c>
      <c r="V45" s="1508" t="s">
        <v>11</v>
      </c>
      <c r="W45" s="1509">
        <f t="shared" si="14"/>
        <v>100</v>
      </c>
      <c r="X45" s="1502"/>
      <c r="Y45" s="352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8"/>
      <c r="Q46" s="1507">
        <f t="shared" si="11"/>
        <v>111</v>
      </c>
      <c r="R46" s="1508" t="s">
        <v>10</v>
      </c>
      <c r="S46" s="1509">
        <f t="shared" si="12"/>
        <v>100</v>
      </c>
      <c r="T46" s="1508" t="s">
        <v>10</v>
      </c>
      <c r="U46" s="1509">
        <f t="shared" si="13"/>
        <v>100</v>
      </c>
      <c r="V46" s="1508" t="s">
        <v>10</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22" t="str">
        <f>A47</f>
        <v>成交单价（元/平方米）</v>
      </c>
      <c r="Q47" s="3522"/>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22" t="str">
        <f>A48</f>
        <v>比较价格（元/平方米）</v>
      </c>
      <c r="Q48" s="3522"/>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543" t="str">
        <f>A49</f>
        <v>估价对象XX用房的比较价格（楼面单价，元/平方米）</v>
      </c>
      <c r="Q49" s="3544"/>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8" t="s">
        <v>516</v>
      </c>
      <c r="D4" s="3529"/>
      <c r="E4" s="3553" t="s">
        <v>517</v>
      </c>
      <c r="F4" s="3554"/>
      <c r="G4" s="3528" t="s">
        <v>518</v>
      </c>
      <c r="H4" s="3529"/>
      <c r="I4" s="3528" t="s">
        <v>519</v>
      </c>
      <c r="J4" s="3529"/>
      <c r="K4" s="508"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36"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36"/>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36"/>
      <c r="AC6" s="3513"/>
    </row>
    <row r="7" spans="1:29" s="1203" customFormat="1" ht="15.75" thickBot="1">
      <c r="A7" s="2629"/>
      <c r="B7" s="2636" t="s">
        <v>523</v>
      </c>
      <c r="C7" s="513">
        <f>'数据-取费表'!B2</f>
        <v>44071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4"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24" t="s">
        <v>534</v>
      </c>
      <c r="Q15" s="1507" t="str">
        <f t="shared" si="6"/>
        <v>商业繁华度</v>
      </c>
      <c r="R15" s="1508" t="s">
        <v>8</v>
      </c>
      <c r="S15" s="1509">
        <f t="shared" si="0"/>
        <v>100</v>
      </c>
      <c r="T15" s="1508" t="s">
        <v>8</v>
      </c>
      <c r="U15" s="1509">
        <f t="shared" si="1"/>
        <v>100</v>
      </c>
      <c r="V15" s="1508" t="s">
        <v>8</v>
      </c>
      <c r="W15" s="1509">
        <f t="shared" si="2"/>
        <v>100</v>
      </c>
      <c r="X15" s="1502"/>
      <c r="Y15" s="352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25"/>
      <c r="Q22" s="2429"/>
      <c r="R22" s="1508"/>
      <c r="S22" s="1509"/>
      <c r="T22" s="1508"/>
      <c r="U22" s="1509"/>
      <c r="V22" s="1508"/>
      <c r="W22" s="1509"/>
      <c r="X22" s="2431"/>
      <c r="Y22" s="352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25"/>
      <c r="Q23" s="1507" t="str">
        <f>B23</f>
        <v>自然及人文环境</v>
      </c>
      <c r="R23" s="1508" t="s">
        <v>8</v>
      </c>
      <c r="S23" s="1509">
        <f>F23</f>
        <v>100</v>
      </c>
      <c r="T23" s="1508" t="s">
        <v>8</v>
      </c>
      <c r="U23" s="1509">
        <f>H23</f>
        <v>100</v>
      </c>
      <c r="V23" s="1508" t="s">
        <v>8</v>
      </c>
      <c r="W23" s="1509">
        <f>J23</f>
        <v>100</v>
      </c>
      <c r="X23" s="1502"/>
      <c r="Y23" s="352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5"/>
      <c r="Q25" s="1507" t="str">
        <f t="shared" ref="Q25:Q46" si="11">B25</f>
        <v>临街状况</v>
      </c>
      <c r="R25" s="1508" t="s">
        <v>8</v>
      </c>
      <c r="S25" s="1509">
        <f>F25</f>
        <v>100</v>
      </c>
      <c r="T25" s="1508" t="s">
        <v>8</v>
      </c>
      <c r="U25" s="1509">
        <f>H25</f>
        <v>100</v>
      </c>
      <c r="V25" s="1508" t="s">
        <v>8</v>
      </c>
      <c r="W25" s="1509">
        <f>J25</f>
        <v>100</v>
      </c>
      <c r="X25" s="1502"/>
      <c r="Y25" s="352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5"/>
      <c r="Q26" s="1507" t="str">
        <f t="shared" si="11"/>
        <v>平面位置/可视性</v>
      </c>
      <c r="R26" s="1508" t="s">
        <v>8</v>
      </c>
      <c r="S26" s="1509">
        <f>F26</f>
        <v>100</v>
      </c>
      <c r="T26" s="1508" t="s">
        <v>8</v>
      </c>
      <c r="U26" s="1509">
        <f>H26</f>
        <v>100</v>
      </c>
      <c r="V26" s="1508" t="s">
        <v>8</v>
      </c>
      <c r="W26" s="1509">
        <f>J26</f>
        <v>100</v>
      </c>
      <c r="X26" s="1502"/>
      <c r="Y26" s="352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25"/>
      <c r="Q27" s="1134" t="str">
        <f t="shared" si="11"/>
        <v>人流量</v>
      </c>
      <c r="R27" s="1503" t="s">
        <v>8</v>
      </c>
      <c r="S27" s="1504">
        <f>F27</f>
        <v>100</v>
      </c>
      <c r="T27" s="1503" t="s">
        <v>8</v>
      </c>
      <c r="U27" s="1504">
        <f>H27</f>
        <v>100</v>
      </c>
      <c r="V27" s="1503" t="s">
        <v>8</v>
      </c>
      <c r="W27" s="1504">
        <f>J27</f>
        <v>100</v>
      </c>
      <c r="X27" s="1505"/>
      <c r="Y27" s="352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2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5"/>
      <c r="Q29" s="1507">
        <f t="shared" si="11"/>
        <v>111</v>
      </c>
      <c r="R29" s="1508" t="s">
        <v>8</v>
      </c>
      <c r="S29" s="1509">
        <f t="shared" si="12"/>
        <v>100</v>
      </c>
      <c r="T29" s="1508" t="s">
        <v>8</v>
      </c>
      <c r="U29" s="1509">
        <f t="shared" si="13"/>
        <v>100</v>
      </c>
      <c r="V29" s="1508" t="s">
        <v>8</v>
      </c>
      <c r="W29" s="1509">
        <f t="shared" si="14"/>
        <v>100</v>
      </c>
      <c r="X29" s="1502"/>
      <c r="Y29" s="352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5"/>
      <c r="Q30" s="1507">
        <f t="shared" si="11"/>
        <v>111</v>
      </c>
      <c r="R30" s="1508" t="s">
        <v>8</v>
      </c>
      <c r="S30" s="1509">
        <f t="shared" si="12"/>
        <v>100</v>
      </c>
      <c r="T30" s="1508" t="s">
        <v>8</v>
      </c>
      <c r="U30" s="1509">
        <f t="shared" si="13"/>
        <v>100</v>
      </c>
      <c r="V30" s="1508" t="s">
        <v>8</v>
      </c>
      <c r="W30" s="1509">
        <f t="shared" si="14"/>
        <v>100</v>
      </c>
      <c r="X30" s="1502"/>
      <c r="Y30" s="352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5"/>
      <c r="Q31" s="1507">
        <f t="shared" si="11"/>
        <v>111</v>
      </c>
      <c r="R31" s="1508" t="s">
        <v>8</v>
      </c>
      <c r="S31" s="1509">
        <f t="shared" si="12"/>
        <v>100</v>
      </c>
      <c r="T31" s="1508" t="s">
        <v>8</v>
      </c>
      <c r="U31" s="1509">
        <f t="shared" si="13"/>
        <v>100</v>
      </c>
      <c r="V31" s="1508" t="s">
        <v>8</v>
      </c>
      <c r="W31" s="1509">
        <f t="shared" si="14"/>
        <v>100</v>
      </c>
      <c r="X31" s="1502"/>
      <c r="Y31" s="352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6" t="s">
        <v>544</v>
      </c>
      <c r="Q32" s="1507" t="str">
        <f t="shared" si="11"/>
        <v>商业类型</v>
      </c>
      <c r="R32" s="1508" t="s">
        <v>8</v>
      </c>
      <c r="S32" s="1509">
        <f t="shared" si="12"/>
        <v>100</v>
      </c>
      <c r="T32" s="1508" t="s">
        <v>8</v>
      </c>
      <c r="U32" s="1509">
        <f t="shared" si="13"/>
        <v>100</v>
      </c>
      <c r="V32" s="1508" t="s">
        <v>8</v>
      </c>
      <c r="W32" s="1509">
        <f t="shared" si="14"/>
        <v>100</v>
      </c>
      <c r="X32" s="1502"/>
      <c r="Y32" s="352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7"/>
      <c r="Q33" s="1536" t="str">
        <f t="shared" si="11"/>
        <v>项目建筑规模</v>
      </c>
      <c r="R33" s="1512" t="s">
        <v>8</v>
      </c>
      <c r="S33" s="1513" t="e">
        <f t="shared" si="12"/>
        <v>#N/A</v>
      </c>
      <c r="T33" s="1512" t="s">
        <v>8</v>
      </c>
      <c r="U33" s="1513" t="e">
        <f t="shared" si="13"/>
        <v>#N/A</v>
      </c>
      <c r="V33" s="1512" t="s">
        <v>8</v>
      </c>
      <c r="W33" s="1513" t="e">
        <f t="shared" si="14"/>
        <v>#N/A</v>
      </c>
      <c r="X33" s="1514"/>
      <c r="Y33" s="352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27"/>
      <c r="Q34" s="1507" t="str">
        <f t="shared" si="11"/>
        <v>建筑结构</v>
      </c>
      <c r="R34" s="1508" t="s">
        <v>8</v>
      </c>
      <c r="S34" s="1509">
        <f t="shared" si="12"/>
        <v>100</v>
      </c>
      <c r="T34" s="1508" t="s">
        <v>8</v>
      </c>
      <c r="U34" s="1509">
        <f t="shared" si="13"/>
        <v>100</v>
      </c>
      <c r="V34" s="1508" t="s">
        <v>8</v>
      </c>
      <c r="W34" s="1509">
        <f t="shared" si="14"/>
        <v>100</v>
      </c>
      <c r="X34" s="1502"/>
      <c r="Y34" s="352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7"/>
      <c r="Q35" s="1507" t="str">
        <f t="shared" si="11"/>
        <v>公共部分装修</v>
      </c>
      <c r="R35" s="1508" t="s">
        <v>8</v>
      </c>
      <c r="S35" s="1509">
        <f t="shared" si="12"/>
        <v>100</v>
      </c>
      <c r="T35" s="1508" t="s">
        <v>8</v>
      </c>
      <c r="U35" s="1509">
        <f t="shared" si="13"/>
        <v>100</v>
      </c>
      <c r="V35" s="1508" t="s">
        <v>8</v>
      </c>
      <c r="W35" s="1509">
        <f t="shared" si="14"/>
        <v>100</v>
      </c>
      <c r="X35" s="1502"/>
      <c r="Y35" s="352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27"/>
      <c r="Q36" s="1507" t="str">
        <f t="shared" si="11"/>
        <v>成新度</v>
      </c>
      <c r="R36" s="1508" t="s">
        <v>8</v>
      </c>
      <c r="S36" s="1509" t="e">
        <f t="shared" si="12"/>
        <v>#N/A</v>
      </c>
      <c r="T36" s="1508" t="s">
        <v>8</v>
      </c>
      <c r="U36" s="1509" t="e">
        <f t="shared" si="13"/>
        <v>#N/A</v>
      </c>
      <c r="V36" s="1508" t="s">
        <v>8</v>
      </c>
      <c r="W36" s="1509" t="e">
        <f t="shared" si="14"/>
        <v>#N/A</v>
      </c>
      <c r="X36" s="1502"/>
      <c r="Y36" s="352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7"/>
      <c r="Q37" s="1134" t="str">
        <f t="shared" si="11"/>
        <v>市政基础设施</v>
      </c>
      <c r="R37" s="1503" t="s">
        <v>8</v>
      </c>
      <c r="S37" s="1504">
        <f t="shared" si="12"/>
        <v>100</v>
      </c>
      <c r="T37" s="1503" t="s">
        <v>8</v>
      </c>
      <c r="U37" s="1504">
        <f t="shared" si="13"/>
        <v>100</v>
      </c>
      <c r="V37" s="1503" t="s">
        <v>8</v>
      </c>
      <c r="W37" s="1504">
        <f t="shared" si="14"/>
        <v>100</v>
      </c>
      <c r="X37" s="1505"/>
      <c r="Y37" s="352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7" t="s">
        <v>760</v>
      </c>
      <c r="Q38" s="1507" t="str">
        <f t="shared" si="11"/>
        <v>业态</v>
      </c>
      <c r="R38" s="1508" t="s">
        <v>8</v>
      </c>
      <c r="S38" s="1509">
        <f t="shared" si="12"/>
        <v>100</v>
      </c>
      <c r="T38" s="1508" t="s">
        <v>8</v>
      </c>
      <c r="U38" s="1509">
        <f t="shared" si="13"/>
        <v>100</v>
      </c>
      <c r="V38" s="1508" t="s">
        <v>8</v>
      </c>
      <c r="W38" s="1509">
        <f t="shared" si="14"/>
        <v>100</v>
      </c>
      <c r="X38" s="1502"/>
      <c r="Y38" s="352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7"/>
      <c r="Q39" s="1507" t="str">
        <f t="shared" si="11"/>
        <v>层高</v>
      </c>
      <c r="R39" s="1508" t="s">
        <v>8</v>
      </c>
      <c r="S39" s="1509">
        <f t="shared" si="12"/>
        <v>100</v>
      </c>
      <c r="T39" s="1508" t="s">
        <v>8</v>
      </c>
      <c r="U39" s="1509">
        <f t="shared" si="13"/>
        <v>100</v>
      </c>
      <c r="V39" s="1508" t="s">
        <v>8</v>
      </c>
      <c r="W39" s="1509">
        <f t="shared" si="14"/>
        <v>100</v>
      </c>
      <c r="X39" s="1502"/>
      <c r="Y39" s="352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27"/>
      <c r="Q40" s="1507" t="str">
        <f t="shared" si="11"/>
        <v>单套建筑面积</v>
      </c>
      <c r="R40" s="1508" t="s">
        <v>8</v>
      </c>
      <c r="S40" s="1509">
        <f t="shared" si="12"/>
        <v>100</v>
      </c>
      <c r="T40" s="1508" t="s">
        <v>8</v>
      </c>
      <c r="U40" s="1509">
        <f t="shared" si="13"/>
        <v>100</v>
      </c>
      <c r="V40" s="1508" t="s">
        <v>8</v>
      </c>
      <c r="W40" s="1509">
        <f t="shared" si="14"/>
        <v>100</v>
      </c>
      <c r="X40" s="1502"/>
      <c r="Y40" s="352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7"/>
      <c r="Q41" s="1536" t="str">
        <f t="shared" si="11"/>
        <v>进深比</v>
      </c>
      <c r="R41" s="1512" t="s">
        <v>8</v>
      </c>
      <c r="S41" s="1513">
        <f t="shared" si="12"/>
        <v>100</v>
      </c>
      <c r="T41" s="1512" t="s">
        <v>8</v>
      </c>
      <c r="U41" s="1513">
        <f t="shared" si="13"/>
        <v>100</v>
      </c>
      <c r="V41" s="1512" t="s">
        <v>8</v>
      </c>
      <c r="W41" s="1513">
        <f t="shared" si="14"/>
        <v>100</v>
      </c>
      <c r="X41" s="1514"/>
      <c r="Y41" s="352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7"/>
      <c r="Q42" s="1507" t="str">
        <f t="shared" si="11"/>
        <v>内部装修</v>
      </c>
      <c r="R42" s="1508" t="s">
        <v>8</v>
      </c>
      <c r="S42" s="1509">
        <f t="shared" si="12"/>
        <v>100</v>
      </c>
      <c r="T42" s="1508" t="s">
        <v>8</v>
      </c>
      <c r="U42" s="1509">
        <f t="shared" si="13"/>
        <v>100</v>
      </c>
      <c r="V42" s="1508" t="s">
        <v>8</v>
      </c>
      <c r="W42" s="1509">
        <f t="shared" si="14"/>
        <v>100</v>
      </c>
      <c r="X42" s="1502"/>
      <c r="Y42" s="352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7"/>
      <c r="Q43" s="1507" t="str">
        <f t="shared" si="11"/>
        <v>内部装修维护情况</v>
      </c>
      <c r="R43" s="1508" t="s">
        <v>8</v>
      </c>
      <c r="S43" s="1509">
        <f t="shared" si="12"/>
        <v>100</v>
      </c>
      <c r="T43" s="1508" t="s">
        <v>8</v>
      </c>
      <c r="U43" s="1509">
        <f t="shared" si="13"/>
        <v>100</v>
      </c>
      <c r="V43" s="1508" t="s">
        <v>8</v>
      </c>
      <c r="W43" s="1509">
        <f t="shared" si="14"/>
        <v>100</v>
      </c>
      <c r="X43" s="1502"/>
      <c r="Y43" s="352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7"/>
      <c r="Q44" s="1134">
        <f t="shared" si="11"/>
        <v>111</v>
      </c>
      <c r="R44" s="1503" t="s">
        <v>8</v>
      </c>
      <c r="S44" s="1504">
        <f t="shared" si="12"/>
        <v>100</v>
      </c>
      <c r="T44" s="1503" t="s">
        <v>8</v>
      </c>
      <c r="U44" s="1504">
        <f t="shared" si="13"/>
        <v>100</v>
      </c>
      <c r="V44" s="1503" t="s">
        <v>8</v>
      </c>
      <c r="W44" s="1504">
        <f t="shared" si="14"/>
        <v>100</v>
      </c>
      <c r="X44" s="1505"/>
      <c r="Y44" s="352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7"/>
      <c r="Q45" s="1507">
        <f t="shared" si="11"/>
        <v>111</v>
      </c>
      <c r="R45" s="1508" t="s">
        <v>8</v>
      </c>
      <c r="S45" s="1509">
        <f t="shared" si="12"/>
        <v>100</v>
      </c>
      <c r="T45" s="1508" t="s">
        <v>8</v>
      </c>
      <c r="U45" s="1509">
        <f t="shared" si="13"/>
        <v>100</v>
      </c>
      <c r="V45" s="1508" t="s">
        <v>8</v>
      </c>
      <c r="W45" s="1509">
        <f t="shared" si="14"/>
        <v>100</v>
      </c>
      <c r="X45" s="1502"/>
      <c r="Y45" s="352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8"/>
      <c r="Q46" s="1507">
        <f t="shared" si="11"/>
        <v>111</v>
      </c>
      <c r="R46" s="1508" t="s">
        <v>8</v>
      </c>
      <c r="S46" s="1509">
        <f t="shared" si="12"/>
        <v>100</v>
      </c>
      <c r="T46" s="1508" t="s">
        <v>8</v>
      </c>
      <c r="U46" s="1509">
        <f t="shared" si="13"/>
        <v>100</v>
      </c>
      <c r="V46" s="1508" t="s">
        <v>8</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22" t="str">
        <f>A47</f>
        <v>成交单价（元/平方米）</v>
      </c>
      <c r="Q47" s="3522"/>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22" t="str">
        <f>A48</f>
        <v>比较价格（元/平方米）</v>
      </c>
      <c r="Q48" s="3522"/>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543" t="str">
        <f>A49</f>
        <v>估价对象XX用房的比较价格（楼面单价，元/平方米）</v>
      </c>
      <c r="Q49" s="3544"/>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28" t="s">
        <v>516</v>
      </c>
      <c r="D4" s="3529"/>
      <c r="E4" s="3553" t="s">
        <v>517</v>
      </c>
      <c r="F4" s="3554"/>
      <c r="G4" s="3528" t="s">
        <v>518</v>
      </c>
      <c r="H4" s="3529"/>
      <c r="I4" s="3528" t="s">
        <v>519</v>
      </c>
      <c r="J4" s="3529"/>
      <c r="K4" s="508" t="s">
        <v>520</v>
      </c>
      <c r="L4" s="2015"/>
      <c r="M4" s="2016"/>
      <c r="N4" s="2016"/>
      <c r="O4" s="2016"/>
      <c r="P4" s="3629" t="s">
        <v>521</v>
      </c>
      <c r="Q4" s="3531"/>
      <c r="R4" s="3516" t="s">
        <v>517</v>
      </c>
      <c r="S4" s="3517"/>
      <c r="T4" s="3516" t="s">
        <v>518</v>
      </c>
      <c r="U4" s="3517"/>
      <c r="V4" s="3536" t="s">
        <v>519</v>
      </c>
      <c r="W4" s="3536"/>
      <c r="X4" s="1502"/>
      <c r="Y4" s="3516" t="s">
        <v>521</v>
      </c>
      <c r="Z4" s="3517"/>
      <c r="AA4" s="3511" t="s">
        <v>517</v>
      </c>
      <c r="AB4" s="3511"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630"/>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631"/>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3"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3" t="s">
        <v>527</v>
      </c>
      <c r="Q8" s="3515"/>
      <c r="R8" s="1503" t="s">
        <v>8</v>
      </c>
      <c r="S8" s="1504">
        <f t="shared" si="0"/>
        <v>0</v>
      </c>
      <c r="T8" s="1503" t="s">
        <v>8</v>
      </c>
      <c r="U8" s="1504">
        <f t="shared" si="1"/>
        <v>0</v>
      </c>
      <c r="V8" s="1503" t="s">
        <v>8</v>
      </c>
      <c r="W8" s="1504">
        <f t="shared" si="2"/>
        <v>0</v>
      </c>
      <c r="X8" s="1505"/>
      <c r="Y8" s="3514" t="s">
        <v>527</v>
      </c>
      <c r="Z8" s="351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24" t="s">
        <v>534</v>
      </c>
      <c r="Q15" s="1507" t="str">
        <f t="shared" si="6"/>
        <v>办公集聚程度</v>
      </c>
      <c r="R15" s="1508" t="s">
        <v>8</v>
      </c>
      <c r="S15" s="1509">
        <f t="shared" si="0"/>
        <v>100</v>
      </c>
      <c r="T15" s="1508" t="s">
        <v>8</v>
      </c>
      <c r="U15" s="1509">
        <f t="shared" si="1"/>
        <v>100</v>
      </c>
      <c r="V15" s="1508" t="s">
        <v>8</v>
      </c>
      <c r="W15" s="1509">
        <f t="shared" si="2"/>
        <v>100</v>
      </c>
      <c r="X15" s="1502"/>
      <c r="Y15" s="352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25"/>
      <c r="Q16" s="1507"/>
      <c r="R16" s="1508"/>
      <c r="S16" s="1509"/>
      <c r="T16" s="1508"/>
      <c r="U16" s="1509"/>
      <c r="V16" s="1508"/>
      <c r="W16" s="1509"/>
      <c r="X16" s="1502"/>
      <c r="Y16" s="352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25"/>
      <c r="Q18" s="1507"/>
      <c r="R18" s="1508"/>
      <c r="S18" s="1509"/>
      <c r="T18" s="1508"/>
      <c r="U18" s="1509"/>
      <c r="V18" s="1508"/>
      <c r="W18" s="1509"/>
      <c r="X18" s="1502"/>
      <c r="Y18" s="352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25"/>
      <c r="Q20" s="1507"/>
      <c r="R20" s="1508"/>
      <c r="S20" s="1509"/>
      <c r="T20" s="1508"/>
      <c r="U20" s="1509"/>
      <c r="V20" s="1508"/>
      <c r="W20" s="1509"/>
      <c r="X20" s="1502"/>
      <c r="Y20" s="352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25"/>
      <c r="Q22" s="2429"/>
      <c r="R22" s="1508"/>
      <c r="S22" s="1509"/>
      <c r="T22" s="1508"/>
      <c r="U22" s="1509"/>
      <c r="V22" s="1508"/>
      <c r="W22" s="1509"/>
      <c r="X22" s="2431"/>
      <c r="Y22" s="352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25"/>
      <c r="Q23" s="1507" t="str">
        <f>B23</f>
        <v>环境质量</v>
      </c>
      <c r="R23" s="1508" t="s">
        <v>8</v>
      </c>
      <c r="S23" s="1509">
        <f>F23</f>
        <v>100</v>
      </c>
      <c r="T23" s="1508" t="s">
        <v>8</v>
      </c>
      <c r="U23" s="1509">
        <f>H23</f>
        <v>100</v>
      </c>
      <c r="V23" s="1508" t="s">
        <v>8</v>
      </c>
      <c r="W23" s="1509">
        <f>J23</f>
        <v>100</v>
      </c>
      <c r="X23" s="1502"/>
      <c r="Y23" s="352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25"/>
      <c r="Q24" s="1507"/>
      <c r="R24" s="1508"/>
      <c r="S24" s="1509"/>
      <c r="T24" s="1508"/>
      <c r="U24" s="1509"/>
      <c r="V24" s="1508"/>
      <c r="W24" s="1509"/>
      <c r="X24" s="1502"/>
      <c r="Y24" s="352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25"/>
      <c r="Q25" s="1507" t="str">
        <f>B25</f>
        <v>毗邻道路的类型与等级</v>
      </c>
      <c r="R25" s="1508" t="s">
        <v>8</v>
      </c>
      <c r="S25" s="1509">
        <f>F25</f>
        <v>100</v>
      </c>
      <c r="T25" s="1508" t="s">
        <v>8</v>
      </c>
      <c r="U25" s="1509">
        <f>H25</f>
        <v>100</v>
      </c>
      <c r="V25" s="1508" t="s">
        <v>8</v>
      </c>
      <c r="W25" s="1509">
        <f>J25</f>
        <v>100</v>
      </c>
      <c r="X25" s="1502"/>
      <c r="Y25" s="352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25"/>
      <c r="Q26" s="1507"/>
      <c r="R26" s="1508"/>
      <c r="S26" s="1509"/>
      <c r="T26" s="1508"/>
      <c r="U26" s="1509"/>
      <c r="V26" s="1508"/>
      <c r="W26" s="1509"/>
      <c r="X26" s="1502"/>
      <c r="Y26" s="352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5"/>
      <c r="Q27" s="1507" t="str">
        <f t="shared" ref="Q27:Q47" si="11">B27</f>
        <v>楼层</v>
      </c>
      <c r="R27" s="1508" t="s">
        <v>8</v>
      </c>
      <c r="S27" s="1509">
        <f>F27</f>
        <v>100</v>
      </c>
      <c r="T27" s="1508" t="s">
        <v>8</v>
      </c>
      <c r="U27" s="1509">
        <f>H27</f>
        <v>100</v>
      </c>
      <c r="V27" s="1508" t="s">
        <v>8</v>
      </c>
      <c r="W27" s="1509">
        <f>J27</f>
        <v>100</v>
      </c>
      <c r="X27" s="1502"/>
      <c r="Y27" s="352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25"/>
      <c r="Q28" s="1134" t="str">
        <f t="shared" si="11"/>
        <v>朝向</v>
      </c>
      <c r="R28" s="1503" t="s">
        <v>8</v>
      </c>
      <c r="S28" s="1504">
        <f>F28</f>
        <v>100</v>
      </c>
      <c r="T28" s="1503" t="s">
        <v>8</v>
      </c>
      <c r="U28" s="1504">
        <f>H28</f>
        <v>100</v>
      </c>
      <c r="V28" s="1503" t="s">
        <v>8</v>
      </c>
      <c r="W28" s="1504">
        <f>J28</f>
        <v>100</v>
      </c>
      <c r="X28" s="1505"/>
      <c r="Y28" s="352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25"/>
      <c r="Q29" s="1507">
        <f t="shared" si="11"/>
        <v>111</v>
      </c>
      <c r="R29" s="1508" t="s">
        <v>8</v>
      </c>
      <c r="S29" s="1509">
        <f t="shared" ref="S29:S47" si="12">F29</f>
        <v>100</v>
      </c>
      <c r="T29" s="1508" t="s">
        <v>8</v>
      </c>
      <c r="U29" s="1509">
        <f t="shared" ref="U29:U47" si="13">H29</f>
        <v>100</v>
      </c>
      <c r="V29" s="1508" t="s">
        <v>8</v>
      </c>
      <c r="W29" s="1509">
        <f t="shared" ref="W29:W47" si="14">J29</f>
        <v>100</v>
      </c>
      <c r="X29" s="1502"/>
      <c r="Y29" s="352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25"/>
      <c r="Q30" s="1507">
        <f t="shared" si="11"/>
        <v>111</v>
      </c>
      <c r="R30" s="1508" t="s">
        <v>8</v>
      </c>
      <c r="S30" s="1509">
        <f t="shared" si="12"/>
        <v>100</v>
      </c>
      <c r="T30" s="1508" t="s">
        <v>8</v>
      </c>
      <c r="U30" s="1509">
        <f t="shared" si="13"/>
        <v>100</v>
      </c>
      <c r="V30" s="1508" t="s">
        <v>8</v>
      </c>
      <c r="W30" s="1509">
        <f t="shared" si="14"/>
        <v>100</v>
      </c>
      <c r="X30" s="1502"/>
      <c r="Y30" s="352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25"/>
      <c r="Q31" s="1507">
        <f t="shared" si="11"/>
        <v>111</v>
      </c>
      <c r="R31" s="1508" t="s">
        <v>8</v>
      </c>
      <c r="S31" s="1509">
        <f t="shared" si="12"/>
        <v>100</v>
      </c>
      <c r="T31" s="1508" t="s">
        <v>8</v>
      </c>
      <c r="U31" s="1509">
        <f t="shared" si="13"/>
        <v>100</v>
      </c>
      <c r="V31" s="1508" t="s">
        <v>8</v>
      </c>
      <c r="W31" s="1509">
        <f t="shared" si="14"/>
        <v>100</v>
      </c>
      <c r="X31" s="1502"/>
      <c r="Y31" s="352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25"/>
      <c r="Q32" s="1507">
        <f t="shared" si="11"/>
        <v>111</v>
      </c>
      <c r="R32" s="1508" t="s">
        <v>8</v>
      </c>
      <c r="S32" s="1509">
        <f t="shared" si="12"/>
        <v>100</v>
      </c>
      <c r="T32" s="1508" t="s">
        <v>8</v>
      </c>
      <c r="U32" s="1509">
        <f t="shared" si="13"/>
        <v>100</v>
      </c>
      <c r="V32" s="1508" t="s">
        <v>8</v>
      </c>
      <c r="W32" s="1509">
        <f t="shared" si="14"/>
        <v>100</v>
      </c>
      <c r="X32" s="1502"/>
      <c r="Y32" s="352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26" t="s">
        <v>544</v>
      </c>
      <c r="Q33" s="1507" t="str">
        <f t="shared" si="11"/>
        <v>建筑类型</v>
      </c>
      <c r="R33" s="1508" t="s">
        <v>8</v>
      </c>
      <c r="S33" s="1509">
        <f t="shared" si="12"/>
        <v>100</v>
      </c>
      <c r="T33" s="1508" t="s">
        <v>8</v>
      </c>
      <c r="U33" s="1509">
        <f t="shared" si="13"/>
        <v>100</v>
      </c>
      <c r="V33" s="1508" t="s">
        <v>8</v>
      </c>
      <c r="W33" s="1509">
        <f t="shared" si="14"/>
        <v>100</v>
      </c>
      <c r="X33" s="1502"/>
      <c r="Y33" s="352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7"/>
      <c r="Q34" s="1536" t="str">
        <f t="shared" si="11"/>
        <v>项目建筑规模</v>
      </c>
      <c r="R34" s="1512" t="s">
        <v>8</v>
      </c>
      <c r="S34" s="1513" t="e">
        <f t="shared" si="12"/>
        <v>#N/A</v>
      </c>
      <c r="T34" s="1512" t="s">
        <v>8</v>
      </c>
      <c r="U34" s="1513" t="e">
        <f t="shared" si="13"/>
        <v>#N/A</v>
      </c>
      <c r="V34" s="1512" t="s">
        <v>8</v>
      </c>
      <c r="W34" s="1513" t="e">
        <f t="shared" si="14"/>
        <v>#N/A</v>
      </c>
      <c r="X34" s="1514"/>
      <c r="Y34" s="352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7"/>
      <c r="Q35" s="1507" t="str">
        <f t="shared" si="11"/>
        <v>建筑结构</v>
      </c>
      <c r="R35" s="1508" t="s">
        <v>8</v>
      </c>
      <c r="S35" s="1509">
        <f t="shared" si="12"/>
        <v>100</v>
      </c>
      <c r="T35" s="1508" t="s">
        <v>8</v>
      </c>
      <c r="U35" s="1509">
        <f t="shared" si="13"/>
        <v>100</v>
      </c>
      <c r="V35" s="1508" t="s">
        <v>8</v>
      </c>
      <c r="W35" s="1509">
        <f t="shared" si="14"/>
        <v>100</v>
      </c>
      <c r="X35" s="1502"/>
      <c r="Y35" s="352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7"/>
      <c r="Q36" s="1507" t="str">
        <f t="shared" si="11"/>
        <v>公共部分装修</v>
      </c>
      <c r="R36" s="1508" t="s">
        <v>8</v>
      </c>
      <c r="S36" s="1509">
        <f t="shared" si="12"/>
        <v>100</v>
      </c>
      <c r="T36" s="1508" t="s">
        <v>8</v>
      </c>
      <c r="U36" s="1509">
        <f t="shared" si="13"/>
        <v>100</v>
      </c>
      <c r="V36" s="1508" t="s">
        <v>8</v>
      </c>
      <c r="W36" s="1509">
        <f t="shared" si="14"/>
        <v>100</v>
      </c>
      <c r="X36" s="1502"/>
      <c r="Y36" s="352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27"/>
      <c r="Q37" s="1507" t="str">
        <f t="shared" si="11"/>
        <v>成新度</v>
      </c>
      <c r="R37" s="1508" t="s">
        <v>8</v>
      </c>
      <c r="S37" s="1509" t="e">
        <f t="shared" si="12"/>
        <v>#N/A</v>
      </c>
      <c r="T37" s="1508" t="s">
        <v>8</v>
      </c>
      <c r="U37" s="1509" t="e">
        <f t="shared" si="13"/>
        <v>#N/A</v>
      </c>
      <c r="V37" s="1508" t="s">
        <v>8</v>
      </c>
      <c r="W37" s="1509" t="e">
        <f t="shared" si="14"/>
        <v>#N/A</v>
      </c>
      <c r="X37" s="1502"/>
      <c r="Y37" s="352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7"/>
      <c r="Q38" s="1134" t="str">
        <f t="shared" si="11"/>
        <v>写字楼等级</v>
      </c>
      <c r="R38" s="1503" t="s">
        <v>8</v>
      </c>
      <c r="S38" s="1504">
        <f t="shared" si="12"/>
        <v>100</v>
      </c>
      <c r="T38" s="1503" t="s">
        <v>8</v>
      </c>
      <c r="U38" s="1504">
        <f t="shared" si="13"/>
        <v>100</v>
      </c>
      <c r="V38" s="1503" t="s">
        <v>8</v>
      </c>
      <c r="W38" s="1504">
        <f t="shared" si="14"/>
        <v>100</v>
      </c>
      <c r="X38" s="1505"/>
      <c r="Y38" s="352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7" t="s">
        <v>544</v>
      </c>
      <c r="Q39" s="1507" t="str">
        <f t="shared" si="11"/>
        <v>物业管理</v>
      </c>
      <c r="R39" s="1508" t="s">
        <v>8</v>
      </c>
      <c r="S39" s="1509">
        <f t="shared" si="12"/>
        <v>100</v>
      </c>
      <c r="T39" s="1508" t="s">
        <v>8</v>
      </c>
      <c r="U39" s="1509">
        <f t="shared" si="13"/>
        <v>100</v>
      </c>
      <c r="V39" s="1508" t="s">
        <v>8</v>
      </c>
      <c r="W39" s="1509">
        <f t="shared" si="14"/>
        <v>100</v>
      </c>
      <c r="X39" s="1502"/>
      <c r="Y39" s="352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7"/>
      <c r="Q40" s="1507" t="str">
        <f t="shared" si="11"/>
        <v>市政基础设施</v>
      </c>
      <c r="R40" s="1508" t="s">
        <v>8</v>
      </c>
      <c r="S40" s="1509">
        <f t="shared" si="12"/>
        <v>100</v>
      </c>
      <c r="T40" s="1508" t="s">
        <v>8</v>
      </c>
      <c r="U40" s="1509">
        <f t="shared" si="13"/>
        <v>100</v>
      </c>
      <c r="V40" s="1508" t="s">
        <v>8</v>
      </c>
      <c r="W40" s="1509">
        <f t="shared" si="14"/>
        <v>100</v>
      </c>
      <c r="X40" s="1502"/>
      <c r="Y40" s="352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7"/>
      <c r="Q41" s="1507" t="str">
        <f t="shared" si="11"/>
        <v>层高</v>
      </c>
      <c r="R41" s="1508" t="s">
        <v>8</v>
      </c>
      <c r="S41" s="1509">
        <f t="shared" si="12"/>
        <v>100</v>
      </c>
      <c r="T41" s="1508" t="s">
        <v>8</v>
      </c>
      <c r="U41" s="1509">
        <f t="shared" si="13"/>
        <v>100</v>
      </c>
      <c r="V41" s="1508" t="s">
        <v>8</v>
      </c>
      <c r="W41" s="1509">
        <f t="shared" si="14"/>
        <v>100</v>
      </c>
      <c r="X41" s="1502"/>
      <c r="Y41" s="352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7"/>
      <c r="Q42" s="1536" t="str">
        <f t="shared" si="11"/>
        <v>单套建筑面积</v>
      </c>
      <c r="R42" s="1512" t="s">
        <v>8</v>
      </c>
      <c r="S42" s="1513">
        <f t="shared" si="12"/>
        <v>100</v>
      </c>
      <c r="T42" s="1512" t="s">
        <v>8</v>
      </c>
      <c r="U42" s="1513">
        <f t="shared" si="13"/>
        <v>100</v>
      </c>
      <c r="V42" s="1512" t="s">
        <v>8</v>
      </c>
      <c r="W42" s="1513">
        <f t="shared" si="14"/>
        <v>100</v>
      </c>
      <c r="X42" s="1514"/>
      <c r="Y42" s="352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7"/>
      <c r="Q43" s="1507" t="str">
        <f t="shared" si="11"/>
        <v>内部装修</v>
      </c>
      <c r="R43" s="1508" t="s">
        <v>8</v>
      </c>
      <c r="S43" s="1509">
        <f t="shared" si="12"/>
        <v>100</v>
      </c>
      <c r="T43" s="1508" t="s">
        <v>8</v>
      </c>
      <c r="U43" s="1509">
        <f t="shared" si="13"/>
        <v>100</v>
      </c>
      <c r="V43" s="1508" t="s">
        <v>8</v>
      </c>
      <c r="W43" s="1509">
        <f t="shared" si="14"/>
        <v>100</v>
      </c>
      <c r="X43" s="1502"/>
      <c r="Y43" s="352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7"/>
      <c r="Q44" s="1507" t="str">
        <f t="shared" si="11"/>
        <v>内部装修维护情况</v>
      </c>
      <c r="R44" s="1508" t="s">
        <v>8</v>
      </c>
      <c r="S44" s="1509">
        <f t="shared" si="12"/>
        <v>100</v>
      </c>
      <c r="T44" s="1508" t="s">
        <v>8</v>
      </c>
      <c r="U44" s="1509">
        <f t="shared" si="13"/>
        <v>100</v>
      </c>
      <c r="V44" s="1508" t="s">
        <v>8</v>
      </c>
      <c r="W44" s="1509">
        <f t="shared" si="14"/>
        <v>100</v>
      </c>
      <c r="X44" s="1502"/>
      <c r="Y44" s="352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7"/>
      <c r="Q45" s="1134">
        <f t="shared" si="11"/>
        <v>111</v>
      </c>
      <c r="R45" s="1503" t="s">
        <v>8</v>
      </c>
      <c r="S45" s="1504">
        <f t="shared" si="12"/>
        <v>100</v>
      </c>
      <c r="T45" s="1503" t="s">
        <v>8</v>
      </c>
      <c r="U45" s="1504">
        <f t="shared" si="13"/>
        <v>100</v>
      </c>
      <c r="V45" s="1503" t="s">
        <v>8</v>
      </c>
      <c r="W45" s="1504">
        <f t="shared" si="14"/>
        <v>100</v>
      </c>
      <c r="X45" s="1505"/>
      <c r="Y45" s="352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7"/>
      <c r="Q46" s="1507">
        <f t="shared" si="11"/>
        <v>111</v>
      </c>
      <c r="R46" s="1508" t="s">
        <v>8</v>
      </c>
      <c r="S46" s="1509">
        <f t="shared" si="12"/>
        <v>100</v>
      </c>
      <c r="T46" s="1508" t="s">
        <v>8</v>
      </c>
      <c r="U46" s="1509">
        <f t="shared" si="13"/>
        <v>100</v>
      </c>
      <c r="V46" s="1508" t="s">
        <v>8</v>
      </c>
      <c r="W46" s="1509">
        <f t="shared" si="14"/>
        <v>100</v>
      </c>
      <c r="X46" s="1502"/>
      <c r="Y46" s="352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8"/>
      <c r="Q47" s="1507">
        <f t="shared" si="11"/>
        <v>111</v>
      </c>
      <c r="R47" s="1508" t="s">
        <v>8</v>
      </c>
      <c r="S47" s="1509">
        <f t="shared" si="12"/>
        <v>100</v>
      </c>
      <c r="T47" s="1508" t="s">
        <v>8</v>
      </c>
      <c r="U47" s="1509">
        <f t="shared" si="13"/>
        <v>100</v>
      </c>
      <c r="V47" s="1508" t="s">
        <v>8</v>
      </c>
      <c r="W47" s="1509">
        <f t="shared" si="14"/>
        <v>100</v>
      </c>
      <c r="X47" s="1502"/>
      <c r="Y47" s="362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44" t="str">
        <f>A48</f>
        <v>成交单价（元/平方米）</v>
      </c>
      <c r="Q48" s="3522"/>
      <c r="R48" s="3627">
        <f>E48</f>
        <v>0</v>
      </c>
      <c r="S48" s="3627"/>
      <c r="T48" s="3627">
        <f>G48</f>
        <v>0</v>
      </c>
      <c r="U48" s="3627"/>
      <c r="V48" s="3627">
        <f>I48</f>
        <v>0</v>
      </c>
      <c r="W48" s="362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44" t="str">
        <f>A49</f>
        <v>比较价格（元/平方米）</v>
      </c>
      <c r="Q49" s="3522"/>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632" t="str">
        <f>A50</f>
        <v>估价对象XX用房的比较价格（楼面单价，元/平方米）</v>
      </c>
      <c r="Q50" s="3544"/>
      <c r="R50" s="3626" t="e">
        <f>IF(F1="售价",ROUND(IF(D49="简单平均",AVERAGE(R49:V49),R49*F49+T49*H49+V49*J49),0),ROUND(IF(D49="简单平均",AVERAGE(R49:V49),R49*F49+T49*H49+V49*J49),1))</f>
        <v>#DIV/0!</v>
      </c>
      <c r="S50" s="3626"/>
      <c r="T50" s="3626"/>
      <c r="U50" s="3626"/>
      <c r="V50" s="3626"/>
      <c r="W50" s="362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28" t="s">
        <v>516</v>
      </c>
      <c r="D4" s="3529"/>
      <c r="E4" s="3553" t="s">
        <v>517</v>
      </c>
      <c r="F4" s="3554"/>
      <c r="G4" s="3528" t="s">
        <v>518</v>
      </c>
      <c r="H4" s="3529"/>
      <c r="I4" s="3528" t="s">
        <v>519</v>
      </c>
      <c r="J4" s="3529"/>
      <c r="K4" s="508"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12"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4"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24" t="s">
        <v>534</v>
      </c>
      <c r="Q15" s="1507" t="str">
        <f t="shared" si="6"/>
        <v>产业集聚程度</v>
      </c>
      <c r="R15" s="1508" t="s">
        <v>8</v>
      </c>
      <c r="S15" s="1509">
        <f t="shared" si="0"/>
        <v>100</v>
      </c>
      <c r="T15" s="1508" t="s">
        <v>8</v>
      </c>
      <c r="U15" s="1509">
        <f t="shared" si="1"/>
        <v>100</v>
      </c>
      <c r="V15" s="1508" t="s">
        <v>8</v>
      </c>
      <c r="W15" s="1509">
        <f t="shared" si="2"/>
        <v>100</v>
      </c>
      <c r="X15" s="1502"/>
      <c r="Y15" s="352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25"/>
      <c r="Q22" s="2429"/>
      <c r="R22" s="1508"/>
      <c r="S22" s="1509"/>
      <c r="T22" s="1508"/>
      <c r="U22" s="1509"/>
      <c r="V22" s="1508"/>
      <c r="W22" s="1509"/>
      <c r="X22" s="2431"/>
      <c r="Y22" s="352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25"/>
      <c r="Q23" s="1507" t="str">
        <f>B23</f>
        <v>环境质量</v>
      </c>
      <c r="R23" s="1508" t="s">
        <v>8</v>
      </c>
      <c r="S23" s="1509">
        <f>F23</f>
        <v>100</v>
      </c>
      <c r="T23" s="1508" t="s">
        <v>8</v>
      </c>
      <c r="U23" s="1509">
        <f>H23</f>
        <v>100</v>
      </c>
      <c r="V23" s="1508" t="s">
        <v>8</v>
      </c>
      <c r="W23" s="1509">
        <f>J23</f>
        <v>100</v>
      </c>
      <c r="X23" s="1502"/>
      <c r="Y23" s="352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5"/>
      <c r="Q25" s="1507">
        <f>B25</f>
        <v>111</v>
      </c>
      <c r="R25" s="1508" t="s">
        <v>8</v>
      </c>
      <c r="S25" s="1509">
        <f>F25</f>
        <v>100</v>
      </c>
      <c r="T25" s="1508" t="s">
        <v>8</v>
      </c>
      <c r="U25" s="1509">
        <f>H25</f>
        <v>100</v>
      </c>
      <c r="V25" s="1508" t="s">
        <v>8</v>
      </c>
      <c r="W25" s="1509">
        <f>J25</f>
        <v>100</v>
      </c>
      <c r="X25" s="1502"/>
      <c r="Y25" s="352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5"/>
      <c r="Q26" s="1507">
        <f t="shared" ref="Q26:Q40" si="11">B26</f>
        <v>111</v>
      </c>
      <c r="R26" s="1508" t="s">
        <v>8</v>
      </c>
      <c r="S26" s="1509">
        <f>F26</f>
        <v>100</v>
      </c>
      <c r="T26" s="1508" t="s">
        <v>8</v>
      </c>
      <c r="U26" s="1509">
        <f>H26</f>
        <v>100</v>
      </c>
      <c r="V26" s="1508" t="s">
        <v>8</v>
      </c>
      <c r="W26" s="1509">
        <f>J26</f>
        <v>100</v>
      </c>
      <c r="X26" s="1502"/>
      <c r="Y26" s="352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5"/>
      <c r="Q27" s="1134">
        <f t="shared" si="11"/>
        <v>111</v>
      </c>
      <c r="R27" s="1503" t="s">
        <v>8</v>
      </c>
      <c r="S27" s="1504">
        <f>F27</f>
        <v>100</v>
      </c>
      <c r="T27" s="1503" t="s">
        <v>8</v>
      </c>
      <c r="U27" s="1504">
        <f>H27</f>
        <v>100</v>
      </c>
      <c r="V27" s="1503" t="s">
        <v>8</v>
      </c>
      <c r="W27" s="1504">
        <f>J27</f>
        <v>100</v>
      </c>
      <c r="X27" s="1505"/>
      <c r="Y27" s="352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25"/>
      <c r="Q28" s="1507">
        <f t="shared" si="11"/>
        <v>111</v>
      </c>
      <c r="R28" s="1508" t="s">
        <v>8</v>
      </c>
      <c r="S28" s="1509">
        <f t="shared" ref="S28:S40" si="12">F28</f>
        <v>100</v>
      </c>
      <c r="T28" s="1508" t="s">
        <v>8</v>
      </c>
      <c r="U28" s="1509">
        <f t="shared" ref="U28:U40" si="13">H28</f>
        <v>100</v>
      </c>
      <c r="V28" s="1508" t="s">
        <v>8</v>
      </c>
      <c r="W28" s="1509">
        <f t="shared" ref="W28:W40" si="14">J28</f>
        <v>100</v>
      </c>
      <c r="X28" s="1502"/>
      <c r="Y28" s="352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26" t="s">
        <v>544</v>
      </c>
      <c r="Q29" s="1507" t="str">
        <f t="shared" si="11"/>
        <v>建筑类型</v>
      </c>
      <c r="R29" s="1508" t="s">
        <v>8</v>
      </c>
      <c r="S29" s="1509">
        <f t="shared" si="12"/>
        <v>100</v>
      </c>
      <c r="T29" s="1508" t="s">
        <v>8</v>
      </c>
      <c r="U29" s="1509">
        <f t="shared" si="13"/>
        <v>100</v>
      </c>
      <c r="V29" s="1508" t="s">
        <v>8</v>
      </c>
      <c r="W29" s="1509">
        <f t="shared" si="14"/>
        <v>100</v>
      </c>
      <c r="X29" s="1502"/>
      <c r="Y29" s="352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7"/>
      <c r="Q30" s="1536" t="str">
        <f t="shared" si="11"/>
        <v>项目建筑规模</v>
      </c>
      <c r="R30" s="1512" t="s">
        <v>8</v>
      </c>
      <c r="S30" s="1513" t="e">
        <f t="shared" si="12"/>
        <v>#N/A</v>
      </c>
      <c r="T30" s="1512" t="s">
        <v>8</v>
      </c>
      <c r="U30" s="1513" t="e">
        <f t="shared" si="13"/>
        <v>#N/A</v>
      </c>
      <c r="V30" s="1512" t="s">
        <v>8</v>
      </c>
      <c r="W30" s="1513" t="e">
        <f t="shared" si="14"/>
        <v>#N/A</v>
      </c>
      <c r="X30" s="1514"/>
      <c r="Y30" s="352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7"/>
      <c r="Q31" s="1507" t="str">
        <f t="shared" si="11"/>
        <v>建筑结构</v>
      </c>
      <c r="R31" s="1508" t="s">
        <v>8</v>
      </c>
      <c r="S31" s="1509">
        <f t="shared" si="12"/>
        <v>100</v>
      </c>
      <c r="T31" s="1508" t="s">
        <v>8</v>
      </c>
      <c r="U31" s="1509">
        <f t="shared" si="13"/>
        <v>100</v>
      </c>
      <c r="V31" s="1508" t="s">
        <v>8</v>
      </c>
      <c r="W31" s="1509">
        <f t="shared" si="14"/>
        <v>100</v>
      </c>
      <c r="X31" s="1502"/>
      <c r="Y31" s="352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7"/>
      <c r="Q32" s="1507" t="str">
        <f t="shared" si="11"/>
        <v>公共部分装修</v>
      </c>
      <c r="R32" s="1508" t="s">
        <v>8</v>
      </c>
      <c r="S32" s="1509">
        <f t="shared" si="12"/>
        <v>100</v>
      </c>
      <c r="T32" s="1508" t="s">
        <v>8</v>
      </c>
      <c r="U32" s="1509">
        <f t="shared" si="13"/>
        <v>100</v>
      </c>
      <c r="V32" s="1508" t="s">
        <v>8</v>
      </c>
      <c r="W32" s="1509">
        <f t="shared" si="14"/>
        <v>100</v>
      </c>
      <c r="X32" s="1502"/>
      <c r="Y32" s="352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27"/>
      <c r="Q33" s="1507" t="str">
        <f t="shared" si="11"/>
        <v>成新度</v>
      </c>
      <c r="R33" s="1508" t="s">
        <v>8</v>
      </c>
      <c r="S33" s="1509" t="e">
        <f t="shared" si="12"/>
        <v>#N/A</v>
      </c>
      <c r="T33" s="1508" t="s">
        <v>8</v>
      </c>
      <c r="U33" s="1509" t="e">
        <f t="shared" si="13"/>
        <v>#N/A</v>
      </c>
      <c r="V33" s="1508" t="s">
        <v>8</v>
      </c>
      <c r="W33" s="1509" t="e">
        <f t="shared" si="14"/>
        <v>#N/A</v>
      </c>
      <c r="X33" s="1502"/>
      <c r="Y33" s="352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7"/>
      <c r="Q34" s="1134" t="str">
        <f t="shared" si="11"/>
        <v>物业管理</v>
      </c>
      <c r="R34" s="1503" t="s">
        <v>8</v>
      </c>
      <c r="S34" s="1504">
        <f t="shared" si="12"/>
        <v>100</v>
      </c>
      <c r="T34" s="1503" t="s">
        <v>8</v>
      </c>
      <c r="U34" s="1504">
        <f t="shared" si="13"/>
        <v>100</v>
      </c>
      <c r="V34" s="1503" t="s">
        <v>8</v>
      </c>
      <c r="W34" s="1504">
        <f t="shared" si="14"/>
        <v>100</v>
      </c>
      <c r="X34" s="1505"/>
      <c r="Y34" s="352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7" t="s">
        <v>544</v>
      </c>
      <c r="Q35" s="1507" t="str">
        <f t="shared" si="11"/>
        <v>市政基础设施</v>
      </c>
      <c r="R35" s="1508" t="s">
        <v>8</v>
      </c>
      <c r="S35" s="1509">
        <f t="shared" si="12"/>
        <v>100</v>
      </c>
      <c r="T35" s="1508" t="s">
        <v>8</v>
      </c>
      <c r="U35" s="1509">
        <f t="shared" si="13"/>
        <v>100</v>
      </c>
      <c r="V35" s="1508" t="s">
        <v>8</v>
      </c>
      <c r="W35" s="1509">
        <f t="shared" si="14"/>
        <v>100</v>
      </c>
      <c r="X35" s="1502"/>
      <c r="Y35" s="352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7"/>
      <c r="Q36" s="1507" t="str">
        <f t="shared" si="11"/>
        <v>内部装修</v>
      </c>
      <c r="R36" s="1508" t="s">
        <v>8</v>
      </c>
      <c r="S36" s="1509">
        <f t="shared" si="12"/>
        <v>100</v>
      </c>
      <c r="T36" s="1508" t="s">
        <v>8</v>
      </c>
      <c r="U36" s="1509">
        <f t="shared" si="13"/>
        <v>100</v>
      </c>
      <c r="V36" s="1508" t="s">
        <v>8</v>
      </c>
      <c r="W36" s="1509">
        <f t="shared" si="14"/>
        <v>100</v>
      </c>
      <c r="X36" s="1502"/>
      <c r="Y36" s="352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7"/>
      <c r="Q37" s="1507" t="str">
        <f t="shared" si="11"/>
        <v>内部装修状况</v>
      </c>
      <c r="R37" s="1508" t="s">
        <v>8</v>
      </c>
      <c r="S37" s="1509">
        <f t="shared" si="12"/>
        <v>100</v>
      </c>
      <c r="T37" s="1508" t="s">
        <v>8</v>
      </c>
      <c r="U37" s="1509">
        <f t="shared" si="13"/>
        <v>100</v>
      </c>
      <c r="V37" s="1508" t="s">
        <v>8</v>
      </c>
      <c r="W37" s="1509">
        <f t="shared" si="14"/>
        <v>100</v>
      </c>
      <c r="X37" s="1502"/>
      <c r="Y37" s="352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27"/>
      <c r="Q38" s="1536">
        <f t="shared" si="11"/>
        <v>111</v>
      </c>
      <c r="R38" s="1512" t="s">
        <v>8</v>
      </c>
      <c r="S38" s="1513">
        <f t="shared" si="12"/>
        <v>100</v>
      </c>
      <c r="T38" s="1512" t="s">
        <v>8</v>
      </c>
      <c r="U38" s="1513">
        <f t="shared" si="13"/>
        <v>100</v>
      </c>
      <c r="V38" s="1512" t="s">
        <v>8</v>
      </c>
      <c r="W38" s="1513">
        <f t="shared" si="14"/>
        <v>100</v>
      </c>
      <c r="X38" s="1514"/>
      <c r="Y38" s="352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27"/>
      <c r="Q39" s="1507">
        <f t="shared" si="11"/>
        <v>111</v>
      </c>
      <c r="R39" s="1508" t="s">
        <v>8</v>
      </c>
      <c r="S39" s="1509">
        <f t="shared" si="12"/>
        <v>100</v>
      </c>
      <c r="T39" s="1508" t="s">
        <v>8</v>
      </c>
      <c r="U39" s="1509">
        <f t="shared" si="13"/>
        <v>100</v>
      </c>
      <c r="V39" s="1508" t="s">
        <v>8</v>
      </c>
      <c r="W39" s="1509">
        <f t="shared" si="14"/>
        <v>100</v>
      </c>
      <c r="X39" s="1502"/>
      <c r="Y39" s="352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28"/>
      <c r="Q40" s="1507">
        <f t="shared" si="11"/>
        <v>111</v>
      </c>
      <c r="R40" s="1508" t="s">
        <v>8</v>
      </c>
      <c r="S40" s="1509">
        <f t="shared" si="12"/>
        <v>100</v>
      </c>
      <c r="T40" s="1508" t="s">
        <v>8</v>
      </c>
      <c r="U40" s="1509">
        <f t="shared" si="13"/>
        <v>100</v>
      </c>
      <c r="V40" s="1508" t="s">
        <v>8</v>
      </c>
      <c r="W40" s="1509">
        <f t="shared" si="14"/>
        <v>100</v>
      </c>
      <c r="X40" s="1502"/>
      <c r="Y40" s="362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22" t="str">
        <f>A41</f>
        <v>成交单价（元/平方米）</v>
      </c>
      <c r="Q41" s="3522"/>
      <c r="R41" s="3627">
        <f>E41</f>
        <v>0</v>
      </c>
      <c r="S41" s="3627"/>
      <c r="T41" s="3627">
        <f>G41</f>
        <v>0</v>
      </c>
      <c r="U41" s="3627"/>
      <c r="V41" s="3627">
        <f>I41</f>
        <v>0</v>
      </c>
      <c r="W41" s="362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22" t="str">
        <f>A42</f>
        <v>比较价格（元/平方米）</v>
      </c>
      <c r="Q42" s="3522"/>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543" t="str">
        <f>A43</f>
        <v>估价对象XX用房的比较价格（楼面单价，元/平方米）</v>
      </c>
      <c r="Q43" s="3544"/>
      <c r="R43" s="3626" t="e">
        <f>IF(F1="售价",ROUND(IF(D42="简单平均",AVERAGE(R42:V42),R42*F42+T42*H42+V42*J42),0),ROUND(IF(D42="简单平均",AVERAGE(R42:V42),R42*F42+T42*H42+V42*J42),1))</f>
        <v>#DIV/0!</v>
      </c>
      <c r="S43" s="3626"/>
      <c r="T43" s="3626"/>
      <c r="U43" s="3626"/>
      <c r="V43" s="3626"/>
      <c r="W43" s="362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28" t="s">
        <v>793</v>
      </c>
      <c r="F4" s="3529"/>
      <c r="G4" s="3528" t="s">
        <v>794</v>
      </c>
      <c r="H4" s="3529"/>
      <c r="I4" s="3528" t="s">
        <v>795</v>
      </c>
      <c r="J4" s="3529"/>
      <c r="K4" s="508" t="s">
        <v>796</v>
      </c>
      <c r="L4" s="2015"/>
      <c r="M4" s="2016"/>
      <c r="N4" s="2016"/>
      <c r="O4" s="2016"/>
      <c r="P4" s="3530" t="s">
        <v>797</v>
      </c>
      <c r="Q4" s="3531"/>
      <c r="R4" s="3516" t="s">
        <v>793</v>
      </c>
      <c r="S4" s="3517"/>
      <c r="T4" s="3516" t="s">
        <v>794</v>
      </c>
      <c r="U4" s="3517"/>
      <c r="V4" s="3536" t="s">
        <v>795</v>
      </c>
      <c r="W4" s="3536"/>
      <c r="X4" s="1502"/>
      <c r="Y4" s="3516" t="s">
        <v>797</v>
      </c>
      <c r="Z4" s="3517"/>
      <c r="AA4" s="3511" t="s">
        <v>793</v>
      </c>
      <c r="AB4" s="3512" t="s">
        <v>794</v>
      </c>
      <c r="AC4" s="3511" t="s">
        <v>795</v>
      </c>
    </row>
    <row r="5" spans="1:29" ht="15">
      <c r="A5" s="509"/>
      <c r="B5" s="510"/>
      <c r="C5" s="3539" t="s">
        <v>2897</v>
      </c>
      <c r="D5" s="3540"/>
      <c r="E5" s="3539" t="s">
        <v>2898</v>
      </c>
      <c r="F5" s="3540"/>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41" t="s">
        <v>2901</v>
      </c>
      <c r="F6" s="3542"/>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4" t="s">
        <v>524</v>
      </c>
      <c r="Q7" s="3523"/>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2" t="s">
        <v>529</v>
      </c>
      <c r="Q9" s="1134" t="str">
        <f t="shared" ref="Q9:Q14" si="6">B9</f>
        <v>用途</v>
      </c>
      <c r="R9" s="1503" t="s">
        <v>8</v>
      </c>
      <c r="S9" s="1504">
        <f t="shared" si="0"/>
        <v>100</v>
      </c>
      <c r="T9" s="1503" t="s">
        <v>8</v>
      </c>
      <c r="U9" s="1504">
        <f t="shared" si="1"/>
        <v>100</v>
      </c>
      <c r="V9" s="1503" t="s">
        <v>8</v>
      </c>
      <c r="W9" s="1504">
        <f t="shared" si="2"/>
        <v>100</v>
      </c>
      <c r="X9" s="1505"/>
      <c r="Y9" s="347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2"/>
      <c r="Q11" s="1134">
        <f t="shared" si="6"/>
        <v>111</v>
      </c>
      <c r="R11" s="1503" t="s">
        <v>8</v>
      </c>
      <c r="S11" s="1504">
        <f t="shared" si="0"/>
        <v>100</v>
      </c>
      <c r="T11" s="1503" t="s">
        <v>8</v>
      </c>
      <c r="U11" s="1504">
        <f t="shared" si="1"/>
        <v>100</v>
      </c>
      <c r="V11" s="1503" t="s">
        <v>8</v>
      </c>
      <c r="W11" s="1504">
        <f t="shared" si="2"/>
        <v>100</v>
      </c>
      <c r="X11" s="1505"/>
      <c r="Y11" s="347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24" t="s">
        <v>534</v>
      </c>
      <c r="Q14" s="1507" t="str">
        <f t="shared" si="6"/>
        <v>交通便捷度</v>
      </c>
      <c r="R14" s="1508" t="s">
        <v>8</v>
      </c>
      <c r="S14" s="1509">
        <f t="shared" si="0"/>
        <v>100</v>
      </c>
      <c r="T14" s="1508" t="s">
        <v>8</v>
      </c>
      <c r="U14" s="1509">
        <f t="shared" si="1"/>
        <v>100</v>
      </c>
      <c r="V14" s="1508" t="s">
        <v>8</v>
      </c>
      <c r="W14" s="1509">
        <f t="shared" si="2"/>
        <v>100</v>
      </c>
      <c r="X14" s="1502"/>
      <c r="Y14" s="352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25"/>
      <c r="Q15" s="1507"/>
      <c r="R15" s="1508"/>
      <c r="S15" s="1509"/>
      <c r="T15" s="1508"/>
      <c r="U15" s="1509"/>
      <c r="V15" s="1508"/>
      <c r="W15" s="1509"/>
      <c r="X15" s="1502"/>
      <c r="Y15" s="352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25"/>
      <c r="Q16" s="1507" t="str">
        <f>B16</f>
        <v>公共配套设施</v>
      </c>
      <c r="R16" s="1508" t="s">
        <v>8</v>
      </c>
      <c r="S16" s="1509">
        <f>F16</f>
        <v>100</v>
      </c>
      <c r="T16" s="1508" t="s">
        <v>8</v>
      </c>
      <c r="U16" s="1509">
        <f>H16</f>
        <v>100</v>
      </c>
      <c r="V16" s="1508" t="s">
        <v>8</v>
      </c>
      <c r="W16" s="1509">
        <f>J16</f>
        <v>100</v>
      </c>
      <c r="X16" s="1502"/>
      <c r="Y16" s="352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25"/>
      <c r="Q17" s="1507"/>
      <c r="R17" s="1508"/>
      <c r="S17" s="1509"/>
      <c r="T17" s="1508"/>
      <c r="U17" s="1509"/>
      <c r="V17" s="1508"/>
      <c r="W17" s="1509"/>
      <c r="X17" s="1502"/>
      <c r="Y17" s="352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25"/>
      <c r="Q18" s="2429" t="str">
        <f>B18</f>
        <v>基础设施水平</v>
      </c>
      <c r="R18" s="1508" t="s">
        <v>8</v>
      </c>
      <c r="S18" s="1509">
        <f>F18</f>
        <v>100</v>
      </c>
      <c r="T18" s="1508" t="s">
        <v>8</v>
      </c>
      <c r="U18" s="1509">
        <f>H18</f>
        <v>100</v>
      </c>
      <c r="V18" s="1508" t="s">
        <v>8</v>
      </c>
      <c r="W18" s="1509">
        <f>J18</f>
        <v>100</v>
      </c>
      <c r="X18" s="2431"/>
      <c r="Y18" s="352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25"/>
      <c r="Q19" s="2429"/>
      <c r="R19" s="1508"/>
      <c r="S19" s="1509"/>
      <c r="T19" s="1508"/>
      <c r="U19" s="1509"/>
      <c r="V19" s="1508"/>
      <c r="W19" s="1509"/>
      <c r="X19" s="2431"/>
      <c r="Y19" s="352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25"/>
      <c r="Q20" s="1507" t="str">
        <f>B20</f>
        <v>自然及人文环境</v>
      </c>
      <c r="R20" s="1508" t="s">
        <v>8</v>
      </c>
      <c r="S20" s="1509">
        <f>F20</f>
        <v>100</v>
      </c>
      <c r="T20" s="1508" t="s">
        <v>8</v>
      </c>
      <c r="U20" s="1509">
        <f>H20</f>
        <v>100</v>
      </c>
      <c r="V20" s="1508" t="s">
        <v>8</v>
      </c>
      <c r="W20" s="1509">
        <f>J20</f>
        <v>100</v>
      </c>
      <c r="X20" s="1502"/>
      <c r="Y20" s="352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25"/>
      <c r="Q21" s="1507"/>
      <c r="R21" s="1508"/>
      <c r="S21" s="1509"/>
      <c r="T21" s="1508"/>
      <c r="U21" s="1509"/>
      <c r="V21" s="1508"/>
      <c r="W21" s="1509"/>
      <c r="X21" s="1502"/>
      <c r="Y21" s="352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5"/>
      <c r="Q22" s="1507" t="str">
        <f>B22</f>
        <v>楼层</v>
      </c>
      <c r="R22" s="1508" t="s">
        <v>8</v>
      </c>
      <c r="S22" s="1509">
        <f>F22</f>
        <v>100</v>
      </c>
      <c r="T22" s="1508" t="s">
        <v>8</v>
      </c>
      <c r="U22" s="1509">
        <f>H22</f>
        <v>100</v>
      </c>
      <c r="V22" s="1508" t="s">
        <v>8</v>
      </c>
      <c r="W22" s="1509">
        <f>J22</f>
        <v>100</v>
      </c>
      <c r="X22" s="1502"/>
      <c r="Y22" s="352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5"/>
      <c r="Q23" s="1507">
        <f>B23</f>
        <v>111</v>
      </c>
      <c r="R23" s="1508" t="s">
        <v>8</v>
      </c>
      <c r="S23" s="1509">
        <f>F23</f>
        <v>100</v>
      </c>
      <c r="T23" s="1508" t="s">
        <v>8</v>
      </c>
      <c r="U23" s="1509">
        <f>H23</f>
        <v>100</v>
      </c>
      <c r="V23" s="1508" t="s">
        <v>8</v>
      </c>
      <c r="W23" s="1509">
        <f>J23</f>
        <v>100</v>
      </c>
      <c r="X23" s="1502"/>
      <c r="Y23" s="352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5"/>
      <c r="Q24" s="1507">
        <f t="shared" ref="Q24:Q36" si="11">B24</f>
        <v>111</v>
      </c>
      <c r="R24" s="1508" t="s">
        <v>8</v>
      </c>
      <c r="S24" s="1509">
        <f>F24</f>
        <v>100</v>
      </c>
      <c r="T24" s="1508" t="s">
        <v>8</v>
      </c>
      <c r="U24" s="1509">
        <f>H24</f>
        <v>100</v>
      </c>
      <c r="V24" s="1508" t="s">
        <v>8</v>
      </c>
      <c r="W24" s="1509">
        <f>J24</f>
        <v>100</v>
      </c>
      <c r="X24" s="1502"/>
      <c r="Y24" s="352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25"/>
      <c r="Q25" s="1134">
        <f t="shared" si="11"/>
        <v>111</v>
      </c>
      <c r="R25" s="1503" t="s">
        <v>8</v>
      </c>
      <c r="S25" s="1504">
        <f>F25</f>
        <v>100</v>
      </c>
      <c r="T25" s="1503" t="s">
        <v>8</v>
      </c>
      <c r="U25" s="1504">
        <f>H25</f>
        <v>100</v>
      </c>
      <c r="V25" s="1503" t="s">
        <v>8</v>
      </c>
      <c r="W25" s="1504">
        <f>J25</f>
        <v>100</v>
      </c>
      <c r="X25" s="1505"/>
      <c r="Y25" s="352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2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27"/>
      <c r="Q27" s="1536" t="str">
        <f t="shared" si="11"/>
        <v>项目停车位配比</v>
      </c>
      <c r="R27" s="1512" t="s">
        <v>8</v>
      </c>
      <c r="S27" s="1513">
        <f t="shared" si="12"/>
        <v>100</v>
      </c>
      <c r="T27" s="1512" t="s">
        <v>8</v>
      </c>
      <c r="U27" s="1513">
        <f t="shared" si="13"/>
        <v>100</v>
      </c>
      <c r="V27" s="1512" t="s">
        <v>8</v>
      </c>
      <c r="W27" s="1513">
        <f t="shared" si="14"/>
        <v>100</v>
      </c>
      <c r="X27" s="1514"/>
      <c r="Y27" s="352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7"/>
      <c r="Q28" s="1507" t="str">
        <f t="shared" si="11"/>
        <v>公共部分装修</v>
      </c>
      <c r="R28" s="1508" t="s">
        <v>8</v>
      </c>
      <c r="S28" s="1509">
        <f t="shared" si="12"/>
        <v>100</v>
      </c>
      <c r="T28" s="1508" t="s">
        <v>8</v>
      </c>
      <c r="U28" s="1509">
        <f t="shared" si="13"/>
        <v>100</v>
      </c>
      <c r="V28" s="1508" t="s">
        <v>8</v>
      </c>
      <c r="W28" s="1509">
        <f t="shared" si="14"/>
        <v>100</v>
      </c>
      <c r="X28" s="1502"/>
      <c r="Y28" s="352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27"/>
      <c r="Q29" s="1507" t="str">
        <f t="shared" si="11"/>
        <v>成新率</v>
      </c>
      <c r="R29" s="1508" t="s">
        <v>8</v>
      </c>
      <c r="S29" s="1509" t="e">
        <f t="shared" si="12"/>
        <v>#N/A</v>
      </c>
      <c r="T29" s="1508" t="s">
        <v>8</v>
      </c>
      <c r="U29" s="1509" t="e">
        <f t="shared" si="13"/>
        <v>#N/A</v>
      </c>
      <c r="V29" s="1508" t="s">
        <v>8</v>
      </c>
      <c r="W29" s="1509" t="e">
        <f t="shared" si="14"/>
        <v>#N/A</v>
      </c>
      <c r="X29" s="1502"/>
      <c r="Y29" s="352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27"/>
      <c r="Q30" s="1507" t="str">
        <f t="shared" si="11"/>
        <v>物业等级</v>
      </c>
      <c r="R30" s="1508" t="s">
        <v>8</v>
      </c>
      <c r="S30" s="1509">
        <f t="shared" si="12"/>
        <v>100</v>
      </c>
      <c r="T30" s="1508" t="s">
        <v>8</v>
      </c>
      <c r="U30" s="1509">
        <f t="shared" si="13"/>
        <v>100</v>
      </c>
      <c r="V30" s="1508" t="s">
        <v>8</v>
      </c>
      <c r="W30" s="1509">
        <f t="shared" si="14"/>
        <v>100</v>
      </c>
      <c r="X30" s="1502"/>
      <c r="Y30" s="352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27"/>
      <c r="Q31" s="1134" t="str">
        <f t="shared" si="11"/>
        <v>停车位面积</v>
      </c>
      <c r="R31" s="1503" t="s">
        <v>8</v>
      </c>
      <c r="S31" s="1504" t="e">
        <f t="shared" si="12"/>
        <v>#N/A</v>
      </c>
      <c r="T31" s="1503" t="s">
        <v>8</v>
      </c>
      <c r="U31" s="1504" t="e">
        <f t="shared" si="13"/>
        <v>#N/A</v>
      </c>
      <c r="V31" s="1503" t="s">
        <v>8</v>
      </c>
      <c r="W31" s="1504" t="e">
        <f t="shared" si="14"/>
        <v>#N/A</v>
      </c>
      <c r="X31" s="1505"/>
      <c r="Y31" s="352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7" t="s">
        <v>544</v>
      </c>
      <c r="Q32" s="1507" t="str">
        <f t="shared" si="11"/>
        <v>车位类型</v>
      </c>
      <c r="R32" s="1508" t="s">
        <v>8</v>
      </c>
      <c r="S32" s="1509">
        <f t="shared" si="12"/>
        <v>100</v>
      </c>
      <c r="T32" s="1508" t="s">
        <v>8</v>
      </c>
      <c r="U32" s="1509">
        <f t="shared" si="13"/>
        <v>100</v>
      </c>
      <c r="V32" s="1508" t="s">
        <v>8</v>
      </c>
      <c r="W32" s="1509">
        <f t="shared" si="14"/>
        <v>100</v>
      </c>
      <c r="X32" s="1502"/>
      <c r="Y32" s="352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7"/>
      <c r="Q33" s="1507" t="str">
        <f t="shared" si="11"/>
        <v>是否直接入户</v>
      </c>
      <c r="R33" s="1508" t="s">
        <v>8</v>
      </c>
      <c r="S33" s="1509">
        <f t="shared" si="12"/>
        <v>100</v>
      </c>
      <c r="T33" s="1508" t="s">
        <v>8</v>
      </c>
      <c r="U33" s="1509">
        <f t="shared" si="13"/>
        <v>100</v>
      </c>
      <c r="V33" s="1508" t="s">
        <v>8</v>
      </c>
      <c r="W33" s="1509">
        <f t="shared" si="14"/>
        <v>100</v>
      </c>
      <c r="X33" s="1502"/>
      <c r="Y33" s="352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7"/>
      <c r="Q34" s="1507">
        <f t="shared" si="11"/>
        <v>111</v>
      </c>
      <c r="R34" s="1508" t="s">
        <v>8</v>
      </c>
      <c r="S34" s="1509">
        <f t="shared" si="12"/>
        <v>100</v>
      </c>
      <c r="T34" s="1508" t="s">
        <v>8</v>
      </c>
      <c r="U34" s="1509">
        <f t="shared" si="13"/>
        <v>100</v>
      </c>
      <c r="V34" s="1508" t="s">
        <v>8</v>
      </c>
      <c r="W34" s="1509">
        <f t="shared" si="14"/>
        <v>100</v>
      </c>
      <c r="X34" s="1502"/>
      <c r="Y34" s="352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7"/>
      <c r="Q35" s="1536">
        <f t="shared" si="11"/>
        <v>111</v>
      </c>
      <c r="R35" s="1512" t="s">
        <v>8</v>
      </c>
      <c r="S35" s="1513">
        <f t="shared" si="12"/>
        <v>100</v>
      </c>
      <c r="T35" s="1512" t="s">
        <v>8</v>
      </c>
      <c r="U35" s="1513">
        <f t="shared" si="13"/>
        <v>100</v>
      </c>
      <c r="V35" s="1512" t="s">
        <v>8</v>
      </c>
      <c r="W35" s="1513">
        <f t="shared" si="14"/>
        <v>100</v>
      </c>
      <c r="X35" s="1514"/>
      <c r="Y35" s="352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7"/>
      <c r="Q36" s="1507">
        <f t="shared" si="11"/>
        <v>111</v>
      </c>
      <c r="R36" s="1508" t="s">
        <v>8</v>
      </c>
      <c r="S36" s="1509">
        <f t="shared" si="12"/>
        <v>100</v>
      </c>
      <c r="T36" s="1508" t="s">
        <v>8</v>
      </c>
      <c r="U36" s="1509">
        <f t="shared" si="13"/>
        <v>100</v>
      </c>
      <c r="V36" s="1508" t="s">
        <v>8</v>
      </c>
      <c r="W36" s="1509">
        <f t="shared" si="14"/>
        <v>100</v>
      </c>
      <c r="X36" s="1502"/>
      <c r="Y36" s="352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22" t="str">
        <f>A37</f>
        <v>成交单价</v>
      </c>
      <c r="Q37" s="3522"/>
      <c r="R37" s="3627">
        <f>E37</f>
        <v>0</v>
      </c>
      <c r="S37" s="3627"/>
      <c r="T37" s="3627">
        <f>G37</f>
        <v>0</v>
      </c>
      <c r="U37" s="3627"/>
      <c r="V37" s="3627">
        <f>I37</f>
        <v>0</v>
      </c>
      <c r="W37" s="362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22" t="str">
        <f>A38</f>
        <v>比较价格（元/平方米）</v>
      </c>
      <c r="Q38" s="3522"/>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543" t="str">
        <f>A39</f>
        <v>估价对象XX用房的比较价格（楼面单价，元/平方米）</v>
      </c>
      <c r="Q39" s="3544"/>
      <c r="R39" s="3626" t="e">
        <f>IF(F1="售价",ROUND(IF(D38="简单平均",AVERAGE(R38:W38),R38*F38+T38*H38+V38*J38),0),ROUND(IF(D38="简单平均",AVERAGE(R38:V38),R38*F38+T38*H38+V38*J38),1))</f>
        <v>#DIV/0!</v>
      </c>
      <c r="S39" s="3626"/>
      <c r="T39" s="3626"/>
      <c r="U39" s="3626"/>
      <c r="V39" s="3626"/>
      <c r="W39" s="362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53" t="s">
        <v>793</v>
      </c>
      <c r="F4" s="3554"/>
      <c r="G4" s="3528" t="s">
        <v>794</v>
      </c>
      <c r="H4" s="3529"/>
      <c r="I4" s="3528" t="s">
        <v>795</v>
      </c>
      <c r="J4" s="3529"/>
      <c r="K4" s="508" t="s">
        <v>796</v>
      </c>
      <c r="L4" s="2015"/>
      <c r="M4" s="2016"/>
      <c r="N4" s="2016"/>
      <c r="O4" s="2016"/>
      <c r="P4" s="3530" t="s">
        <v>797</v>
      </c>
      <c r="Q4" s="3531"/>
      <c r="R4" s="3516" t="s">
        <v>793</v>
      </c>
      <c r="S4" s="3517"/>
      <c r="T4" s="3516" t="s">
        <v>794</v>
      </c>
      <c r="U4" s="3517"/>
      <c r="V4" s="3536" t="s">
        <v>795</v>
      </c>
      <c r="W4" s="3536"/>
      <c r="X4" s="1502"/>
      <c r="Y4" s="3516" t="s">
        <v>797</v>
      </c>
      <c r="Z4" s="3517"/>
      <c r="AA4" s="3511" t="s">
        <v>793</v>
      </c>
      <c r="AB4" s="3512" t="s">
        <v>794</v>
      </c>
      <c r="AC4" s="3511" t="s">
        <v>795</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4" t="s">
        <v>524</v>
      </c>
      <c r="Q7" s="3523"/>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2" t="s">
        <v>529</v>
      </c>
      <c r="Q9" s="1134" t="str">
        <f t="shared" ref="Q9:Q14" si="6">B9</f>
        <v>用途</v>
      </c>
      <c r="R9" s="1503" t="s">
        <v>8</v>
      </c>
      <c r="S9" s="1504">
        <f t="shared" si="0"/>
        <v>100</v>
      </c>
      <c r="T9" s="1503" t="s">
        <v>8</v>
      </c>
      <c r="U9" s="1504">
        <f t="shared" si="1"/>
        <v>100</v>
      </c>
      <c r="V9" s="1503" t="s">
        <v>8</v>
      </c>
      <c r="W9" s="1504">
        <f t="shared" si="2"/>
        <v>100</v>
      </c>
      <c r="X9" s="1505"/>
      <c r="Y9" s="347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22"/>
      <c r="Q11" s="1134">
        <f t="shared" si="6"/>
        <v>111</v>
      </c>
      <c r="R11" s="1503" t="s">
        <v>8</v>
      </c>
      <c r="S11" s="1504">
        <f t="shared" si="0"/>
        <v>100</v>
      </c>
      <c r="T11" s="1503" t="s">
        <v>8</v>
      </c>
      <c r="U11" s="1504">
        <f t="shared" si="1"/>
        <v>100</v>
      </c>
      <c r="V11" s="1503" t="s">
        <v>8</v>
      </c>
      <c r="W11" s="1504">
        <f t="shared" si="2"/>
        <v>100</v>
      </c>
      <c r="X11" s="1505"/>
      <c r="Y11" s="347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24" t="s">
        <v>534</v>
      </c>
      <c r="Q14" s="1507" t="str">
        <f t="shared" si="6"/>
        <v>交通便捷度</v>
      </c>
      <c r="R14" s="1508" t="s">
        <v>8</v>
      </c>
      <c r="S14" s="1509">
        <f t="shared" si="0"/>
        <v>100</v>
      </c>
      <c r="T14" s="1508" t="s">
        <v>8</v>
      </c>
      <c r="U14" s="1509">
        <f t="shared" si="1"/>
        <v>100</v>
      </c>
      <c r="V14" s="1508" t="s">
        <v>8</v>
      </c>
      <c r="W14" s="1509">
        <f t="shared" si="2"/>
        <v>100</v>
      </c>
      <c r="X14" s="1502"/>
      <c r="Y14" s="352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25"/>
      <c r="Q15" s="1507"/>
      <c r="R15" s="1508"/>
      <c r="S15" s="1509"/>
      <c r="T15" s="1508"/>
      <c r="U15" s="1509"/>
      <c r="V15" s="1508"/>
      <c r="W15" s="1509"/>
      <c r="X15" s="1502"/>
      <c r="Y15" s="352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25"/>
      <c r="Q16" s="1507" t="str">
        <f>B16</f>
        <v>公共配套设施</v>
      </c>
      <c r="R16" s="1508" t="s">
        <v>8</v>
      </c>
      <c r="S16" s="1509">
        <f>F16</f>
        <v>100</v>
      </c>
      <c r="T16" s="1508" t="s">
        <v>8</v>
      </c>
      <c r="U16" s="1509">
        <f>H16</f>
        <v>100</v>
      </c>
      <c r="V16" s="1508" t="s">
        <v>8</v>
      </c>
      <c r="W16" s="1509">
        <f>J16</f>
        <v>100</v>
      </c>
      <c r="X16" s="1502"/>
      <c r="Y16" s="352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25"/>
      <c r="Q17" s="1507"/>
      <c r="R17" s="1508"/>
      <c r="S17" s="1509"/>
      <c r="T17" s="1508"/>
      <c r="U17" s="1509"/>
      <c r="V17" s="1508"/>
      <c r="W17" s="1509"/>
      <c r="X17" s="1502"/>
      <c r="Y17" s="352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25"/>
      <c r="Q18" s="2429" t="str">
        <f>B18</f>
        <v>基础设施水平</v>
      </c>
      <c r="R18" s="1508" t="s">
        <v>8</v>
      </c>
      <c r="S18" s="1509">
        <f>F18</f>
        <v>100</v>
      </c>
      <c r="T18" s="1508" t="s">
        <v>8</v>
      </c>
      <c r="U18" s="1509">
        <f>H18</f>
        <v>100</v>
      </c>
      <c r="V18" s="1508" t="s">
        <v>8</v>
      </c>
      <c r="W18" s="1509">
        <f>J18</f>
        <v>100</v>
      </c>
      <c r="X18" s="2431"/>
      <c r="Y18" s="352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25"/>
      <c r="Q19" s="2429"/>
      <c r="R19" s="1508"/>
      <c r="S19" s="1509"/>
      <c r="T19" s="1508"/>
      <c r="U19" s="1509"/>
      <c r="V19" s="1508"/>
      <c r="W19" s="1509"/>
      <c r="X19" s="2431"/>
      <c r="Y19" s="352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25"/>
      <c r="Q20" s="1507" t="str">
        <f>B20</f>
        <v>自然及人文环境</v>
      </c>
      <c r="R20" s="1508" t="s">
        <v>8</v>
      </c>
      <c r="S20" s="1509">
        <f>F20</f>
        <v>100</v>
      </c>
      <c r="T20" s="1508" t="s">
        <v>8</v>
      </c>
      <c r="U20" s="1509">
        <f>H20</f>
        <v>100</v>
      </c>
      <c r="V20" s="1508" t="s">
        <v>8</v>
      </c>
      <c r="W20" s="1509">
        <f>J20</f>
        <v>100</v>
      </c>
      <c r="X20" s="1502"/>
      <c r="Y20" s="352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25"/>
      <c r="Q21" s="1507"/>
      <c r="R21" s="1508"/>
      <c r="S21" s="1509"/>
      <c r="T21" s="1508"/>
      <c r="U21" s="1509"/>
      <c r="V21" s="1508"/>
      <c r="W21" s="1509"/>
      <c r="X21" s="1502"/>
      <c r="Y21" s="352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5"/>
      <c r="Q22" s="1507" t="str">
        <f>B22</f>
        <v>楼层</v>
      </c>
      <c r="R22" s="1508" t="s">
        <v>8</v>
      </c>
      <c r="S22" s="1509">
        <f>F22</f>
        <v>100</v>
      </c>
      <c r="T22" s="1508" t="s">
        <v>8</v>
      </c>
      <c r="U22" s="1509">
        <f>H22</f>
        <v>100</v>
      </c>
      <c r="V22" s="1508" t="s">
        <v>8</v>
      </c>
      <c r="W22" s="1509">
        <f>J22</f>
        <v>100</v>
      </c>
      <c r="X22" s="1502"/>
      <c r="Y22" s="352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5"/>
      <c r="Q23" s="1507">
        <f>B23</f>
        <v>111</v>
      </c>
      <c r="R23" s="1508" t="s">
        <v>8</v>
      </c>
      <c r="S23" s="1509">
        <f>F23</f>
        <v>100</v>
      </c>
      <c r="T23" s="1508" t="s">
        <v>8</v>
      </c>
      <c r="U23" s="1509">
        <f>H23</f>
        <v>100</v>
      </c>
      <c r="V23" s="1508" t="s">
        <v>8</v>
      </c>
      <c r="W23" s="1509">
        <f>J23</f>
        <v>100</v>
      </c>
      <c r="X23" s="1502"/>
      <c r="Y23" s="352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5"/>
      <c r="Q24" s="1507">
        <f t="shared" ref="Q24:Q34" si="11">B24</f>
        <v>111</v>
      </c>
      <c r="R24" s="1508" t="s">
        <v>8</v>
      </c>
      <c r="S24" s="1509">
        <f>F24</f>
        <v>100</v>
      </c>
      <c r="T24" s="1508" t="s">
        <v>8</v>
      </c>
      <c r="U24" s="1509">
        <f>H24</f>
        <v>100</v>
      </c>
      <c r="V24" s="1508" t="s">
        <v>8</v>
      </c>
      <c r="W24" s="1509">
        <f>J24</f>
        <v>100</v>
      </c>
      <c r="X24" s="1502"/>
      <c r="Y24" s="352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25"/>
      <c r="Q25" s="1134">
        <f t="shared" si="11"/>
        <v>111</v>
      </c>
      <c r="R25" s="1503" t="s">
        <v>8</v>
      </c>
      <c r="S25" s="1504">
        <f>F25</f>
        <v>100</v>
      </c>
      <c r="T25" s="1503" t="s">
        <v>8</v>
      </c>
      <c r="U25" s="1504">
        <f>H25</f>
        <v>100</v>
      </c>
      <c r="V25" s="1503" t="s">
        <v>8</v>
      </c>
      <c r="W25" s="1504">
        <f>J25</f>
        <v>100</v>
      </c>
      <c r="X25" s="1505"/>
      <c r="Y25" s="352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2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2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27"/>
      <c r="Q27" s="1536" t="str">
        <f t="shared" si="11"/>
        <v>成新率</v>
      </c>
      <c r="R27" s="1512" t="s">
        <v>8</v>
      </c>
      <c r="S27" s="1513" t="e">
        <f t="shared" si="12"/>
        <v>#N/A</v>
      </c>
      <c r="T27" s="1512" t="s">
        <v>8</v>
      </c>
      <c r="U27" s="1513" t="e">
        <f t="shared" si="13"/>
        <v>#N/A</v>
      </c>
      <c r="V27" s="1512" t="s">
        <v>8</v>
      </c>
      <c r="W27" s="1513" t="e">
        <f t="shared" si="14"/>
        <v>#N/A</v>
      </c>
      <c r="X27" s="1514"/>
      <c r="Y27" s="352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7"/>
      <c r="Q28" s="1507" t="str">
        <f t="shared" si="11"/>
        <v>物业等级</v>
      </c>
      <c r="R28" s="1508" t="s">
        <v>8</v>
      </c>
      <c r="S28" s="1509">
        <f t="shared" si="12"/>
        <v>100</v>
      </c>
      <c r="T28" s="1508" t="s">
        <v>8</v>
      </c>
      <c r="U28" s="1509">
        <f t="shared" si="13"/>
        <v>100</v>
      </c>
      <c r="V28" s="1508" t="s">
        <v>8</v>
      </c>
      <c r="W28" s="1509">
        <f t="shared" si="14"/>
        <v>100</v>
      </c>
      <c r="X28" s="1502"/>
      <c r="Y28" s="352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27"/>
      <c r="Q29" s="1507" t="str">
        <f t="shared" si="11"/>
        <v>有无电梯</v>
      </c>
      <c r="R29" s="1508" t="s">
        <v>8</v>
      </c>
      <c r="S29" s="1509">
        <f t="shared" si="12"/>
        <v>100</v>
      </c>
      <c r="T29" s="1508" t="s">
        <v>8</v>
      </c>
      <c r="U29" s="1509">
        <f t="shared" si="13"/>
        <v>100</v>
      </c>
      <c r="V29" s="1508" t="s">
        <v>8</v>
      </c>
      <c r="W29" s="1509">
        <f t="shared" si="14"/>
        <v>100</v>
      </c>
      <c r="X29" s="1502"/>
      <c r="Y29" s="352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27"/>
      <c r="Q30" s="1507" t="str">
        <f t="shared" si="11"/>
        <v>建筑面积</v>
      </c>
      <c r="R30" s="1508" t="s">
        <v>8</v>
      </c>
      <c r="S30" s="1509" t="e">
        <f t="shared" si="12"/>
        <v>#N/A</v>
      </c>
      <c r="T30" s="1508" t="s">
        <v>8</v>
      </c>
      <c r="U30" s="1509" t="e">
        <f t="shared" si="13"/>
        <v>#N/A</v>
      </c>
      <c r="V30" s="1508" t="s">
        <v>8</v>
      </c>
      <c r="W30" s="1509" t="e">
        <f t="shared" si="14"/>
        <v>#N/A</v>
      </c>
      <c r="X30" s="1502"/>
      <c r="Y30" s="352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27"/>
      <c r="Q31" s="1134" t="str">
        <f t="shared" si="11"/>
        <v>是否封闭</v>
      </c>
      <c r="R31" s="1503" t="s">
        <v>8</v>
      </c>
      <c r="S31" s="1504">
        <f t="shared" si="12"/>
        <v>100</v>
      </c>
      <c r="T31" s="1503" t="s">
        <v>8</v>
      </c>
      <c r="U31" s="1504">
        <f t="shared" si="13"/>
        <v>100</v>
      </c>
      <c r="V31" s="1503" t="s">
        <v>8</v>
      </c>
      <c r="W31" s="1504">
        <f t="shared" si="14"/>
        <v>100</v>
      </c>
      <c r="X31" s="1505"/>
      <c r="Y31" s="352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27" t="s">
        <v>544</v>
      </c>
      <c r="Q32" s="1507">
        <f t="shared" si="11"/>
        <v>111</v>
      </c>
      <c r="R32" s="1508" t="s">
        <v>8</v>
      </c>
      <c r="S32" s="1509">
        <f t="shared" si="12"/>
        <v>100</v>
      </c>
      <c r="T32" s="1508" t="s">
        <v>8</v>
      </c>
      <c r="U32" s="1509">
        <f t="shared" si="13"/>
        <v>100</v>
      </c>
      <c r="V32" s="1508" t="s">
        <v>8</v>
      </c>
      <c r="W32" s="1509">
        <f t="shared" si="14"/>
        <v>100</v>
      </c>
      <c r="X32" s="1502"/>
      <c r="Y32" s="352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27"/>
      <c r="Q33" s="1507">
        <f t="shared" si="11"/>
        <v>111</v>
      </c>
      <c r="R33" s="1508" t="s">
        <v>8</v>
      </c>
      <c r="S33" s="1509">
        <f t="shared" si="12"/>
        <v>100</v>
      </c>
      <c r="T33" s="1508" t="s">
        <v>8</v>
      </c>
      <c r="U33" s="1509">
        <f t="shared" si="13"/>
        <v>100</v>
      </c>
      <c r="V33" s="1508" t="s">
        <v>8</v>
      </c>
      <c r="W33" s="1509">
        <f t="shared" si="14"/>
        <v>100</v>
      </c>
      <c r="X33" s="1502"/>
      <c r="Y33" s="352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27"/>
      <c r="Q34" s="1507">
        <f t="shared" si="11"/>
        <v>111</v>
      </c>
      <c r="R34" s="1508" t="s">
        <v>8</v>
      </c>
      <c r="S34" s="1509">
        <f t="shared" si="12"/>
        <v>100</v>
      </c>
      <c r="T34" s="1508" t="s">
        <v>8</v>
      </c>
      <c r="U34" s="1509">
        <f t="shared" si="13"/>
        <v>100</v>
      </c>
      <c r="V34" s="1508" t="s">
        <v>8</v>
      </c>
      <c r="W34" s="1509">
        <f t="shared" si="14"/>
        <v>100</v>
      </c>
      <c r="X34" s="1502"/>
      <c r="Y34" s="352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22" t="str">
        <f>A35</f>
        <v>成交单价（元/平方米）</v>
      </c>
      <c r="Q35" s="3522"/>
      <c r="R35" s="3627">
        <f>E35</f>
        <v>0</v>
      </c>
      <c r="S35" s="3627"/>
      <c r="T35" s="3627">
        <f>G35</f>
        <v>0</v>
      </c>
      <c r="U35" s="3627"/>
      <c r="V35" s="3627">
        <f>I35</f>
        <v>0</v>
      </c>
      <c r="W35" s="362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22" t="str">
        <f>A36</f>
        <v>比较价格（元/平方米）</v>
      </c>
      <c r="Q36" s="3522"/>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543" t="str">
        <f>A37</f>
        <v>估价对象XX用房的比较价格（楼面单价，元/平方米）</v>
      </c>
      <c r="Q37" s="3544"/>
      <c r="R37" s="3626" t="e">
        <f>IF(F1="售价",ROUND(IF(D36="简单平均",AVERAGE(R36:W36),R36*F36+T36*H36+V36*J36),0),ROUND(IF(D36="简单平均",AVERAGE(R36:V36),R36*F36+T36*H36+V36*J36),1))</f>
        <v>#DIV/0!</v>
      </c>
      <c r="S37" s="3626"/>
      <c r="T37" s="3626"/>
      <c r="U37" s="3626"/>
      <c r="V37" s="3626"/>
      <c r="W37" s="362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23300平方米。根据《建设工程规划许可证》[]、《出让合同》[]，估价对象规划建筑面积为23300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F37" sqref="F37"/>
      <selection pane="bottomLeft" activeCell="F37" sqref="F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36" t="s">
        <v>2292</v>
      </c>
      <c r="D1" s="3637"/>
      <c r="E1" s="3637"/>
      <c r="F1" s="3637"/>
      <c r="G1" s="3637"/>
      <c r="H1" s="3637"/>
      <c r="I1" s="3637"/>
      <c r="J1" s="3637"/>
      <c r="K1" s="3637"/>
      <c r="L1" s="3637"/>
      <c r="M1" s="3637"/>
      <c r="N1" s="3637"/>
      <c r="O1" s="3637"/>
      <c r="P1" s="3637"/>
      <c r="Q1" s="3637"/>
      <c r="R1" s="3637"/>
      <c r="S1" s="363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3" t="s">
        <v>20</v>
      </c>
      <c r="D22" s="3634"/>
      <c r="E22" s="3634"/>
      <c r="F22" s="3634"/>
      <c r="G22" s="3634"/>
      <c r="H22" s="3634"/>
      <c r="I22" s="3634"/>
      <c r="J22" s="3634"/>
      <c r="K22" s="3634"/>
      <c r="L22" s="3634"/>
      <c r="M22" s="3634"/>
      <c r="N22" s="3634"/>
      <c r="O22" s="3634"/>
      <c r="P22" s="3634"/>
      <c r="Q22" s="3635"/>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44071</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G15" activePane="bottomRight" state="frozen"/>
      <selection pane="topRight" activeCell="H1" sqref="H1"/>
      <selection pane="bottomLeft" activeCell="A4" sqref="A4"/>
      <selection pane="bottomRight" activeCell="T22" sqref="T22"/>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4" ht="39.75" customHeight="1">
      <c r="A1" s="3643" t="s">
        <v>3020</v>
      </c>
      <c r="B1" s="3644"/>
      <c r="C1" s="3644"/>
      <c r="D1" s="3644"/>
      <c r="E1" s="3644"/>
      <c r="F1" s="3644"/>
      <c r="G1" s="3644"/>
      <c r="H1" s="3644"/>
      <c r="I1" s="3644"/>
      <c r="J1" s="3644"/>
      <c r="K1" s="3644"/>
      <c r="L1" s="3644"/>
      <c r="M1" s="3644"/>
    </row>
    <row r="2" spans="1:14" ht="23.25" customHeight="1">
      <c r="A2" s="3639" t="s">
        <v>3021</v>
      </c>
      <c r="B2" s="3639" t="s">
        <v>3022</v>
      </c>
      <c r="C2" s="3639" t="s">
        <v>3023</v>
      </c>
      <c r="D2" s="3645" t="s">
        <v>3024</v>
      </c>
      <c r="E2" s="3645" t="s">
        <v>3025</v>
      </c>
      <c r="F2" s="3639" t="s">
        <v>3026</v>
      </c>
      <c r="G2" s="3639" t="s">
        <v>3027</v>
      </c>
      <c r="H2" s="3639" t="s">
        <v>3028</v>
      </c>
      <c r="I2" s="3639" t="s">
        <v>3029</v>
      </c>
      <c r="J2" s="3639" t="s">
        <v>3030</v>
      </c>
      <c r="K2" s="3641" t="s">
        <v>3031</v>
      </c>
      <c r="L2" s="3642" t="s">
        <v>3032</v>
      </c>
      <c r="M2" s="3642"/>
    </row>
    <row r="3" spans="1:14" s="3286" customFormat="1" ht="23.25" customHeight="1">
      <c r="A3" s="3640"/>
      <c r="B3" s="3640"/>
      <c r="C3" s="3640"/>
      <c r="D3" s="3646"/>
      <c r="E3" s="3646"/>
      <c r="F3" s="3640"/>
      <c r="G3" s="3640"/>
      <c r="H3" s="3640"/>
      <c r="I3" s="3640"/>
      <c r="J3" s="3640"/>
      <c r="K3" s="3641"/>
      <c r="L3" s="3285" t="s">
        <v>3033</v>
      </c>
      <c r="M3" s="3285" t="s">
        <v>3034</v>
      </c>
    </row>
    <row r="4" spans="1:14" s="3293" customFormat="1" ht="95.25" hidden="1" customHeight="1">
      <c r="A4" s="3287">
        <v>2016</v>
      </c>
      <c r="B4" s="3288" t="s">
        <v>3035</v>
      </c>
      <c r="C4" s="3288" t="s">
        <v>3036</v>
      </c>
      <c r="D4" s="3289" t="s">
        <v>3037</v>
      </c>
      <c r="E4" s="3289" t="s">
        <v>3038</v>
      </c>
      <c r="F4" s="3290" t="s">
        <v>3039</v>
      </c>
      <c r="G4" s="3289" t="s">
        <v>3040</v>
      </c>
      <c r="H4" s="3289" t="s">
        <v>3041</v>
      </c>
      <c r="I4" s="3289" t="s">
        <v>3042</v>
      </c>
      <c r="J4" s="3289" t="s">
        <v>3043</v>
      </c>
      <c r="K4" s="3291">
        <v>16.73</v>
      </c>
      <c r="L4" s="3289">
        <v>15586.51</v>
      </c>
      <c r="M4" s="3289">
        <v>24154.36</v>
      </c>
      <c r="N4" s="3292">
        <f t="shared" ref="N4:N9" si="0">(L4+M4)/K4</f>
        <v>2375.4255827854154</v>
      </c>
    </row>
    <row r="5" spans="1:14" s="3293" customFormat="1" ht="95.25" hidden="1" customHeight="1">
      <c r="A5" s="3287">
        <v>2016</v>
      </c>
      <c r="B5" s="3288" t="s">
        <v>3035</v>
      </c>
      <c r="C5" s="3288" t="s">
        <v>3036</v>
      </c>
      <c r="D5" s="3289" t="s">
        <v>3037</v>
      </c>
      <c r="E5" s="3289" t="s">
        <v>3038</v>
      </c>
      <c r="F5" s="3290" t="s">
        <v>3044</v>
      </c>
      <c r="G5" s="3289" t="s">
        <v>3040</v>
      </c>
      <c r="H5" s="3289" t="s">
        <v>3041</v>
      </c>
      <c r="I5" s="3289" t="s">
        <v>3045</v>
      </c>
      <c r="J5" s="3289" t="s">
        <v>3043</v>
      </c>
      <c r="K5" s="3294">
        <v>39.770000000000003</v>
      </c>
      <c r="L5" s="3289">
        <v>17716.41</v>
      </c>
      <c r="M5" s="3289">
        <v>2390.64</v>
      </c>
      <c r="N5" s="3292">
        <f t="shared" si="0"/>
        <v>505.58335428715105</v>
      </c>
    </row>
    <row r="6" spans="1:14" s="3293" customFormat="1" ht="95.25" hidden="1" customHeight="1">
      <c r="A6" s="3287">
        <v>2016</v>
      </c>
      <c r="B6" s="3288" t="s">
        <v>3035</v>
      </c>
      <c r="C6" s="3288" t="s">
        <v>3036</v>
      </c>
      <c r="D6" s="3289" t="s">
        <v>3037</v>
      </c>
      <c r="E6" s="3295" t="s">
        <v>3046</v>
      </c>
      <c r="F6" s="3290" t="s">
        <v>3047</v>
      </c>
      <c r="G6" s="3295" t="s">
        <v>3048</v>
      </c>
      <c r="H6" s="3295" t="s">
        <v>3041</v>
      </c>
      <c r="I6" s="3295" t="s">
        <v>3049</v>
      </c>
      <c r="J6" s="3289" t="s">
        <v>3050</v>
      </c>
      <c r="K6" s="3294">
        <v>663.6</v>
      </c>
      <c r="L6" s="3289">
        <v>191909.86</v>
      </c>
      <c r="M6" s="3289">
        <v>204137.8</v>
      </c>
      <c r="N6" s="3292">
        <f t="shared" si="0"/>
        <v>596.81684749849296</v>
      </c>
    </row>
    <row r="7" spans="1:14" s="3293" customFormat="1" ht="95.25" hidden="1" customHeight="1">
      <c r="A7" s="3287">
        <v>2016</v>
      </c>
      <c r="B7" s="3288" t="s">
        <v>3051</v>
      </c>
      <c r="C7" s="3288" t="s">
        <v>3052</v>
      </c>
      <c r="D7" s="3296" t="s">
        <v>3037</v>
      </c>
      <c r="E7" s="3296" t="s">
        <v>3046</v>
      </c>
      <c r="F7" s="3290" t="s">
        <v>3053</v>
      </c>
      <c r="G7" s="3297" t="s">
        <v>3054</v>
      </c>
      <c r="H7" s="3296" t="s">
        <v>3055</v>
      </c>
      <c r="I7" s="3296" t="s">
        <v>3056</v>
      </c>
      <c r="J7" s="3296" t="s">
        <v>3057</v>
      </c>
      <c r="K7" s="3294">
        <v>129.57</v>
      </c>
      <c r="L7" s="3289">
        <v>122822.85</v>
      </c>
      <c r="M7" s="3289">
        <v>403475</v>
      </c>
      <c r="N7" s="3292">
        <f t="shared" si="0"/>
        <v>4061.8804507216178</v>
      </c>
    </row>
    <row r="8" spans="1:14" s="3292" customFormat="1" ht="95.25" hidden="1" customHeight="1">
      <c r="A8" s="3287">
        <v>2017</v>
      </c>
      <c r="B8" s="3298" t="s">
        <v>3058</v>
      </c>
      <c r="C8" s="3298" t="s">
        <v>3059</v>
      </c>
      <c r="D8" s="3296" t="s">
        <v>3037</v>
      </c>
      <c r="E8" s="3299" t="s">
        <v>3046</v>
      </c>
      <c r="F8" s="3290" t="s">
        <v>3060</v>
      </c>
      <c r="G8" s="3297" t="s">
        <v>3054</v>
      </c>
      <c r="H8" s="3299" t="s">
        <v>3055</v>
      </c>
      <c r="I8" s="3299" t="s">
        <v>3061</v>
      </c>
      <c r="J8" s="3300" t="s">
        <v>3062</v>
      </c>
      <c r="K8" s="3294">
        <v>34.26</v>
      </c>
      <c r="L8" s="3289">
        <v>38931.19</v>
      </c>
      <c r="M8" s="3289">
        <v>64775.53</v>
      </c>
      <c r="N8" s="3292">
        <f t="shared" si="0"/>
        <v>3027.0496205487452</v>
      </c>
    </row>
    <row r="9" spans="1:14" s="3292" customFormat="1" ht="95.25" hidden="1" customHeight="1">
      <c r="A9" s="3287">
        <v>2017</v>
      </c>
      <c r="B9" s="3298" t="s">
        <v>3058</v>
      </c>
      <c r="C9" s="3298" t="s">
        <v>3059</v>
      </c>
      <c r="D9" s="3296" t="s">
        <v>3037</v>
      </c>
      <c r="E9" s="3296" t="s">
        <v>3046</v>
      </c>
      <c r="F9" s="3290" t="s">
        <v>3063</v>
      </c>
      <c r="G9" s="3296" t="s">
        <v>3054</v>
      </c>
      <c r="H9" s="3296" t="s">
        <v>3055</v>
      </c>
      <c r="I9" s="3296" t="s">
        <v>3042</v>
      </c>
      <c r="J9" s="3296" t="s">
        <v>3064</v>
      </c>
      <c r="K9" s="3294">
        <v>51.07</v>
      </c>
      <c r="L9" s="3289">
        <v>33012.44</v>
      </c>
      <c r="M9" s="3289">
        <v>46402.36</v>
      </c>
      <c r="N9" s="3292">
        <f t="shared" si="0"/>
        <v>1555.0186019189348</v>
      </c>
    </row>
    <row r="10" spans="1:14" s="3292" customFormat="1" ht="67.5" hidden="1" customHeight="1">
      <c r="A10" s="3287">
        <v>2017</v>
      </c>
      <c r="B10" s="3298" t="s">
        <v>3058</v>
      </c>
      <c r="C10" s="3298" t="s">
        <v>3059</v>
      </c>
      <c r="D10" s="3297" t="s">
        <v>3065</v>
      </c>
      <c r="E10" s="3297" t="s">
        <v>3046</v>
      </c>
      <c r="F10" s="3290" t="s">
        <v>3066</v>
      </c>
      <c r="G10" s="3297" t="s">
        <v>3067</v>
      </c>
      <c r="H10" s="3297" t="s">
        <v>3041</v>
      </c>
      <c r="I10" s="3301" t="s">
        <v>3068</v>
      </c>
      <c r="J10" s="3301" t="s">
        <v>3069</v>
      </c>
      <c r="K10" s="3289">
        <v>96.99</v>
      </c>
      <c r="L10" s="3289">
        <v>51676.39</v>
      </c>
      <c r="M10" s="3289">
        <v>172115.08</v>
      </c>
      <c r="N10" s="3292">
        <f>(L10+M10)/K10</f>
        <v>2307.3664295288172</v>
      </c>
    </row>
    <row r="11" spans="1:14" s="3292" customFormat="1" ht="95.25" hidden="1" customHeight="1">
      <c r="A11" s="3287">
        <v>2017</v>
      </c>
      <c r="B11" s="3298" t="s">
        <v>3058</v>
      </c>
      <c r="C11" s="3298" t="s">
        <v>3059</v>
      </c>
      <c r="D11" s="3297" t="s">
        <v>3065</v>
      </c>
      <c r="E11" s="3297" t="s">
        <v>3046</v>
      </c>
      <c r="F11" s="3290" t="s">
        <v>3070</v>
      </c>
      <c r="G11" s="3297" t="s">
        <v>3071</v>
      </c>
      <c r="H11" s="3297" t="s">
        <v>3041</v>
      </c>
      <c r="I11" s="3301" t="s">
        <v>3072</v>
      </c>
      <c r="J11" s="3302" t="s">
        <v>3073</v>
      </c>
      <c r="K11" s="3303">
        <v>49.52</v>
      </c>
      <c r="L11" s="3289">
        <v>25737.439999999999</v>
      </c>
      <c r="M11" s="3289">
        <v>180122.23999999999</v>
      </c>
      <c r="N11" s="3292">
        <f t="shared" ref="N11:N32" si="1">(L11+M11)/K11</f>
        <v>4157.1017770597737</v>
      </c>
    </row>
    <row r="12" spans="1:14" s="3292" customFormat="1" ht="45.75" hidden="1" customHeight="1">
      <c r="A12" s="3287">
        <v>2017</v>
      </c>
      <c r="B12" s="3298" t="s">
        <v>3058</v>
      </c>
      <c r="C12" s="3298" t="s">
        <v>3074</v>
      </c>
      <c r="D12" s="3297" t="s">
        <v>3075</v>
      </c>
      <c r="E12" s="3297" t="s">
        <v>3046</v>
      </c>
      <c r="F12" s="3290" t="s">
        <v>3076</v>
      </c>
      <c r="G12" s="3297" t="s">
        <v>3077</v>
      </c>
      <c r="H12" s="3299" t="s">
        <v>3055</v>
      </c>
      <c r="I12" s="3301" t="s">
        <v>3078</v>
      </c>
      <c r="J12" s="3289" t="s">
        <v>3079</v>
      </c>
      <c r="K12" s="3294">
        <v>116.6</v>
      </c>
      <c r="L12" s="3289">
        <v>138739.75</v>
      </c>
      <c r="M12" s="3289">
        <v>441601.69</v>
      </c>
      <c r="N12" s="3304">
        <f t="shared" si="1"/>
        <v>4977.1993138936532</v>
      </c>
    </row>
    <row r="13" spans="1:14" s="3305" customFormat="1" ht="96" hidden="1">
      <c r="A13" s="3287">
        <v>2017</v>
      </c>
      <c r="B13" s="3299" t="s">
        <v>3080</v>
      </c>
      <c r="C13" s="3299" t="s">
        <v>3081</v>
      </c>
      <c r="D13" s="3299" t="s">
        <v>3082</v>
      </c>
      <c r="E13" s="3299" t="s">
        <v>3083</v>
      </c>
      <c r="F13" s="3297" t="s">
        <v>3084</v>
      </c>
      <c r="G13" s="3297" t="s">
        <v>3085</v>
      </c>
      <c r="H13" s="3297" t="s">
        <v>3086</v>
      </c>
      <c r="I13" s="3301" t="s">
        <v>3087</v>
      </c>
      <c r="J13" s="3302" t="s">
        <v>3088</v>
      </c>
      <c r="K13" s="3291">
        <v>33.36</v>
      </c>
      <c r="L13" s="3289">
        <v>16588.11</v>
      </c>
      <c r="M13" s="3289">
        <v>13953.2</v>
      </c>
      <c r="N13" s="3292">
        <f t="shared" si="1"/>
        <v>915.50689448441256</v>
      </c>
    </row>
    <row r="14" spans="1:14" s="3307" customFormat="1" ht="48" hidden="1" customHeight="1">
      <c r="A14" s="3287">
        <v>2017</v>
      </c>
      <c r="B14" s="3306" t="s">
        <v>3089</v>
      </c>
      <c r="C14" s="3306" t="s">
        <v>3090</v>
      </c>
      <c r="D14" s="3297" t="s">
        <v>3091</v>
      </c>
      <c r="E14" s="3297" t="s">
        <v>3046</v>
      </c>
      <c r="F14" s="3299" t="s">
        <v>3092</v>
      </c>
      <c r="G14" s="3297" t="s">
        <v>3093</v>
      </c>
      <c r="H14" s="3297" t="s">
        <v>3086</v>
      </c>
      <c r="I14" s="3301" t="s">
        <v>3094</v>
      </c>
      <c r="J14" s="3301" t="s">
        <v>3095</v>
      </c>
      <c r="K14" s="3289">
        <v>19.994820000000001</v>
      </c>
      <c r="L14" s="3289">
        <v>4110.28</v>
      </c>
      <c r="M14" s="3289">
        <v>1634.87</v>
      </c>
      <c r="N14" s="3292">
        <f t="shared" si="1"/>
        <v>287.33191896701243</v>
      </c>
    </row>
    <row r="15" spans="1:14" s="3305" customFormat="1" ht="95.25" customHeight="1">
      <c r="A15" s="3287">
        <v>2017</v>
      </c>
      <c r="B15" s="3298" t="s">
        <v>3096</v>
      </c>
      <c r="C15" s="3298" t="s">
        <v>3097</v>
      </c>
      <c r="D15" s="3297" t="s">
        <v>3098</v>
      </c>
      <c r="E15" s="3297" t="s">
        <v>3046</v>
      </c>
      <c r="F15" s="3297" t="s">
        <v>3099</v>
      </c>
      <c r="G15" s="3297" t="s">
        <v>3100</v>
      </c>
      <c r="H15" s="3297" t="s">
        <v>3055</v>
      </c>
      <c r="I15" s="3301" t="s">
        <v>3101</v>
      </c>
      <c r="J15" s="3302" t="s">
        <v>3102</v>
      </c>
      <c r="K15" s="3308">
        <v>72.180000000000007</v>
      </c>
      <c r="L15" s="3289">
        <v>20148.59</v>
      </c>
      <c r="M15" s="3289">
        <v>195592.13</v>
      </c>
      <c r="N15" s="3292">
        <f t="shared" si="1"/>
        <v>2988.9265724577444</v>
      </c>
    </row>
    <row r="16" spans="1:14" s="3305" customFormat="1" ht="95.25" customHeight="1">
      <c r="A16" s="3287">
        <v>2017</v>
      </c>
      <c r="B16" s="3298" t="s">
        <v>3096</v>
      </c>
      <c r="C16" s="3298" t="s">
        <v>3097</v>
      </c>
      <c r="D16" s="3297" t="s">
        <v>3098</v>
      </c>
      <c r="E16" s="3297" t="s">
        <v>3046</v>
      </c>
      <c r="F16" s="3297" t="s">
        <v>3103</v>
      </c>
      <c r="G16" s="3297" t="s">
        <v>3104</v>
      </c>
      <c r="H16" s="3297" t="s">
        <v>3055</v>
      </c>
      <c r="I16" s="3301" t="s">
        <v>3105</v>
      </c>
      <c r="J16" s="3309" t="s">
        <v>3106</v>
      </c>
      <c r="K16" s="3294">
        <v>148.19999999999999</v>
      </c>
      <c r="L16" s="3289">
        <v>46469.07</v>
      </c>
      <c r="M16" s="3289">
        <v>462882.97</v>
      </c>
      <c r="N16" s="3292">
        <f t="shared" si="1"/>
        <v>3436.9233468286102</v>
      </c>
    </row>
    <row r="17" spans="1:17" s="3310" customFormat="1" ht="95.25" hidden="1" customHeight="1">
      <c r="A17" s="3287">
        <v>2017</v>
      </c>
      <c r="B17" s="3306" t="s">
        <v>3107</v>
      </c>
      <c r="C17" s="3306" t="s">
        <v>3108</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7" s="3305" customFormat="1" ht="95.25" hidden="1" customHeight="1">
      <c r="A18" s="3287">
        <v>2017</v>
      </c>
      <c r="B18" s="3306" t="s">
        <v>3107</v>
      </c>
      <c r="C18" s="3306" t="s">
        <v>3108</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7" s="3305" customFormat="1" ht="51" hidden="1" customHeight="1">
      <c r="A19" s="3287">
        <v>2017</v>
      </c>
      <c r="B19" s="3306" t="s">
        <v>3118</v>
      </c>
      <c r="C19" s="3306" t="s">
        <v>3108</v>
      </c>
      <c r="D19" s="3297" t="s">
        <v>3119</v>
      </c>
      <c r="E19" s="3297" t="s">
        <v>3046</v>
      </c>
      <c r="F19" s="3297" t="s">
        <v>3120</v>
      </c>
      <c r="G19" s="3297" t="s">
        <v>3121</v>
      </c>
      <c r="H19" s="3297" t="s">
        <v>3122</v>
      </c>
      <c r="I19" s="3301" t="s">
        <v>3123</v>
      </c>
      <c r="J19" s="3301" t="s">
        <v>3124</v>
      </c>
      <c r="K19" s="3289">
        <v>132.25</v>
      </c>
      <c r="L19" s="3289">
        <v>24298.5</v>
      </c>
      <c r="M19" s="3289">
        <v>107594.55</v>
      </c>
      <c r="N19" s="3292">
        <f t="shared" si="1"/>
        <v>997.30094517958401</v>
      </c>
    </row>
    <row r="20" spans="1:17" s="3316" customFormat="1" ht="95.25" customHeight="1">
      <c r="A20" s="3287">
        <v>2017</v>
      </c>
      <c r="B20" s="3306" t="s">
        <v>3118</v>
      </c>
      <c r="C20" s="3312" t="s">
        <v>3108</v>
      </c>
      <c r="D20" s="3313" t="s">
        <v>3125</v>
      </c>
      <c r="E20" s="3297" t="s">
        <v>3126</v>
      </c>
      <c r="F20" s="3314" t="s">
        <v>3127</v>
      </c>
      <c r="G20" s="3297" t="s">
        <v>3100</v>
      </c>
      <c r="H20" s="3297" t="s">
        <v>3055</v>
      </c>
      <c r="I20" s="3315" t="s">
        <v>3128</v>
      </c>
      <c r="J20" s="3315" t="s">
        <v>3129</v>
      </c>
      <c r="K20" s="3294">
        <v>217.58</v>
      </c>
      <c r="L20" s="3289">
        <v>106922.18</v>
      </c>
      <c r="M20" s="3289">
        <v>1002860.16</v>
      </c>
      <c r="N20" s="3292">
        <f t="shared" si="1"/>
        <v>5100.5714679658058</v>
      </c>
    </row>
    <row r="21" spans="1:17" s="3293" customFormat="1" ht="95.25" hidden="1" customHeight="1">
      <c r="A21" s="3317">
        <v>2018</v>
      </c>
      <c r="B21" s="3306" t="s">
        <v>3130</v>
      </c>
      <c r="C21" s="3306" t="s">
        <v>3131</v>
      </c>
      <c r="D21" s="3318" t="s">
        <v>3132</v>
      </c>
      <c r="E21" s="3318" t="s">
        <v>3126</v>
      </c>
      <c r="F21" s="3318" t="s">
        <v>3133</v>
      </c>
      <c r="G21" s="3318" t="s">
        <v>3134</v>
      </c>
      <c r="H21" s="3318" t="s">
        <v>3086</v>
      </c>
      <c r="I21" s="3319" t="s">
        <v>3135</v>
      </c>
      <c r="J21" s="3320" t="s">
        <v>3136</v>
      </c>
      <c r="K21" s="3321">
        <v>726.3</v>
      </c>
      <c r="L21" s="3289">
        <v>281939.06</v>
      </c>
      <c r="M21" s="3289">
        <v>704305.38</v>
      </c>
      <c r="N21" s="3292">
        <f t="shared" si="1"/>
        <v>1357.9022993253477</v>
      </c>
    </row>
    <row r="22" spans="1:17" s="3323" customFormat="1" ht="95.25" customHeight="1">
      <c r="A22" s="3318">
        <v>2018</v>
      </c>
      <c r="B22" s="3306" t="s">
        <v>3137</v>
      </c>
      <c r="C22" s="3322" t="s">
        <v>3138</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c r="Q22" s="3323">
        <f>(N22+N23+N24+N26+N27+N30)/6</f>
        <v>3538.7766236188468</v>
      </c>
    </row>
    <row r="23" spans="1:17" s="3323" customFormat="1" ht="95.25" customHeight="1">
      <c r="A23" s="3318">
        <v>2018</v>
      </c>
      <c r="B23" s="3306" t="s">
        <v>3137</v>
      </c>
      <c r="C23" s="3322" t="s">
        <v>3138</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7" s="3323" customFormat="1" ht="95.25" customHeight="1">
      <c r="A24" s="3318">
        <v>2018</v>
      </c>
      <c r="B24" s="3306" t="s">
        <v>3137</v>
      </c>
      <c r="C24" s="3322" t="s">
        <v>3138</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7" s="3323" customFormat="1" ht="95.25" hidden="1" customHeight="1">
      <c r="A25" s="3318">
        <v>2018</v>
      </c>
      <c r="B25" s="3306" t="s">
        <v>3137</v>
      </c>
      <c r="C25" s="3322" t="s">
        <v>3138</v>
      </c>
      <c r="D25" s="3299" t="s">
        <v>3149</v>
      </c>
      <c r="E25" s="3299" t="s">
        <v>3046</v>
      </c>
      <c r="F25" s="3299" t="s">
        <v>3150</v>
      </c>
      <c r="G25" s="3299" t="s">
        <v>3151</v>
      </c>
      <c r="H25" s="3299" t="s">
        <v>3055</v>
      </c>
      <c r="I25" s="3319" t="s">
        <v>3152</v>
      </c>
      <c r="J25" s="3290" t="s">
        <v>3153</v>
      </c>
      <c r="K25" s="3324">
        <v>29.09</v>
      </c>
      <c r="L25" s="3289">
        <v>12773.36</v>
      </c>
      <c r="M25" s="3289">
        <v>231746.85</v>
      </c>
      <c r="N25" s="3292">
        <f t="shared" si="1"/>
        <v>8405.6448951529746</v>
      </c>
    </row>
    <row r="26" spans="1:17" s="3323" customFormat="1" ht="95.25" customHeight="1">
      <c r="A26" s="3318">
        <v>2018</v>
      </c>
      <c r="B26" s="3306" t="s">
        <v>3154</v>
      </c>
      <c r="C26" s="3325" t="s">
        <v>3155</v>
      </c>
      <c r="D26" s="3324" t="s">
        <v>3125</v>
      </c>
      <c r="E26" s="3324" t="s">
        <v>3046</v>
      </c>
      <c r="F26" s="3324" t="s">
        <v>3156</v>
      </c>
      <c r="G26" s="3324" t="s">
        <v>3100</v>
      </c>
      <c r="H26" s="3324" t="s">
        <v>3055</v>
      </c>
      <c r="I26" s="3324" t="s">
        <v>3157</v>
      </c>
      <c r="J26" s="3324" t="s">
        <v>3158</v>
      </c>
      <c r="K26" s="3324">
        <v>165.53</v>
      </c>
      <c r="L26" s="3289">
        <v>55495.91</v>
      </c>
      <c r="M26" s="3289">
        <v>418159.92</v>
      </c>
      <c r="N26" s="3292">
        <f t="shared" si="1"/>
        <v>2861.4500694738113</v>
      </c>
    </row>
    <row r="27" spans="1:17" s="3323" customFormat="1" ht="72">
      <c r="A27" s="3318">
        <v>2018</v>
      </c>
      <c r="B27" s="3306" t="s">
        <v>3159</v>
      </c>
      <c r="C27" s="3325" t="s">
        <v>3155</v>
      </c>
      <c r="D27" s="3324" t="s">
        <v>3125</v>
      </c>
      <c r="E27" s="3324" t="s">
        <v>3046</v>
      </c>
      <c r="F27" s="3324" t="s">
        <v>3160</v>
      </c>
      <c r="G27" s="3324" t="s">
        <v>3161</v>
      </c>
      <c r="H27" s="3324" t="s">
        <v>3055</v>
      </c>
      <c r="I27" s="3324" t="s">
        <v>3162</v>
      </c>
      <c r="J27" s="3324" t="s">
        <v>3163</v>
      </c>
      <c r="K27" s="3326">
        <v>175.57</v>
      </c>
      <c r="L27" s="3289">
        <v>157294.39999999999</v>
      </c>
      <c r="M27" s="3289">
        <v>394653.43</v>
      </c>
      <c r="N27" s="3292">
        <f t="shared" si="1"/>
        <v>3143.7479637751321</v>
      </c>
    </row>
    <row r="28" spans="1:17" s="3293" customFormat="1" ht="63.75" hidden="1" customHeight="1">
      <c r="A28" s="3318">
        <v>2018</v>
      </c>
      <c r="B28" s="3306" t="s">
        <v>3164</v>
      </c>
      <c r="C28" s="3327" t="s">
        <v>3165</v>
      </c>
      <c r="D28" s="3328" t="s">
        <v>3075</v>
      </c>
      <c r="E28" s="3328" t="s">
        <v>3046</v>
      </c>
      <c r="F28" s="3328" t="s">
        <v>3166</v>
      </c>
      <c r="G28" s="3328" t="s">
        <v>3167</v>
      </c>
      <c r="H28" s="3328" t="s">
        <v>3055</v>
      </c>
      <c r="I28" s="3328" t="s">
        <v>3168</v>
      </c>
      <c r="J28" s="3328" t="s">
        <v>3169</v>
      </c>
      <c r="K28" s="3324">
        <v>49.58</v>
      </c>
      <c r="L28" s="3289">
        <v>61873.95</v>
      </c>
      <c r="M28" s="3289">
        <v>240341.82</v>
      </c>
      <c r="N28" s="3304">
        <f t="shared" si="1"/>
        <v>6095.5177490923761</v>
      </c>
    </row>
    <row r="29" spans="1:17" s="3293" customFormat="1" ht="95.25" hidden="1" customHeight="1">
      <c r="A29" s="3318">
        <v>2018</v>
      </c>
      <c r="B29" s="3306" t="s">
        <v>3164</v>
      </c>
      <c r="C29" s="3327" t="s">
        <v>3165</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7" s="3293" customFormat="1" ht="95.25" customHeight="1">
      <c r="A30" s="3318">
        <v>2018</v>
      </c>
      <c r="B30" s="3306" t="s">
        <v>3164</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7" s="3293" customFormat="1" ht="120" hidden="1" customHeight="1">
      <c r="A31" s="3318">
        <v>2018</v>
      </c>
      <c r="B31" s="3306" t="s">
        <v>3164</v>
      </c>
      <c r="C31" s="3294" t="s">
        <v>3165</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7" s="3293" customFormat="1" ht="72">
      <c r="A32" s="3318">
        <v>2018</v>
      </c>
      <c r="B32" s="3306" t="s">
        <v>3159</v>
      </c>
      <c r="C32" s="3294" t="s">
        <v>3165</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{DE76B3D6-9ABB-4C53-A790-F5A1DDA449C4}</x14:id>
        </ext>
      </extLst>
    </cfRule>
  </conditionalFormatting>
  <conditionalFormatting sqref="B27">
    <cfRule type="dataBar" priority="6">
      <dataBar>
        <cfvo type="min"/>
        <cfvo type="max"/>
        <color rgb="FF638EC6"/>
      </dataBar>
      <extLst>
        <ext xmlns:x14="http://schemas.microsoft.com/office/spreadsheetml/2009/9/main" uri="{B025F937-C7B1-47D3-B67F-A62EFF666E3E}">
          <x14:id>{B8AAADE5-D145-48FB-9157-F39C856CEE39}</x14:id>
        </ext>
      </extLst>
    </cfRule>
  </conditionalFormatting>
  <conditionalFormatting sqref="B28">
    <cfRule type="dataBar" priority="5">
      <dataBar>
        <cfvo type="min"/>
        <cfvo type="max"/>
        <color rgb="FF638EC6"/>
      </dataBar>
      <extLst>
        <ext xmlns:x14="http://schemas.microsoft.com/office/spreadsheetml/2009/9/main" uri="{B025F937-C7B1-47D3-B67F-A62EFF666E3E}">
          <x14:id>{B596F69F-957C-4BE7-A61D-41B199717EA4}</x14:id>
        </ext>
      </extLst>
    </cfRule>
  </conditionalFormatting>
  <conditionalFormatting sqref="B29">
    <cfRule type="dataBar" priority="4">
      <dataBar>
        <cfvo type="min"/>
        <cfvo type="max"/>
        <color rgb="FF638EC6"/>
      </dataBar>
      <extLst>
        <ext xmlns:x14="http://schemas.microsoft.com/office/spreadsheetml/2009/9/main" uri="{B025F937-C7B1-47D3-B67F-A62EFF666E3E}">
          <x14:id>{23C44D02-1C9F-4EB7-981A-E3C3DE66B72E}</x14:id>
        </ext>
      </extLst>
    </cfRule>
  </conditionalFormatting>
  <conditionalFormatting sqref="B30">
    <cfRule type="dataBar" priority="3">
      <dataBar>
        <cfvo type="min"/>
        <cfvo type="max"/>
        <color rgb="FF638EC6"/>
      </dataBar>
      <extLst>
        <ext xmlns:x14="http://schemas.microsoft.com/office/spreadsheetml/2009/9/main" uri="{B025F937-C7B1-47D3-B67F-A62EFF666E3E}">
          <x14:id>{8E4F7043-4EDD-47B3-8EBE-835947351D8A}</x14:id>
        </ext>
      </extLst>
    </cfRule>
  </conditionalFormatting>
  <conditionalFormatting sqref="B31">
    <cfRule type="dataBar" priority="2">
      <dataBar>
        <cfvo type="min"/>
        <cfvo type="max"/>
        <color rgb="FF638EC6"/>
      </dataBar>
      <extLst>
        <ext xmlns:x14="http://schemas.microsoft.com/office/spreadsheetml/2009/9/main" uri="{B025F937-C7B1-47D3-B67F-A62EFF666E3E}">
          <x14:id>{1CD62F38-AD13-41BA-8C7C-0DA3E2F9070E}</x14:id>
        </ext>
      </extLst>
    </cfRule>
  </conditionalFormatting>
  <conditionalFormatting sqref="B32">
    <cfRule type="dataBar" priority="1">
      <dataBar>
        <cfvo type="min"/>
        <cfvo type="max"/>
        <color rgb="FF638EC6"/>
      </dataBar>
      <extLst>
        <ext xmlns:x14="http://schemas.microsoft.com/office/spreadsheetml/2009/9/main" uri="{B025F937-C7B1-47D3-B67F-A62EFF666E3E}">
          <x14:id>{453A7C1D-FFBD-4F39-9715-D7ED1A58D44E}</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E76B3D6-9ABB-4C53-A790-F5A1DDA449C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8AAADE5-D145-48FB-9157-F39C856CEE39}">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596F69F-957C-4BE7-A61D-41B199717EA4}">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3C44D02-1C9F-4EB7-981A-E3C3DE66B72E}">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E4F7043-4EDD-47B3-8EBE-835947351D8A}">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CD62F38-AD13-41BA-8C7C-0DA3E2F9070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453A7C1D-FFBD-4F39-9715-D7ED1A58D44E}">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N16" sqref="N16"/>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6" ht="39.75" customHeight="1">
      <c r="A1" s="3643" t="s">
        <v>3186</v>
      </c>
      <c r="B1" s="3644"/>
      <c r="C1" s="3644"/>
      <c r="D1" s="3644"/>
      <c r="E1" s="3644"/>
      <c r="F1" s="3644"/>
      <c r="G1" s="3644"/>
      <c r="H1" s="3644"/>
      <c r="I1" s="3644"/>
      <c r="J1" s="3644"/>
      <c r="K1" s="3644"/>
      <c r="L1" s="3644"/>
      <c r="M1" s="3644"/>
    </row>
    <row r="2" spans="1:16" ht="23.25" customHeight="1">
      <c r="A2" s="3639" t="s">
        <v>3187</v>
      </c>
      <c r="B2" s="3639" t="s">
        <v>3188</v>
      </c>
      <c r="C2" s="3639" t="s">
        <v>3189</v>
      </c>
      <c r="D2" s="3645" t="s">
        <v>3190</v>
      </c>
      <c r="E2" s="3645" t="s">
        <v>3191</v>
      </c>
      <c r="F2" s="3639" t="s">
        <v>3026</v>
      </c>
      <c r="G2" s="3639" t="s">
        <v>3027</v>
      </c>
      <c r="H2" s="3639" t="s">
        <v>3028</v>
      </c>
      <c r="I2" s="3639" t="s">
        <v>3029</v>
      </c>
      <c r="J2" s="3639" t="s">
        <v>3030</v>
      </c>
      <c r="K2" s="3641" t="s">
        <v>3192</v>
      </c>
      <c r="L2" s="3642" t="s">
        <v>3193</v>
      </c>
      <c r="M2" s="3642"/>
    </row>
    <row r="3" spans="1:16" s="3286" customFormat="1" ht="23.25" customHeight="1">
      <c r="A3" s="3640"/>
      <c r="B3" s="3640"/>
      <c r="C3" s="3640"/>
      <c r="D3" s="3646"/>
      <c r="E3" s="3646"/>
      <c r="F3" s="3640"/>
      <c r="G3" s="3640"/>
      <c r="H3" s="3640"/>
      <c r="I3" s="3640"/>
      <c r="J3" s="3640"/>
      <c r="K3" s="3641"/>
      <c r="L3" s="3285" t="s">
        <v>3194</v>
      </c>
      <c r="M3" s="3285" t="s">
        <v>3195</v>
      </c>
    </row>
    <row r="4" spans="1:16" s="3293" customFormat="1" ht="95.25" hidden="1" customHeight="1">
      <c r="A4" s="3287">
        <v>2016</v>
      </c>
      <c r="B4" s="3288" t="s">
        <v>3196</v>
      </c>
      <c r="C4" s="3288" t="s">
        <v>3197</v>
      </c>
      <c r="D4" s="3289" t="s">
        <v>3198</v>
      </c>
      <c r="E4" s="3289" t="s">
        <v>3199</v>
      </c>
      <c r="F4" s="3290" t="s">
        <v>3200</v>
      </c>
      <c r="G4" s="3289" t="s">
        <v>3201</v>
      </c>
      <c r="H4" s="3289" t="s">
        <v>3202</v>
      </c>
      <c r="I4" s="3289" t="s">
        <v>3203</v>
      </c>
      <c r="J4" s="3289" t="s">
        <v>3204</v>
      </c>
      <c r="K4" s="3291">
        <v>16.73</v>
      </c>
      <c r="L4" s="3289">
        <v>15586.51</v>
      </c>
      <c r="M4" s="3289">
        <v>24154.36</v>
      </c>
      <c r="N4" s="3292">
        <f t="shared" ref="N4:N9" si="0">(L4+M4)/K4</f>
        <v>2375.4255827854154</v>
      </c>
    </row>
    <row r="5" spans="1:16" s="3293" customFormat="1" ht="95.25" hidden="1" customHeight="1">
      <c r="A5" s="3287">
        <v>2016</v>
      </c>
      <c r="B5" s="3288" t="s">
        <v>3196</v>
      </c>
      <c r="C5" s="3288" t="s">
        <v>3197</v>
      </c>
      <c r="D5" s="3289" t="s">
        <v>3198</v>
      </c>
      <c r="E5" s="3289" t="s">
        <v>3199</v>
      </c>
      <c r="F5" s="3290" t="s">
        <v>3205</v>
      </c>
      <c r="G5" s="3289" t="s">
        <v>3201</v>
      </c>
      <c r="H5" s="3289" t="s">
        <v>3202</v>
      </c>
      <c r="I5" s="3289" t="s">
        <v>3206</v>
      </c>
      <c r="J5" s="3289" t="s">
        <v>3204</v>
      </c>
      <c r="K5" s="3294">
        <v>39.770000000000003</v>
      </c>
      <c r="L5" s="3289">
        <v>17716.41</v>
      </c>
      <c r="M5" s="3289">
        <v>2390.64</v>
      </c>
      <c r="N5" s="3292">
        <f t="shared" si="0"/>
        <v>505.58335428715105</v>
      </c>
    </row>
    <row r="6" spans="1:16" s="3293" customFormat="1" ht="95.25" hidden="1" customHeight="1">
      <c r="A6" s="3287">
        <v>2016</v>
      </c>
      <c r="B6" s="3288" t="s">
        <v>3196</v>
      </c>
      <c r="C6" s="3288" t="s">
        <v>3197</v>
      </c>
      <c r="D6" s="3289" t="s">
        <v>3198</v>
      </c>
      <c r="E6" s="3295" t="s">
        <v>3046</v>
      </c>
      <c r="F6" s="3290" t="s">
        <v>3207</v>
      </c>
      <c r="G6" s="3295" t="s">
        <v>3048</v>
      </c>
      <c r="H6" s="3295" t="s">
        <v>3202</v>
      </c>
      <c r="I6" s="3295" t="s">
        <v>3049</v>
      </c>
      <c r="J6" s="3289" t="s">
        <v>3208</v>
      </c>
      <c r="K6" s="3294">
        <v>663.6</v>
      </c>
      <c r="L6" s="3289">
        <v>191909.86</v>
      </c>
      <c r="M6" s="3289">
        <v>204137.8</v>
      </c>
      <c r="N6" s="3292">
        <f t="shared" si="0"/>
        <v>596.81684749849296</v>
      </c>
    </row>
    <row r="7" spans="1:16" s="3293" customFormat="1" ht="95.25" hidden="1" customHeight="1">
      <c r="A7" s="3287">
        <v>2016</v>
      </c>
      <c r="B7" s="3288" t="s">
        <v>3209</v>
      </c>
      <c r="C7" s="3288" t="s">
        <v>3210</v>
      </c>
      <c r="D7" s="3296" t="s">
        <v>3198</v>
      </c>
      <c r="E7" s="3296" t="s">
        <v>3046</v>
      </c>
      <c r="F7" s="3290" t="s">
        <v>3211</v>
      </c>
      <c r="G7" s="3297" t="s">
        <v>3212</v>
      </c>
      <c r="H7" s="3296" t="s">
        <v>3055</v>
      </c>
      <c r="I7" s="3296" t="s">
        <v>3056</v>
      </c>
      <c r="J7" s="3296" t="s">
        <v>3213</v>
      </c>
      <c r="K7" s="3294">
        <v>129.57</v>
      </c>
      <c r="L7" s="3289">
        <v>122822.85</v>
      </c>
      <c r="M7" s="3289">
        <v>403475</v>
      </c>
      <c r="N7" s="3292">
        <f t="shared" si="0"/>
        <v>4061.8804507216178</v>
      </c>
    </row>
    <row r="8" spans="1:16" s="3292" customFormat="1" ht="95.25" hidden="1" customHeight="1">
      <c r="A8" s="3287">
        <v>2017</v>
      </c>
      <c r="B8" s="3298" t="s">
        <v>3058</v>
      </c>
      <c r="C8" s="3298" t="s">
        <v>3214</v>
      </c>
      <c r="D8" s="3296" t="s">
        <v>3198</v>
      </c>
      <c r="E8" s="3299" t="s">
        <v>3046</v>
      </c>
      <c r="F8" s="3290" t="s">
        <v>3215</v>
      </c>
      <c r="G8" s="3297" t="s">
        <v>3212</v>
      </c>
      <c r="H8" s="3299" t="s">
        <v>3055</v>
      </c>
      <c r="I8" s="3299" t="s">
        <v>3061</v>
      </c>
      <c r="J8" s="3300" t="s">
        <v>3216</v>
      </c>
      <c r="K8" s="3294">
        <v>34.26</v>
      </c>
      <c r="L8" s="3289">
        <v>38931.19</v>
      </c>
      <c r="M8" s="3289">
        <v>64775.53</v>
      </c>
      <c r="N8" s="3292">
        <f t="shared" si="0"/>
        <v>3027.0496205487452</v>
      </c>
    </row>
    <row r="9" spans="1:16" s="3292" customFormat="1" ht="95.25" hidden="1" customHeight="1">
      <c r="A9" s="3287">
        <v>2017</v>
      </c>
      <c r="B9" s="3298" t="s">
        <v>3058</v>
      </c>
      <c r="C9" s="3298" t="s">
        <v>3214</v>
      </c>
      <c r="D9" s="3296" t="s">
        <v>3198</v>
      </c>
      <c r="E9" s="3296" t="s">
        <v>3046</v>
      </c>
      <c r="F9" s="3290" t="s">
        <v>3217</v>
      </c>
      <c r="G9" s="3296" t="s">
        <v>3212</v>
      </c>
      <c r="H9" s="3296" t="s">
        <v>3055</v>
      </c>
      <c r="I9" s="3296" t="s">
        <v>3203</v>
      </c>
      <c r="J9" s="3296" t="s">
        <v>3218</v>
      </c>
      <c r="K9" s="3294">
        <v>51.07</v>
      </c>
      <c r="L9" s="3289">
        <v>33012.44</v>
      </c>
      <c r="M9" s="3289">
        <v>46402.36</v>
      </c>
      <c r="N9" s="3292">
        <f t="shared" si="0"/>
        <v>1555.0186019189348</v>
      </c>
    </row>
    <row r="10" spans="1:16" s="3292" customFormat="1" ht="67.5" hidden="1" customHeight="1">
      <c r="A10" s="3287">
        <v>2017</v>
      </c>
      <c r="B10" s="3298" t="s">
        <v>3058</v>
      </c>
      <c r="C10" s="3298" t="s">
        <v>3214</v>
      </c>
      <c r="D10" s="3297" t="s">
        <v>3219</v>
      </c>
      <c r="E10" s="3297" t="s">
        <v>3046</v>
      </c>
      <c r="F10" s="3290" t="s">
        <v>3220</v>
      </c>
      <c r="G10" s="3297" t="s">
        <v>3221</v>
      </c>
      <c r="H10" s="3297" t="s">
        <v>3202</v>
      </c>
      <c r="I10" s="3301" t="s">
        <v>3222</v>
      </c>
      <c r="J10" s="3301" t="s">
        <v>3223</v>
      </c>
      <c r="K10" s="3289">
        <v>96.99</v>
      </c>
      <c r="L10" s="3289">
        <v>51676.39</v>
      </c>
      <c r="M10" s="3289">
        <v>172115.08</v>
      </c>
      <c r="N10" s="3292">
        <f>(L10+M10)/K10</f>
        <v>2307.3664295288172</v>
      </c>
    </row>
    <row r="11" spans="1:16" s="3292" customFormat="1" ht="95.25" hidden="1" customHeight="1">
      <c r="A11" s="3287">
        <v>2017</v>
      </c>
      <c r="B11" s="3298" t="s">
        <v>3058</v>
      </c>
      <c r="C11" s="3298" t="s">
        <v>3214</v>
      </c>
      <c r="D11" s="3297" t="s">
        <v>3219</v>
      </c>
      <c r="E11" s="3297" t="s">
        <v>3046</v>
      </c>
      <c r="F11" s="3290" t="s">
        <v>3224</v>
      </c>
      <c r="G11" s="3297" t="s">
        <v>3225</v>
      </c>
      <c r="H11" s="3297" t="s">
        <v>3202</v>
      </c>
      <c r="I11" s="3301" t="s">
        <v>3226</v>
      </c>
      <c r="J11" s="3302" t="s">
        <v>3227</v>
      </c>
      <c r="K11" s="3303">
        <v>49.52</v>
      </c>
      <c r="L11" s="3289">
        <v>25737.439999999999</v>
      </c>
      <c r="M11" s="3289">
        <v>180122.23999999999</v>
      </c>
      <c r="N11" s="3292">
        <f t="shared" ref="N11:N32" si="1">(L11+M11)/K11</f>
        <v>4157.1017770597737</v>
      </c>
    </row>
    <row r="12" spans="1:16" s="3292" customFormat="1" ht="45.75" hidden="1" customHeight="1">
      <c r="A12" s="3287">
        <v>2017</v>
      </c>
      <c r="B12" s="3298" t="s">
        <v>3058</v>
      </c>
      <c r="C12" s="3298" t="s">
        <v>3214</v>
      </c>
      <c r="D12" s="3297" t="s">
        <v>3075</v>
      </c>
      <c r="E12" s="3297" t="s">
        <v>3046</v>
      </c>
      <c r="F12" s="3290" t="s">
        <v>3228</v>
      </c>
      <c r="G12" s="3297" t="s">
        <v>3229</v>
      </c>
      <c r="H12" s="3299" t="s">
        <v>3055</v>
      </c>
      <c r="I12" s="3301" t="s">
        <v>3078</v>
      </c>
      <c r="J12" s="3289" t="s">
        <v>3230</v>
      </c>
      <c r="K12" s="3294">
        <v>116.6</v>
      </c>
      <c r="L12" s="3289">
        <v>138739.75</v>
      </c>
      <c r="M12" s="3289">
        <v>441601.69</v>
      </c>
      <c r="N12" s="3304">
        <f t="shared" si="1"/>
        <v>4977.1993138936532</v>
      </c>
    </row>
    <row r="13" spans="1:16" s="3305" customFormat="1" ht="96" hidden="1">
      <c r="A13" s="3287">
        <v>2017</v>
      </c>
      <c r="B13" s="3299" t="s">
        <v>3231</v>
      </c>
      <c r="C13" s="3299" t="s">
        <v>3232</v>
      </c>
      <c r="D13" s="3299" t="s">
        <v>3233</v>
      </c>
      <c r="E13" s="3299" t="s">
        <v>3199</v>
      </c>
      <c r="F13" s="3297" t="s">
        <v>3234</v>
      </c>
      <c r="G13" s="3297" t="s">
        <v>3235</v>
      </c>
      <c r="H13" s="3297" t="s">
        <v>3202</v>
      </c>
      <c r="I13" s="3301" t="s">
        <v>3236</v>
      </c>
      <c r="J13" s="3302" t="s">
        <v>3237</v>
      </c>
      <c r="K13" s="3291">
        <v>33.36</v>
      </c>
      <c r="L13" s="3289">
        <v>16588.11</v>
      </c>
      <c r="M13" s="3289">
        <v>13953.2</v>
      </c>
      <c r="N13" s="3292">
        <f t="shared" si="1"/>
        <v>915.50689448441256</v>
      </c>
    </row>
    <row r="14" spans="1:16" s="3307" customFormat="1" ht="48" hidden="1" customHeight="1">
      <c r="A14" s="3287">
        <v>2017</v>
      </c>
      <c r="B14" s="3306" t="s">
        <v>3089</v>
      </c>
      <c r="C14" s="3306" t="s">
        <v>3238</v>
      </c>
      <c r="D14" s="3297" t="s">
        <v>3219</v>
      </c>
      <c r="E14" s="3297" t="s">
        <v>3046</v>
      </c>
      <c r="F14" s="3299" t="s">
        <v>3239</v>
      </c>
      <c r="G14" s="3297" t="s">
        <v>3240</v>
      </c>
      <c r="H14" s="3297" t="s">
        <v>3202</v>
      </c>
      <c r="I14" s="3301" t="s">
        <v>3241</v>
      </c>
      <c r="J14" s="3301" t="s">
        <v>3242</v>
      </c>
      <c r="K14" s="3289">
        <v>19.994820000000001</v>
      </c>
      <c r="L14" s="3289">
        <v>4110.28</v>
      </c>
      <c r="M14" s="3289">
        <v>1634.87</v>
      </c>
      <c r="N14" s="3292">
        <f t="shared" si="1"/>
        <v>287.33191896701243</v>
      </c>
    </row>
    <row r="15" spans="1:16" s="3305" customFormat="1" ht="95.25" customHeight="1">
      <c r="A15" s="3287">
        <v>2017</v>
      </c>
      <c r="B15" s="3298" t="s">
        <v>3096</v>
      </c>
      <c r="C15" s="3298" t="s">
        <v>3243</v>
      </c>
      <c r="D15" s="3297" t="s">
        <v>3244</v>
      </c>
      <c r="E15" s="3297" t="s">
        <v>3046</v>
      </c>
      <c r="F15" s="3297" t="s">
        <v>3245</v>
      </c>
      <c r="G15" s="3297" t="s">
        <v>3100</v>
      </c>
      <c r="H15" s="3297" t="s">
        <v>3055</v>
      </c>
      <c r="I15" s="3301" t="s">
        <v>3101</v>
      </c>
      <c r="J15" s="3302" t="s">
        <v>3246</v>
      </c>
      <c r="K15" s="3308">
        <v>72.180000000000007</v>
      </c>
      <c r="L15" s="3289">
        <v>20148.59</v>
      </c>
      <c r="M15" s="3289">
        <v>195592.13</v>
      </c>
      <c r="N15" s="3292">
        <f t="shared" si="1"/>
        <v>2988.9265724577444</v>
      </c>
      <c r="P15" s="3305">
        <f>(N24+N20+N22+N30+N16+N15)/6</f>
        <v>3962.5411932959341</v>
      </c>
    </row>
    <row r="16" spans="1:16" s="3305" customFormat="1" ht="95.25" customHeight="1">
      <c r="A16" s="3287">
        <v>2017</v>
      </c>
      <c r="B16" s="3298" t="s">
        <v>3096</v>
      </c>
      <c r="C16" s="3298" t="s">
        <v>3243</v>
      </c>
      <c r="D16" s="3297" t="s">
        <v>3244</v>
      </c>
      <c r="E16" s="3297" t="s">
        <v>3046</v>
      </c>
      <c r="F16" s="3297" t="s">
        <v>3247</v>
      </c>
      <c r="G16" s="3297" t="s">
        <v>3248</v>
      </c>
      <c r="H16" s="3297" t="s">
        <v>3055</v>
      </c>
      <c r="I16" s="3301" t="s">
        <v>3249</v>
      </c>
      <c r="J16" s="3309" t="s">
        <v>3250</v>
      </c>
      <c r="K16" s="3294">
        <v>148.19999999999999</v>
      </c>
      <c r="L16" s="3289">
        <v>46469.07</v>
      </c>
      <c r="M16" s="3289">
        <v>462882.97</v>
      </c>
      <c r="N16" s="3292">
        <f t="shared" si="1"/>
        <v>3436.9233468286102</v>
      </c>
    </row>
    <row r="17" spans="1:14" s="3310" customFormat="1" ht="95.25" hidden="1" customHeight="1">
      <c r="A17" s="3287">
        <v>2017</v>
      </c>
      <c r="B17" s="3306" t="s">
        <v>3107</v>
      </c>
      <c r="C17" s="3306" t="s">
        <v>3210</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4" s="3305" customFormat="1" ht="95.25" hidden="1" customHeight="1">
      <c r="A18" s="3287">
        <v>2017</v>
      </c>
      <c r="B18" s="3306" t="s">
        <v>3107</v>
      </c>
      <c r="C18" s="3306" t="s">
        <v>3210</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4" s="3305" customFormat="1" ht="51" hidden="1" customHeight="1">
      <c r="A19" s="3287">
        <v>2017</v>
      </c>
      <c r="B19" s="3306" t="s">
        <v>3118</v>
      </c>
      <c r="C19" s="3306" t="s">
        <v>3210</v>
      </c>
      <c r="D19" s="3297" t="s">
        <v>3219</v>
      </c>
      <c r="E19" s="3297" t="s">
        <v>3046</v>
      </c>
      <c r="F19" s="3297" t="s">
        <v>3251</v>
      </c>
      <c r="G19" s="3297" t="s">
        <v>3252</v>
      </c>
      <c r="H19" s="3297" t="s">
        <v>3202</v>
      </c>
      <c r="I19" s="3301" t="s">
        <v>3253</v>
      </c>
      <c r="J19" s="3301" t="s">
        <v>3254</v>
      </c>
      <c r="K19" s="3289">
        <v>132.25</v>
      </c>
      <c r="L19" s="3289">
        <v>24298.5</v>
      </c>
      <c r="M19" s="3289">
        <v>107594.55</v>
      </c>
      <c r="N19" s="3292">
        <f t="shared" si="1"/>
        <v>997.30094517958401</v>
      </c>
    </row>
    <row r="20" spans="1:14" s="3316" customFormat="1" ht="95.25" customHeight="1">
      <c r="A20" s="3287">
        <v>2017</v>
      </c>
      <c r="B20" s="3306" t="s">
        <v>3118</v>
      </c>
      <c r="C20" s="3312" t="s">
        <v>3210</v>
      </c>
      <c r="D20" s="3313" t="s">
        <v>3125</v>
      </c>
      <c r="E20" s="3297" t="s">
        <v>3199</v>
      </c>
      <c r="F20" s="3314" t="s">
        <v>3255</v>
      </c>
      <c r="G20" s="3297" t="s">
        <v>3100</v>
      </c>
      <c r="H20" s="3297" t="s">
        <v>3055</v>
      </c>
      <c r="I20" s="3315" t="s">
        <v>3256</v>
      </c>
      <c r="J20" s="3315" t="s">
        <v>3257</v>
      </c>
      <c r="K20" s="3294">
        <v>217.58</v>
      </c>
      <c r="L20" s="3289">
        <v>106922.18</v>
      </c>
      <c r="M20" s="3289">
        <v>1002860.16</v>
      </c>
      <c r="N20" s="3292">
        <f t="shared" si="1"/>
        <v>5100.5714679658058</v>
      </c>
    </row>
    <row r="21" spans="1:14" s="3293" customFormat="1" ht="95.25" hidden="1" customHeight="1">
      <c r="A21" s="3317">
        <v>2018</v>
      </c>
      <c r="B21" s="3306" t="s">
        <v>3258</v>
      </c>
      <c r="C21" s="3306" t="s">
        <v>3238</v>
      </c>
      <c r="D21" s="3318" t="s">
        <v>3233</v>
      </c>
      <c r="E21" s="3318" t="s">
        <v>3199</v>
      </c>
      <c r="F21" s="3318" t="s">
        <v>3259</v>
      </c>
      <c r="G21" s="3318" t="s">
        <v>3260</v>
      </c>
      <c r="H21" s="3318" t="s">
        <v>3202</v>
      </c>
      <c r="I21" s="3319" t="s">
        <v>3261</v>
      </c>
      <c r="J21" s="3320" t="s">
        <v>3262</v>
      </c>
      <c r="K21" s="3321">
        <v>726.3</v>
      </c>
      <c r="L21" s="3289">
        <v>281939.06</v>
      </c>
      <c r="M21" s="3289">
        <v>704305.38</v>
      </c>
      <c r="N21" s="3292">
        <f t="shared" si="1"/>
        <v>1357.9022993253477</v>
      </c>
    </row>
    <row r="22" spans="1:14" s="3323" customFormat="1" ht="95.25" customHeight="1">
      <c r="A22" s="3318">
        <v>2018</v>
      </c>
      <c r="B22" s="3306" t="s">
        <v>3263</v>
      </c>
      <c r="C22" s="3322" t="s">
        <v>3197</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row>
    <row r="23" spans="1:14" s="3323" customFormat="1" ht="95.25" customHeight="1">
      <c r="A23" s="3318">
        <v>2018</v>
      </c>
      <c r="B23" s="3306" t="s">
        <v>3263</v>
      </c>
      <c r="C23" s="3322" t="s">
        <v>3197</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4" s="3323" customFormat="1" ht="95.25" customHeight="1">
      <c r="A24" s="3318">
        <v>2018</v>
      </c>
      <c r="B24" s="3306" t="s">
        <v>3263</v>
      </c>
      <c r="C24" s="3322" t="s">
        <v>3197</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4" s="3323" customFormat="1" ht="95.25" hidden="1" customHeight="1">
      <c r="A25" s="3318">
        <v>2018</v>
      </c>
      <c r="B25" s="3306" t="s">
        <v>3263</v>
      </c>
      <c r="C25" s="3322" t="s">
        <v>3197</v>
      </c>
      <c r="D25" s="3299" t="s">
        <v>3149</v>
      </c>
      <c r="E25" s="3299" t="s">
        <v>3046</v>
      </c>
      <c r="F25" s="3299" t="s">
        <v>3264</v>
      </c>
      <c r="G25" s="3299" t="s">
        <v>3151</v>
      </c>
      <c r="H25" s="3299" t="s">
        <v>3055</v>
      </c>
      <c r="I25" s="3319" t="s">
        <v>3152</v>
      </c>
      <c r="J25" s="3290" t="s">
        <v>3265</v>
      </c>
      <c r="K25" s="3324">
        <v>29.09</v>
      </c>
      <c r="L25" s="3289">
        <v>12773.36</v>
      </c>
      <c r="M25" s="3289">
        <v>231746.85</v>
      </c>
      <c r="N25" s="3292">
        <f t="shared" si="1"/>
        <v>8405.6448951529746</v>
      </c>
    </row>
    <row r="26" spans="1:14" s="3323" customFormat="1" ht="95.25" customHeight="1">
      <c r="A26" s="3318">
        <v>2018</v>
      </c>
      <c r="B26" s="3306" t="s">
        <v>3266</v>
      </c>
      <c r="C26" s="3325" t="s">
        <v>3267</v>
      </c>
      <c r="D26" s="3324" t="s">
        <v>3125</v>
      </c>
      <c r="E26" s="3324" t="s">
        <v>3046</v>
      </c>
      <c r="F26" s="3324" t="s">
        <v>3156</v>
      </c>
      <c r="G26" s="3324" t="s">
        <v>3100</v>
      </c>
      <c r="H26" s="3324" t="s">
        <v>3055</v>
      </c>
      <c r="I26" s="3324" t="s">
        <v>3268</v>
      </c>
      <c r="J26" s="3324" t="s">
        <v>3158</v>
      </c>
      <c r="K26" s="3324">
        <v>165.53</v>
      </c>
      <c r="L26" s="3289">
        <v>55495.91</v>
      </c>
      <c r="M26" s="3289">
        <v>418159.92</v>
      </c>
      <c r="N26" s="3292">
        <f t="shared" si="1"/>
        <v>2861.4500694738113</v>
      </c>
    </row>
    <row r="27" spans="1:14" s="3323" customFormat="1" ht="72">
      <c r="A27" s="3318">
        <v>2018</v>
      </c>
      <c r="B27" s="3306" t="s">
        <v>3269</v>
      </c>
      <c r="C27" s="3325" t="s">
        <v>3267</v>
      </c>
      <c r="D27" s="3324" t="s">
        <v>3125</v>
      </c>
      <c r="E27" s="3324" t="s">
        <v>3046</v>
      </c>
      <c r="F27" s="3324" t="s">
        <v>3160</v>
      </c>
      <c r="G27" s="3324" t="s">
        <v>3161</v>
      </c>
      <c r="H27" s="3324" t="s">
        <v>3055</v>
      </c>
      <c r="I27" s="3324" t="s">
        <v>3270</v>
      </c>
      <c r="J27" s="3324" t="s">
        <v>3163</v>
      </c>
      <c r="K27" s="3326">
        <v>175.57</v>
      </c>
      <c r="L27" s="3289">
        <v>157294.39999999999</v>
      </c>
      <c r="M27" s="3289">
        <v>394653.43</v>
      </c>
      <c r="N27" s="3292">
        <f t="shared" si="1"/>
        <v>3143.7479637751321</v>
      </c>
    </row>
    <row r="28" spans="1:14" s="3293" customFormat="1" ht="63.75" hidden="1" customHeight="1">
      <c r="A28" s="3318">
        <v>2018</v>
      </c>
      <c r="B28" s="3306" t="s">
        <v>3271</v>
      </c>
      <c r="C28" s="3327" t="s">
        <v>3272</v>
      </c>
      <c r="D28" s="3328" t="s">
        <v>3075</v>
      </c>
      <c r="E28" s="3328" t="s">
        <v>3046</v>
      </c>
      <c r="F28" s="3328" t="s">
        <v>3273</v>
      </c>
      <c r="G28" s="3328" t="s">
        <v>3167</v>
      </c>
      <c r="H28" s="3328" t="s">
        <v>3055</v>
      </c>
      <c r="I28" s="3328" t="s">
        <v>3168</v>
      </c>
      <c r="J28" s="3328" t="s">
        <v>3169</v>
      </c>
      <c r="K28" s="3324">
        <v>49.58</v>
      </c>
      <c r="L28" s="3289">
        <v>61873.95</v>
      </c>
      <c r="M28" s="3289">
        <v>240341.82</v>
      </c>
      <c r="N28" s="3304">
        <f t="shared" si="1"/>
        <v>6095.5177490923761</v>
      </c>
    </row>
    <row r="29" spans="1:14" s="3293" customFormat="1" ht="95.25" hidden="1" customHeight="1">
      <c r="A29" s="3318">
        <v>2018</v>
      </c>
      <c r="B29" s="3306" t="s">
        <v>3271</v>
      </c>
      <c r="C29" s="3327" t="s">
        <v>3272</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4" s="3293" customFormat="1" ht="95.25" customHeight="1">
      <c r="A30" s="3318">
        <v>2018</v>
      </c>
      <c r="B30" s="3306" t="s">
        <v>3271</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4" s="3293" customFormat="1" ht="120" hidden="1" customHeight="1">
      <c r="A31" s="3318">
        <v>2018</v>
      </c>
      <c r="B31" s="3306" t="s">
        <v>3271</v>
      </c>
      <c r="C31" s="3294" t="s">
        <v>3272</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4" s="3293" customFormat="1" ht="72">
      <c r="A32" s="3318">
        <v>2018</v>
      </c>
      <c r="B32" s="3306" t="s">
        <v>3269</v>
      </c>
      <c r="C32" s="3294" t="s">
        <v>3272</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{189D6DB9-C435-45E5-8FCC-7741E45A47D3}</x14:id>
        </ext>
      </extLst>
    </cfRule>
  </conditionalFormatting>
  <conditionalFormatting sqref="B27">
    <cfRule type="dataBar" priority="6">
      <dataBar>
        <cfvo type="min"/>
        <cfvo type="max"/>
        <color rgb="FF638EC6"/>
      </dataBar>
      <extLst>
        <ext xmlns:x14="http://schemas.microsoft.com/office/spreadsheetml/2009/9/main" uri="{B025F937-C7B1-47D3-B67F-A62EFF666E3E}">
          <x14:id>{16505CC5-24E7-49EA-9932-E23834880105}</x14:id>
        </ext>
      </extLst>
    </cfRule>
  </conditionalFormatting>
  <conditionalFormatting sqref="B28">
    <cfRule type="dataBar" priority="5">
      <dataBar>
        <cfvo type="min"/>
        <cfvo type="max"/>
        <color rgb="FF638EC6"/>
      </dataBar>
      <extLst>
        <ext xmlns:x14="http://schemas.microsoft.com/office/spreadsheetml/2009/9/main" uri="{B025F937-C7B1-47D3-B67F-A62EFF666E3E}">
          <x14:id>{1F3AED6F-1D6F-41D5-9EB1-69A2BF649781}</x14:id>
        </ext>
      </extLst>
    </cfRule>
  </conditionalFormatting>
  <conditionalFormatting sqref="B29">
    <cfRule type="dataBar" priority="4">
      <dataBar>
        <cfvo type="min"/>
        <cfvo type="max"/>
        <color rgb="FF638EC6"/>
      </dataBar>
      <extLst>
        <ext xmlns:x14="http://schemas.microsoft.com/office/spreadsheetml/2009/9/main" uri="{B025F937-C7B1-47D3-B67F-A62EFF666E3E}">
          <x14:id>{FE0BA2FC-8BE9-4C30-A5AC-5AE7F9ED21BF}</x14:id>
        </ext>
      </extLst>
    </cfRule>
  </conditionalFormatting>
  <conditionalFormatting sqref="B30">
    <cfRule type="dataBar" priority="3">
      <dataBar>
        <cfvo type="min"/>
        <cfvo type="max"/>
        <color rgb="FF638EC6"/>
      </dataBar>
      <extLst>
        <ext xmlns:x14="http://schemas.microsoft.com/office/spreadsheetml/2009/9/main" uri="{B025F937-C7B1-47D3-B67F-A62EFF666E3E}">
          <x14:id>{FA6F74FA-54C5-40E2-A5F1-1914FBE1C6A2}</x14:id>
        </ext>
      </extLst>
    </cfRule>
  </conditionalFormatting>
  <conditionalFormatting sqref="B31">
    <cfRule type="dataBar" priority="2">
      <dataBar>
        <cfvo type="min"/>
        <cfvo type="max"/>
        <color rgb="FF638EC6"/>
      </dataBar>
      <extLst>
        <ext xmlns:x14="http://schemas.microsoft.com/office/spreadsheetml/2009/9/main" uri="{B025F937-C7B1-47D3-B67F-A62EFF666E3E}">
          <x14:id>{BF842974-0DE3-4D8D-91A9-AC406D15BFA6}</x14:id>
        </ext>
      </extLst>
    </cfRule>
  </conditionalFormatting>
  <conditionalFormatting sqref="B32">
    <cfRule type="dataBar" priority="1">
      <dataBar>
        <cfvo type="min"/>
        <cfvo type="max"/>
        <color rgb="FF638EC6"/>
      </dataBar>
      <extLst>
        <ext xmlns:x14="http://schemas.microsoft.com/office/spreadsheetml/2009/9/main" uri="{B025F937-C7B1-47D3-B67F-A62EFF666E3E}">
          <x14:id>{1802B87D-0DC0-4354-8750-BBA075E0471F}</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189D6DB9-C435-45E5-8FCC-7741E45A47D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6505CC5-24E7-49EA-9932-E23834880105}">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F3AED6F-1D6F-41D5-9EB1-69A2BF64978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E0BA2FC-8BE9-4C30-A5AC-5AE7F9ED21B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FA6F74FA-54C5-40E2-A5F1-1914FBE1C6A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F842974-0DE3-4D8D-91A9-AC406D15BFA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802B87D-0DC0-4354-8750-BBA075E0471F}">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4" t="s">
        <v>2027</v>
      </c>
      <c r="B1" s="3334"/>
      <c r="C1" s="3334"/>
      <c r="D1" s="3334"/>
      <c r="E1" s="3334"/>
      <c r="F1" s="3334"/>
      <c r="G1" s="3334"/>
      <c r="H1" s="3334"/>
      <c r="I1" s="3334"/>
      <c r="J1" s="3334"/>
      <c r="K1" s="3334"/>
      <c r="L1" s="3334"/>
      <c r="M1" s="3334"/>
      <c r="N1" s="3334"/>
      <c r="O1" s="3334"/>
      <c r="P1" s="3334"/>
      <c r="Q1" s="3334"/>
      <c r="R1" s="3334"/>
    </row>
    <row r="2" spans="1:18">
      <c r="A2" s="1722" t="s">
        <v>2029</v>
      </c>
      <c r="B2" s="1722"/>
      <c r="C2" s="1722"/>
      <c r="D2" s="1722"/>
      <c r="E2" s="1722"/>
      <c r="F2" s="1722"/>
      <c r="G2" s="1722"/>
      <c r="H2" s="1722"/>
      <c r="I2" s="1723"/>
      <c r="J2" s="1723"/>
      <c r="K2" s="1724" t="str">
        <f>"估价期日："&amp;TEXT(项目基本情况!D3,"yyyy年m月d日;;")</f>
        <v>估价期日：2020年8月28日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35" t="s">
        <v>2018</v>
      </c>
      <c r="B3" s="3335" t="s">
        <v>2712</v>
      </c>
      <c r="C3" s="3336" t="s">
        <v>2019</v>
      </c>
      <c r="D3" s="3335" t="s">
        <v>2716</v>
      </c>
      <c r="E3" s="3338" t="s">
        <v>2020</v>
      </c>
      <c r="F3" s="3338"/>
      <c r="G3" s="3338"/>
      <c r="H3" s="3338" t="s">
        <v>2021</v>
      </c>
      <c r="I3" s="3338"/>
      <c r="J3" s="3338"/>
      <c r="K3" s="3336" t="s">
        <v>2022</v>
      </c>
      <c r="L3" s="3336" t="s">
        <v>2023</v>
      </c>
      <c r="M3" s="3335" t="s">
        <v>2713</v>
      </c>
      <c r="N3" s="3337" t="str">
        <f>"（分摊）"&amp;项目基本情况!B16&amp;"国有建设用地使用权面积/㎡"</f>
        <v>（分摊）划拨国有建设用地使用权面积/㎡</v>
      </c>
      <c r="O3" s="3335" t="s">
        <v>2052</v>
      </c>
      <c r="P3" s="3336" t="s">
        <v>2032</v>
      </c>
      <c r="Q3" s="3336" t="s">
        <v>2053</v>
      </c>
      <c r="R3" s="3336" t="s">
        <v>2024</v>
      </c>
    </row>
    <row r="4" spans="1:18" ht="36.75" customHeight="1">
      <c r="A4" s="3335"/>
      <c r="B4" s="3335"/>
      <c r="C4" s="3336"/>
      <c r="D4" s="3335"/>
      <c r="E4" s="2491" t="s">
        <v>2031</v>
      </c>
      <c r="F4" s="2491" t="s">
        <v>2725</v>
      </c>
      <c r="G4" s="2491" t="s">
        <v>2025</v>
      </c>
      <c r="H4" s="2491" t="s">
        <v>2026</v>
      </c>
      <c r="I4" s="2491" t="s">
        <v>2726</v>
      </c>
      <c r="J4" s="2491" t="s">
        <v>2025</v>
      </c>
      <c r="K4" s="3336"/>
      <c r="L4" s="3336"/>
      <c r="M4" s="3335"/>
      <c r="N4" s="3337"/>
      <c r="O4" s="3335"/>
      <c r="P4" s="3336"/>
      <c r="Q4" s="3336"/>
      <c r="R4" s="333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23300</v>
      </c>
      <c r="O5" s="1725">
        <f>项目基本情况!C21</f>
        <v>23300</v>
      </c>
      <c r="P5" s="1725" t="e">
        <f ca="1">结果表!E42</f>
        <v>#REF!</v>
      </c>
      <c r="Q5" s="1725" t="e">
        <f ca="1">结果表!D42</f>
        <v>#REF!</v>
      </c>
      <c r="R5" s="1726" t="e">
        <f ca="1">结果表!C42</f>
        <v>#REF!</v>
      </c>
    </row>
    <row r="6" spans="1:18">
      <c r="A6" s="3339" t="str">
        <f>IF(项目基本情况!B9="市场价格","——","抵押价格")</f>
        <v>——</v>
      </c>
      <c r="B6" s="3340"/>
      <c r="C6" s="3340"/>
      <c r="D6" s="3340"/>
      <c r="E6" s="3340"/>
      <c r="F6" s="3340"/>
      <c r="G6" s="3340"/>
      <c r="H6" s="3340"/>
      <c r="I6" s="3340"/>
      <c r="J6" s="3340"/>
      <c r="K6" s="3340"/>
      <c r="L6" s="3340"/>
      <c r="M6" s="3340"/>
      <c r="N6" s="3340"/>
      <c r="O6" s="3340"/>
      <c r="P6" s="3340"/>
      <c r="Q6" s="3341"/>
      <c r="R6" s="1727" t="str">
        <f>结果表!O39</f>
        <v>——</v>
      </c>
    </row>
    <row r="7" spans="1:18">
      <c r="A7" s="3339" t="str">
        <f>IF(项目基本情况!B9="市场价格","——",IF(项目基本情况!E8="已注销及未注销","抵押担保权已注销时的抵押价格","——"))</f>
        <v>——</v>
      </c>
      <c r="B7" s="3340"/>
      <c r="C7" s="3340"/>
      <c r="D7" s="3340"/>
      <c r="E7" s="3340"/>
      <c r="F7" s="3340"/>
      <c r="G7" s="3340"/>
      <c r="H7" s="3340"/>
      <c r="I7" s="3340"/>
      <c r="J7" s="3340"/>
      <c r="K7" s="3340"/>
      <c r="L7" s="3340"/>
      <c r="M7" s="3340"/>
      <c r="N7" s="3340"/>
      <c r="O7" s="3340"/>
      <c r="P7" s="3340"/>
      <c r="Q7" s="3341"/>
      <c r="R7" s="1727" t="str">
        <f>结果表!O40</f>
        <v>——</v>
      </c>
    </row>
    <row r="8" spans="1:18">
      <c r="A8" s="3339" t="str">
        <f>IF(项目基本情况!B9="市场价格","——",项目基本情况!E9)</f>
        <v>——</v>
      </c>
      <c r="B8" s="3340"/>
      <c r="C8" s="3340"/>
      <c r="D8" s="3340"/>
      <c r="E8" s="3340"/>
      <c r="F8" s="3340"/>
      <c r="G8" s="3340"/>
      <c r="H8" s="3340"/>
      <c r="I8" s="3340"/>
      <c r="J8" s="3340"/>
      <c r="K8" s="3340"/>
      <c r="L8" s="3340"/>
      <c r="M8" s="3340"/>
      <c r="N8" s="3340"/>
      <c r="O8" s="3340"/>
      <c r="P8" s="3340"/>
      <c r="Q8" s="3341"/>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2" t="s">
        <v>2054</v>
      </c>
      <c r="B1" s="3342"/>
      <c r="C1" s="3342"/>
      <c r="D1" s="3342"/>
    </row>
    <row r="2" spans="1:4" ht="47.25" customHeight="1">
      <c r="A2" s="3346" t="str">
        <f>"1.权利限制："&amp;项目基本情况!L24&amp;"未设定租赁等其他他项权利。"</f>
        <v>1.权利限制：根据估价对象《不动产权证书》原件、《国有土地使用权》复印件，截至估价期日，估价对象抵押权未见登记。未设定租赁等其他他项权利。</v>
      </c>
      <c r="B2" s="3346"/>
      <c r="C2" s="3346"/>
      <c r="D2" s="3346"/>
    </row>
    <row r="3" spans="1:4" ht="48" customHeight="1">
      <c r="A3" s="33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2"/>
      <c r="C3" s="3342"/>
      <c r="D3" s="3342"/>
    </row>
    <row r="4" spans="1:4" ht="36.75" customHeight="1">
      <c r="A4" s="3342" t="str">
        <f>"3.估价规划限制条件：详见"&amp;项目基本情况!E21&amp;"。"</f>
        <v>3.估价规划限制条件：详见《建设工程规划许可证》[]、《出让合同》[]。</v>
      </c>
      <c r="B4" s="3342"/>
      <c r="C4" s="3342"/>
      <c r="D4" s="3342"/>
    </row>
    <row r="5" spans="1:4">
      <c r="A5" s="3345" t="s">
        <v>2055</v>
      </c>
      <c r="B5" s="3345"/>
      <c r="C5" s="3345"/>
      <c r="D5" s="3345"/>
    </row>
    <row r="6" spans="1:4">
      <c r="A6" s="3342" t="s">
        <v>2033</v>
      </c>
      <c r="B6" s="3342"/>
      <c r="C6" s="3342"/>
      <c r="D6" s="3342"/>
    </row>
    <row r="7" spans="1:4" ht="33" customHeight="1">
      <c r="A7" s="3342" t="s">
        <v>2556</v>
      </c>
      <c r="B7" s="3342"/>
      <c r="C7" s="3342"/>
      <c r="D7" s="3342"/>
    </row>
    <row r="8" spans="1:4" ht="32.25" customHeight="1">
      <c r="A8" s="33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2"/>
      <c r="C8" s="3342"/>
      <c r="D8" s="3342"/>
    </row>
    <row r="9" spans="1:4" ht="33.75" customHeight="1">
      <c r="A9" s="3342" t="str">
        <f>IF(项目基本情况!B8="抵押","3.抵押双方在办理抵押登记手续时，应使用本公司出具的正式《土地估价报告》，特提请报告使用者注意。","——")</f>
        <v>——</v>
      </c>
      <c r="B9" s="3342"/>
      <c r="C9" s="3342"/>
      <c r="D9" s="3342"/>
    </row>
    <row r="10" spans="1:4">
      <c r="A10" s="3342" t="str">
        <f>IF(项目基本情况!B8="抵押","4.估价师所知悉的法定优先受偿款情况为：","——")</f>
        <v>——</v>
      </c>
      <c r="B10" s="3342"/>
      <c r="C10" s="3342"/>
      <c r="D10" s="3342"/>
    </row>
    <row r="11" spans="1:4" ht="37.5" customHeight="1">
      <c r="A11" s="3344" t="str">
        <f>IF(项目基本情况!B8="抵押","（1）"&amp;CONCATENATE(项目基本情况!L24,项目基本情况!L25,项目基本情况!L26),"——")</f>
        <v>——</v>
      </c>
      <c r="B11" s="3344"/>
      <c r="C11" s="3344"/>
      <c r="D11" s="3344"/>
    </row>
    <row r="12" spans="1:4" ht="168" customHeight="1">
      <c r="A12" s="3345" t="s">
        <v>2057</v>
      </c>
      <c r="B12" s="3345"/>
      <c r="C12" s="3345"/>
      <c r="D12" s="3345"/>
    </row>
    <row r="13" spans="1:4">
      <c r="A13" s="3343" t="s">
        <v>2727</v>
      </c>
      <c r="B13" s="3343"/>
      <c r="C13" s="3343"/>
      <c r="D13" s="3343"/>
    </row>
    <row r="14" spans="1:4">
      <c r="A14" s="3344" t="str">
        <f>IF(项目基本情况!B8="抵押","综上，"&amp;结果表!K47,"——")</f>
        <v>——</v>
      </c>
      <c r="B14" s="3344"/>
      <c r="C14" s="3344"/>
      <c r="D14" s="3344"/>
    </row>
    <row r="15" spans="1:4" ht="58.5" customHeight="1">
      <c r="A15" s="33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2"/>
      <c r="C15" s="3342"/>
      <c r="D15" s="3342"/>
    </row>
    <row r="16" spans="1:4" ht="70.5" customHeight="1">
      <c r="A16" s="33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2"/>
      <c r="C16" s="3342"/>
      <c r="D16" s="3342"/>
    </row>
    <row r="17" spans="1:4">
      <c r="A17" s="3342" t="s">
        <v>2683</v>
      </c>
      <c r="B17" s="3342"/>
      <c r="C17" s="3342"/>
      <c r="D17" s="3342"/>
    </row>
    <row r="18" spans="1:4">
      <c r="A18" s="3342" t="s">
        <v>2675</v>
      </c>
      <c r="B18" s="3342"/>
      <c r="C18" s="3342"/>
      <c r="D18" s="334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42" t="s">
        <v>2680</v>
      </c>
      <c r="B23" s="3342"/>
      <c r="C23" s="3342"/>
      <c r="D23" s="334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4" t="s">
        <v>53</v>
      </c>
      <c r="B15" s="3355" t="s">
        <v>838</v>
      </c>
      <c r="C15" s="3351"/>
    </row>
    <row r="16" spans="1:7" ht="14.25">
      <c r="A16" s="3354"/>
      <c r="B16" s="3352" t="s">
        <v>54</v>
      </c>
      <c r="C16" s="1155" t="s">
        <v>53</v>
      </c>
    </row>
    <row r="17" spans="1:3" ht="14.25">
      <c r="A17" s="3354"/>
      <c r="B17" s="3352"/>
      <c r="C17" s="1155" t="s">
        <v>55</v>
      </c>
    </row>
    <row r="18" spans="1:3" ht="14.25">
      <c r="A18" s="3354"/>
      <c r="B18" s="3352"/>
      <c r="C18" s="1155" t="s">
        <v>56</v>
      </c>
    </row>
    <row r="19" spans="1:3" ht="14.25">
      <c r="A19" s="3354"/>
      <c r="B19" s="3350" t="s">
        <v>57</v>
      </c>
      <c r="C19" s="3351"/>
    </row>
    <row r="20" spans="1:3" ht="14.25">
      <c r="A20" s="1156" t="s">
        <v>58</v>
      </c>
      <c r="B20" s="1157"/>
      <c r="C20" s="1158"/>
    </row>
    <row r="21" spans="1:3" ht="14.25">
      <c r="A21" s="3353" t="s">
        <v>59</v>
      </c>
      <c r="B21" s="3350" t="s">
        <v>60</v>
      </c>
      <c r="C21" s="3351"/>
    </row>
    <row r="22" spans="1:3" ht="14.25">
      <c r="A22" s="3353"/>
      <c r="B22" s="3350" t="s">
        <v>61</v>
      </c>
      <c r="C22" s="3351"/>
    </row>
    <row r="23" spans="1:3" ht="14.25">
      <c r="A23" s="3353"/>
      <c r="B23" s="3350" t="s">
        <v>62</v>
      </c>
      <c r="C23" s="3351"/>
    </row>
    <row r="24" spans="1:3" ht="14.25">
      <c r="A24" s="3353"/>
      <c r="B24" s="3356" t="s">
        <v>63</v>
      </c>
      <c r="C24" s="1159" t="s">
        <v>829</v>
      </c>
    </row>
    <row r="25" spans="1:3" ht="14.25">
      <c r="A25" s="3353"/>
      <c r="B25" s="3357"/>
      <c r="C25" s="1159" t="s">
        <v>830</v>
      </c>
    </row>
    <row r="26" spans="1:3" ht="14.25">
      <c r="A26" s="3353"/>
      <c r="B26" s="3357"/>
      <c r="C26" s="1159" t="s">
        <v>831</v>
      </c>
    </row>
    <row r="27" spans="1:3" ht="14.25">
      <c r="A27" s="3353"/>
      <c r="B27" s="3357"/>
      <c r="C27" s="1159" t="s">
        <v>832</v>
      </c>
    </row>
    <row r="28" spans="1:3" ht="14.25">
      <c r="A28" s="3353"/>
      <c r="B28" s="3357"/>
      <c r="C28" s="1159" t="s">
        <v>833</v>
      </c>
    </row>
    <row r="29" spans="1:3" ht="14.25">
      <c r="A29" s="3353"/>
      <c r="B29" s="3357"/>
      <c r="C29" s="1159" t="s">
        <v>834</v>
      </c>
    </row>
    <row r="30" spans="1:3" ht="14.25">
      <c r="A30" s="3353"/>
      <c r="B30" s="3357"/>
      <c r="C30" s="1159" t="s">
        <v>835</v>
      </c>
    </row>
    <row r="31" spans="1:3" ht="14.25">
      <c r="A31" s="3353"/>
      <c r="B31" s="3357"/>
      <c r="C31" s="1159" t="s">
        <v>836</v>
      </c>
    </row>
    <row r="32" spans="1:3" ht="14.25">
      <c r="A32" s="3353"/>
      <c r="B32" s="3357"/>
      <c r="C32" s="1159" t="s">
        <v>1637</v>
      </c>
    </row>
    <row r="33" spans="1:3" ht="14.25">
      <c r="A33" s="3353"/>
      <c r="B33" s="3347" t="s">
        <v>1643</v>
      </c>
      <c r="C33" s="1159" t="s">
        <v>1638</v>
      </c>
    </row>
    <row r="34" spans="1:3" ht="14.25">
      <c r="A34" s="3353"/>
      <c r="B34" s="3348"/>
      <c r="C34" s="1164" t="s">
        <v>1639</v>
      </c>
    </row>
    <row r="35" spans="1:3" ht="14.25">
      <c r="A35" s="3353"/>
      <c r="B35" s="3348"/>
      <c r="C35" s="1165" t="s">
        <v>1640</v>
      </c>
    </row>
    <row r="36" spans="1:3" ht="14.25">
      <c r="A36" s="3353"/>
      <c r="B36" s="3348"/>
      <c r="C36" s="1165" t="s">
        <v>1641</v>
      </c>
    </row>
    <row r="37" spans="1:3" ht="14.25">
      <c r="A37" s="3353"/>
      <c r="B37" s="334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44071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61" t="s">
        <v>1915</v>
      </c>
      <c r="B17" s="3362"/>
      <c r="C17" s="3362"/>
      <c r="D17" s="3362"/>
      <c r="E17" s="3362"/>
      <c r="F17" s="3362"/>
      <c r="G17" s="3034"/>
    </row>
    <row r="18" spans="1:7" ht="20.25" customHeight="1">
      <c r="A18" s="3358" t="s">
        <v>1916</v>
      </c>
      <c r="B18" s="3358"/>
      <c r="C18" s="3359"/>
      <c r="D18" s="3360" t="s">
        <v>1917</v>
      </c>
      <c r="E18" s="3358"/>
      <c r="F18" s="335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6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c r="D53" s="1685"/>
      <c r="E53" s="1685"/>
    </row>
    <row r="54" spans="1:5">
      <c r="A54" s="336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6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6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6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 (自来水)</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2020-08-28T03:10:46Z</dcterms:modified>
</cp:coreProperties>
</file>