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20730" windowHeight="537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 sheetId="68" r:id="rId19"/>
    <sheet name="剩余法-现房" sheetId="43"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地价" sheetId="59" r:id="rId28"/>
    <sheet name="基准地价（汇总）" sheetId="67" state="hidden" r:id="rId29"/>
    <sheet name="收益还原法" sheetId="44" state="hidden" r:id="rId30"/>
    <sheet name="不动产收益法" sheetId="15" r:id="rId31"/>
    <sheet name="酒店收入计算" sheetId="57" state="hidden" r:id="rId32"/>
    <sheet name="成本逼近法" sheetId="11"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r:id="rId41"/>
    <sheet name="土地案例" sheetId="70" r:id="rId42"/>
    <sheet name="土地案例 (自来水)" sheetId="71" r:id="rId43"/>
    <sheet name="Sheet2" sheetId="69" r:id="rId44"/>
  </sheets>
  <externalReferences>
    <externalReference r:id="rId45"/>
    <externalReference r:id="rId46"/>
    <externalReference r:id="rId47"/>
    <externalReference r:id="rId48"/>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41" hidden="1">土地案例!$A$3:$K$32</definedName>
    <definedName name="_xlnm._FilterDatabase" localSheetId="42" hidden="1">'土地案例 (自来水)'!$A$3:$K$32</definedName>
    <definedName name="_xlnm._FilterDatabase" localSheetId="9" hidden="1">项目基本情况!$A$48:$N$48</definedName>
    <definedName name="a">'[1]不动产比较法-办公'!$B$115:$M$115</definedName>
    <definedName name="_xlnm.Print_Area" localSheetId="21">'比较法-工业'!$A$1:$K$63,'比较法-工业'!$A$66:$N$123</definedName>
    <definedName name="_xlnm.Print_Area" localSheetId="20">'比较法-住宅、综合'!$A$1:$K$67,'比较法-住宅、综合'!$A$71:$N$134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7">'剩余法-待开发'!$A$1:$K$36</definedName>
    <definedName name="_xlnm.Print_Area" localSheetId="19">'剩余法-现房'!$A$1:$K$32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18">'[2]不动产比较法-办公'!$B$119:$M$119</definedName>
    <definedName name="办公层高" localSheetId="41">'[3]不动产比较法-办公'!$B$119:$M$119</definedName>
    <definedName name="办公层高" localSheetId="42">'[4]不动产比较法-办公'!$B$119:$M$119</definedName>
    <definedName name="办公层高">'不动产比较法-办公'!$B$119:$M$119</definedName>
    <definedName name="办公朝向" localSheetId="18">'[2]不动产比较法-办公'!$B$91:$M$91</definedName>
    <definedName name="办公朝向" localSheetId="41">'[3]不动产比较法-办公'!$B$91:$M$91</definedName>
    <definedName name="办公朝向" localSheetId="42">'[4]不动产比较法-办公'!$B$91:$M$91</definedName>
    <definedName name="办公朝向">'不动产比较法-办公'!$B$91:$M$91</definedName>
    <definedName name="办公道路级别" localSheetId="18">'[2]不动产比较法-办公'!$B$87:$M$87</definedName>
    <definedName name="办公道路级别" localSheetId="41">'[3]不动产比较法-办公'!$B$87:$M$87</definedName>
    <definedName name="办公道路级别" localSheetId="42">'[4]不动产比较法-办公'!$B$87:$M$87</definedName>
    <definedName name="办公道路级别">'不动产比较法-办公'!$B$87:$M$87</definedName>
    <definedName name="办公公共部分装修" localSheetId="18">'[2]不动产比较法-办公'!$B$108:$M$108</definedName>
    <definedName name="办公公共部分装修" localSheetId="41">'[3]不动产比较法-办公'!$B$108:$M$108</definedName>
    <definedName name="办公公共部分装修" localSheetId="42">'[4]不动产比较法-办公'!$B$108:$M$108</definedName>
    <definedName name="办公公共部分装修">'不动产比较法-办公'!$B$108:$M$108</definedName>
    <definedName name="办公基础设施水平" localSheetId="18">'[2]不动产比较法-办公'!$B$117:$M$117</definedName>
    <definedName name="办公基础设施水平" localSheetId="41">'[3]不动产比较法-办公'!$B$117:$M$117</definedName>
    <definedName name="办公基础设施水平" localSheetId="42">'[4]不动产比较法-办公'!$B$117:$M$117</definedName>
    <definedName name="办公基础设施水平">'不动产比较法-办公'!$B$117:$M$117</definedName>
    <definedName name="办公集聚程度" localSheetId="18">[2]定义!$M$1:$M$6</definedName>
    <definedName name="办公集聚程度" localSheetId="41">[3]定义!$M$1:$M$6</definedName>
    <definedName name="办公集聚程度" localSheetId="42">[4]定义!$M$1:$M$6</definedName>
    <definedName name="办公集聚程度">定义!$M$1:$M$6</definedName>
    <definedName name="办公建筑结构" localSheetId="18">'[2]不动产比较法-办公'!$B$106:$M$106</definedName>
    <definedName name="办公建筑结构" localSheetId="41">'[3]不动产比较法-办公'!$B$106:$M$106</definedName>
    <definedName name="办公建筑结构" localSheetId="42">'[4]不动产比较法-办公'!$B$106:$M$106</definedName>
    <definedName name="办公建筑结构">'不动产比较法-办公'!$B$106:$M$106</definedName>
    <definedName name="办公建筑类型" localSheetId="18">'[2]不动产比较法-办公'!$B$101:$M$101</definedName>
    <definedName name="办公建筑类型" localSheetId="41">'[3]不动产比较法-办公'!$B$101:$M$101</definedName>
    <definedName name="办公建筑类型" localSheetId="42">'[4]不动产比较法-办公'!$B$101:$M$101</definedName>
    <definedName name="办公建筑类型">'不动产比较法-办公'!$B$101:$M$101</definedName>
    <definedName name="办公交易情况" localSheetId="18">'[2]不动产比较法-办公'!$A$62:$M$62</definedName>
    <definedName name="办公交易情况" localSheetId="41">'[3]不动产比较法-办公'!$A$62:$M$62</definedName>
    <definedName name="办公交易情况" localSheetId="42">'[4]不动产比较法-办公'!$A$62:$M$62</definedName>
    <definedName name="办公交易情况">'不动产比较法-办公'!$A$62:$M$62</definedName>
    <definedName name="办公楼层" localSheetId="18">'[2]不动产比较法-办公'!$B$89:$M$89</definedName>
    <definedName name="办公楼层" localSheetId="41">'[3]不动产比较法-办公'!$B$89:$M$89</definedName>
    <definedName name="办公楼层" localSheetId="42">'[4]不动产比较法-办公'!$B$89:$M$89</definedName>
    <definedName name="办公楼层">'不动产比较法-办公'!$B$89:$M$89</definedName>
    <definedName name="办公内部装修" localSheetId="18">'[2]不动产比较法-办公'!$B$123:$M$123</definedName>
    <definedName name="办公内部装修" localSheetId="41">'[3]不动产比较法-办公'!$B$123:$M$123</definedName>
    <definedName name="办公内部装修" localSheetId="42">'[4]不动产比较法-办公'!$B$123:$M$123</definedName>
    <definedName name="办公内部装修">'不动产比较法-办公'!$B$123:$M$123</definedName>
    <definedName name="办公物业管理" localSheetId="18">'[2]不动产比较法-办公'!$B$115:$M$115</definedName>
    <definedName name="办公物业管理" localSheetId="41">'[3]不动产比较法-办公'!$B$115:$M$115</definedName>
    <definedName name="办公物业管理" localSheetId="42">'[4]不动产比较法-办公'!$B$115:$M$115</definedName>
    <definedName name="办公物业管理">'不动产比较法-办公'!$B$115:$M$115</definedName>
    <definedName name="办公用途" localSheetId="18">'[2]不动产比较法-办公'!$B$64:$M$64</definedName>
    <definedName name="办公用途" localSheetId="41">'[3]不动产比较法-办公'!$B$64:$M$64</definedName>
    <definedName name="办公用途" localSheetId="42">'[4]不动产比较法-办公'!$B$64:$M$64</definedName>
    <definedName name="办公用途">'不动产比较法-办公'!$B$64:$M$64</definedName>
    <definedName name="仓储公共部分装修" localSheetId="18">'[2]不动产比较法-仓储'!$B$77:$M$77</definedName>
    <definedName name="仓储公共部分装修" localSheetId="41">'[3]不动产比较法-仓储'!$B$77:$M$77</definedName>
    <definedName name="仓储公共部分装修" localSheetId="42">'[4]不动产比较法-仓储'!$B$77:$M$77</definedName>
    <definedName name="仓储公共部分装修">'不动产比较法-仓储'!$B$77:$M$77</definedName>
    <definedName name="仓储交易情况" localSheetId="18">'[2]不动产比较法-仓储'!$A$49:$M$49</definedName>
    <definedName name="仓储交易情况" localSheetId="41">'[3]不动产比较法-仓储'!$A$49:$M$49</definedName>
    <definedName name="仓储交易情况" localSheetId="42">'[4]不动产比较法-仓储'!$A$49:$M$49</definedName>
    <definedName name="仓储交易情况">'不动产比较法-仓储'!$A$49:$M$49</definedName>
    <definedName name="仓储楼层" localSheetId="18">'[2]不动产比较法-仓储'!$B$69:$M$69</definedName>
    <definedName name="仓储楼层" localSheetId="41">'[3]不动产比较法-仓储'!$B$69:$M$69</definedName>
    <definedName name="仓储楼层" localSheetId="42">'[4]不动产比较法-仓储'!$B$69:$M$69</definedName>
    <definedName name="仓储楼层">'不动产比较法-仓储'!$B$69:$M$69</definedName>
    <definedName name="仓储物业等级" localSheetId="18">'[2]不动产比较法-仓储'!$B$82:$M$82</definedName>
    <definedName name="仓储物业等级" localSheetId="41">'[3]不动产比较法-仓储'!$B$82:$M$82</definedName>
    <definedName name="仓储物业等级" localSheetId="42">'[4]不动产比较法-仓储'!$B$82:$M$82</definedName>
    <definedName name="仓储物业等级">'不动产比较法-仓储'!$B$82:$M$82</definedName>
    <definedName name="仓储用途" localSheetId="18">'[2]不动产比较法-仓储'!$B$51:$M$51</definedName>
    <definedName name="仓储用途" localSheetId="41">'[3]不动产比较法-仓储'!$B$51:$M$51</definedName>
    <definedName name="仓储用途" localSheetId="42">'[4]不动产比较法-仓储'!$B$51:$M$51</definedName>
    <definedName name="仓储用途">'不动产比较法-仓储'!$B$51:$M$51</definedName>
    <definedName name="产业集聚程度" localSheetId="18">[2]定义!$N$1:$N$6</definedName>
    <definedName name="产业集聚程度" localSheetId="41">[3]定义!$N$1:$N$6</definedName>
    <definedName name="产业集聚程度" localSheetId="42">[4]定义!$N$1:$N$6</definedName>
    <definedName name="产业集聚程度">定义!$N$1:$N$6</definedName>
    <definedName name="车位公共部分装修" localSheetId="18">'[2]不动产比较法-车位'!$B$83:$M$83</definedName>
    <definedName name="车位公共部分装修" localSheetId="41">'[3]不动产比较法-车位'!$B$83:$M$83</definedName>
    <definedName name="车位公共部分装修" localSheetId="42">'[4]不动产比较法-车位'!$B$83:$M$83</definedName>
    <definedName name="车位公共部分装修">'不动产比较法-车位'!$B$83:$M$83</definedName>
    <definedName name="车位交易情况" localSheetId="18">'[2]不动产比较法-车位'!$A$51:$M$51</definedName>
    <definedName name="车位交易情况" localSheetId="41">'[3]不动产比较法-车位'!$A$51:$M$51</definedName>
    <definedName name="车位交易情况" localSheetId="42">'[4]不动产比较法-车位'!$A$51:$M$51</definedName>
    <definedName name="车位交易情况">'不动产比较法-车位'!$A$51:$M$51</definedName>
    <definedName name="车位类型" localSheetId="18">'[2]不动产比较法-车位'!$B$93:$M$93</definedName>
    <definedName name="车位类型" localSheetId="41">'[3]不动产比较法-车位'!$B$93:$M$93</definedName>
    <definedName name="车位类型" localSheetId="42">'[4]不动产比较法-车位'!$B$93:$M$93</definedName>
    <definedName name="车位类型">'不动产比较法-车位'!$B$93:$M$93</definedName>
    <definedName name="车位楼层" localSheetId="18">'[2]不动产比较法-车位'!$B$71:$M$71</definedName>
    <definedName name="车位楼层" localSheetId="41">'[3]不动产比较法-车位'!$B$71:$M$71</definedName>
    <definedName name="车位楼层" localSheetId="42">'[4]不动产比较法-车位'!$B$71:$M$71</definedName>
    <definedName name="车位楼层">'不动产比较法-车位'!$B$71:$M$71</definedName>
    <definedName name="车位配套类型" localSheetId="18">'[2]不动产比较法-车位'!$B$79:$M$79</definedName>
    <definedName name="车位配套类型" localSheetId="41">'[3]不动产比较法-车位'!$B$79:$M$79</definedName>
    <definedName name="车位配套类型" localSheetId="42">'[4]不动产比较法-车位'!$B$79:$M$79</definedName>
    <definedName name="车位配套类型">'不动产比较法-车位'!$B$79:$M$79</definedName>
    <definedName name="车位物业等级" localSheetId="18">'[2]不动产比较法-车位'!$B$88:$M$88</definedName>
    <definedName name="车位物业等级" localSheetId="41">'[3]不动产比较法-车位'!$B$88:$M$88</definedName>
    <definedName name="车位物业等级" localSheetId="42">'[4]不动产比较法-车位'!$B$88:$M$88</definedName>
    <definedName name="车位物业等级">'不动产比较法-车位'!$B$88:$M$88</definedName>
    <definedName name="车位用途" localSheetId="18">'[2]不动产比较法-车位'!$B$53:$M$53</definedName>
    <definedName name="车位用途" localSheetId="41">'[3]不动产比较法-车位'!$B$53:$M$53</definedName>
    <definedName name="车位用途" localSheetId="42">'[4]不动产比较法-车位'!$B$53:$M$53</definedName>
    <definedName name="车位用途">'不动产比较法-车位'!$B$53:$M$53</definedName>
    <definedName name="城镇土地纳税等级分级范围" localSheetId="18">'[2]数据-取费表'!$A$53:$A$63</definedName>
    <definedName name="城镇土地纳税等级分级范围" localSheetId="41">'[3]数据-取费表'!$A$53:$A$63</definedName>
    <definedName name="城镇土地纳税等级分级范围" localSheetId="42">'[4]数据-取费表'!$A$53:$A$63</definedName>
    <definedName name="城镇土地纳税等级分级范围">'数据-取费表'!$A$53:$A$63</definedName>
    <definedName name="单价内涵" localSheetId="18">[2]定义!$V$1:$V$3</definedName>
    <definedName name="单价内涵" localSheetId="41">[3]定义!$V$1:$V$3</definedName>
    <definedName name="单价内涵" localSheetId="42">[4]定义!$V$1:$V$3</definedName>
    <definedName name="单价内涵">定义!$V$1:$V$3</definedName>
    <definedName name="地类判定" localSheetId="18">[2]定义!$H$1:$H$9</definedName>
    <definedName name="地类判定" localSheetId="41">[3]定义!$H$1:$H$9</definedName>
    <definedName name="地类判定" localSheetId="42">[4]定义!$H$1:$H$9</definedName>
    <definedName name="地类判定">定义!$H$1:$H$9</definedName>
    <definedName name="二级">区片价!$J$1:$J$20</definedName>
    <definedName name="二级分类" localSheetId="18">[2]修正!$C$17:$C$39</definedName>
    <definedName name="二级分类" localSheetId="41">[3]修正!$C$17:$C$39</definedName>
    <definedName name="二级分类" localSheetId="42">[4]修正!$C$17:$C$39</definedName>
    <definedName name="二级分类">修正!$C$17:$C$39</definedName>
    <definedName name="法定最高年限" localSheetId="18">[2]定义!$G$2:$G$4</definedName>
    <definedName name="法定最高年限" localSheetId="41">[3]定义!$G$2:$G$4</definedName>
    <definedName name="法定最高年限" localSheetId="42">[4]定义!$G$2:$G$4</definedName>
    <definedName name="法定最高年限">定义!$G$2:$G$4</definedName>
    <definedName name="工业公共部分装修" localSheetId="18">'[2]不动产比较法-工业'!$B$95:$M$95</definedName>
    <definedName name="工业公共部分装修" localSheetId="41">'[3]不动产比较法-工业'!$B$95:$M$95</definedName>
    <definedName name="工业公共部分装修" localSheetId="42">'[4]不动产比较法-工业'!$B$95:$M$95</definedName>
    <definedName name="工业公共部分装修">'不动产比较法-工业'!$B$95:$M$95</definedName>
    <definedName name="工业基础设施水平" localSheetId="18">'[2]不动产比较法-工业'!$B$102:$M$102</definedName>
    <definedName name="工业基础设施水平" localSheetId="41">'[3]不动产比较法-工业'!$B$102:$M$102</definedName>
    <definedName name="工业基础设施水平" localSheetId="42">'[4]不动产比较法-工业'!$B$102:$M$102</definedName>
    <definedName name="工业基础设施水平">'不动产比较法-工业'!$B$102:$M$102</definedName>
    <definedName name="工业建筑结构" localSheetId="18">'[2]不动产比较法-工业'!$B$93:$M$93</definedName>
    <definedName name="工业建筑结构" localSheetId="41">'[3]不动产比较法-工业'!$B$93:$M$93</definedName>
    <definedName name="工业建筑结构" localSheetId="42">'[4]不动产比较法-工业'!$B$93:$M$93</definedName>
    <definedName name="工业建筑结构">'不动产比较法-工业'!$B$93:$M$93</definedName>
    <definedName name="工业建筑类型" localSheetId="18">'[2]不动产比较法-工业'!$B$88:$M$88</definedName>
    <definedName name="工业建筑类型" localSheetId="41">'[3]不动产比较法-工业'!$B$88:$M$88</definedName>
    <definedName name="工业建筑类型" localSheetId="42">'[4]不动产比较法-工业'!$B$88:$M$88</definedName>
    <definedName name="工业建筑类型">'不动产比较法-工业'!$B$88:$M$88</definedName>
    <definedName name="工业交易情况" localSheetId="18">'[2]不动产比较法-工业'!$A$55:$M$55</definedName>
    <definedName name="工业交易情况" localSheetId="41">'[3]不动产比较法-工业'!$A$55:$M$55</definedName>
    <definedName name="工业交易情况" localSheetId="42">'[4]不动产比较法-工业'!$A$55:$M$55</definedName>
    <definedName name="工业交易情况">'不动产比较法-工业'!$A$55:$M$55</definedName>
    <definedName name="工业内部装修" localSheetId="18">'[2]不动产比较法-工业'!$B$104:$M$104</definedName>
    <definedName name="工业内部装修" localSheetId="41">'[3]不动产比较法-工业'!$B$104:$M$104</definedName>
    <definedName name="工业内部装修" localSheetId="42">'[4]不动产比较法-工业'!$B$104:$M$104</definedName>
    <definedName name="工业内部装修">'不动产比较法-工业'!$B$104:$M$104</definedName>
    <definedName name="工业物业管理" localSheetId="18">'[2]不动产比较法-工业'!$B$100:$M$100</definedName>
    <definedName name="工业物业管理" localSheetId="41">'[3]不动产比较法-工业'!$B$100:$M$100</definedName>
    <definedName name="工业物业管理" localSheetId="42">'[4]不动产比较法-工业'!$B$100:$M$100</definedName>
    <definedName name="工业物业管理">'不动产比较法-工业'!$B$100:$M$100</definedName>
    <definedName name="工业用途" localSheetId="18">'[2]不动产比较法-工业'!$B$57:$M$57</definedName>
    <definedName name="工业用途" localSheetId="41">'[3]不动产比较法-工业'!$B$57:$M$57</definedName>
    <definedName name="工业用途" localSheetId="42">'[4]不动产比较法-工业'!$B$57:$M$57</definedName>
    <definedName name="工业用途">'不动产比较法-工业'!$B$57:$M$57</definedName>
    <definedName name="公共配套设施" localSheetId="18">[2]定义!$Q$1:$Q$6</definedName>
    <definedName name="公共配套设施" localSheetId="41">[3]定义!$Q$1:$Q$6</definedName>
    <definedName name="公共配套设施" localSheetId="42">[4]定义!$Q$1:$Q$6</definedName>
    <definedName name="公共配套设施">定义!$Q$1:$Q$6</definedName>
    <definedName name="公用设施及基础设施水平">[1]定义!$Q$1:$Q$6</definedName>
    <definedName name="估价方法" localSheetId="18">[2]定义!$B$1:$B$50</definedName>
    <definedName name="估价方法" localSheetId="41">[3]定义!$B$1:$B$50</definedName>
    <definedName name="估价方法" localSheetId="42">[4]定义!$B$1:$B$50</definedName>
    <definedName name="估价方法">定义!$B$1:$B$50</definedName>
    <definedName name="环境" localSheetId="18">[2]定义!$S$1:$S$6</definedName>
    <definedName name="环境" localSheetId="41">[3]定义!$S$1:$S$6</definedName>
    <definedName name="环境" localSheetId="42">[4]定义!$S$1:$S$6</definedName>
    <definedName name="环境">定义!$S$1:$S$6</definedName>
    <definedName name="基础设施水平" localSheetId="18">[2]定义!$R$1:$R$6</definedName>
    <definedName name="基础设施水平" localSheetId="41">[3]定义!$R$1:$R$6</definedName>
    <definedName name="基础设施水平" localSheetId="42">[4]定义!$R$1:$R$6</definedName>
    <definedName name="基础设施水平">定义!$R$1:$R$6</definedName>
    <definedName name="季度">基准地价!$N$19:$AB$19</definedName>
    <definedName name="季度2014">地价!$A$2:$A$31</definedName>
    <definedName name="价值类型2" localSheetId="18">[2]定义!$B$54:$B$56</definedName>
    <definedName name="价值类型2" localSheetId="41">[3]定义!$B$54:$B$56</definedName>
    <definedName name="价值类型2" localSheetId="42">[4]定义!$B$54:$B$56</definedName>
    <definedName name="价值类型2">定义!$B$54:$B$56</definedName>
    <definedName name="交通便捷度" localSheetId="18">[2]定义!$O$1:$O$6</definedName>
    <definedName name="交通便捷度" localSheetId="41">[3]定义!$O$1:$O$6</definedName>
    <definedName name="交通便捷度" localSheetId="42">[4]定义!$O$1:$O$6</definedName>
    <definedName name="交通便捷度">定义!$O$1:$O$6</definedName>
    <definedName name="九级">区片价!$Q$1:$Q$46</definedName>
    <definedName name="居住社区成熟度" localSheetId="18">[2]定义!$K$1:$K$6</definedName>
    <definedName name="居住社区成熟度" localSheetId="41">[3]定义!$K$1:$K$6</definedName>
    <definedName name="居住社区成熟度" localSheetId="42">[4]定义!$K$1:$K$6</definedName>
    <definedName name="居住社区成熟度">定义!$K$1:$K$6</definedName>
    <definedName name="类别" localSheetId="18">[2]定义!$J$1:$J$3</definedName>
    <definedName name="类别" localSheetId="41">[3]定义!$J$1:$J$3</definedName>
    <definedName name="类别" localSheetId="42">[4]定义!$J$1:$J$3</definedName>
    <definedName name="类别">定义!$J$1:$J$3</definedName>
    <definedName name="临街状况" localSheetId="18">[2]定义!$T$1:$T$5</definedName>
    <definedName name="临街状况" localSheetId="41">[3]定义!$T$1:$T$5</definedName>
    <definedName name="临街状况" localSheetId="42">[4]定义!$T$1:$T$5</definedName>
    <definedName name="临街状况">定义!$T$1:$T$5</definedName>
    <definedName name="六级">区片价!$N$1:$N$49</definedName>
    <definedName name="内部装修维护情况" localSheetId="18">[2]定义!$U$1:$U$6</definedName>
    <definedName name="内部装修维护情况" localSheetId="41">[3]定义!$U$1:$U$6</definedName>
    <definedName name="内部装修维护情况" localSheetId="42">[4]定义!$U$1:$U$6</definedName>
    <definedName name="内部装修维护情况">定义!$U$1:$U$6</definedName>
    <definedName name="判定" localSheetId="18">[2]定义!$D$1:$D$4</definedName>
    <definedName name="判定" localSheetId="41">[3]定义!$D$1:$D$4</definedName>
    <definedName name="判定" localSheetId="42">[4]定义!$D$1:$D$4</definedName>
    <definedName name="判定">定义!$D$1:$D$4</definedName>
    <definedName name="七级">区片价!$O$1:$O$49</definedName>
    <definedName name="七通一平" localSheetId="18">[2]修正!$A$6:$A$14</definedName>
    <definedName name="七通一平" localSheetId="41">[3]修正!$A$6:$A$14</definedName>
    <definedName name="七通一平" localSheetId="42">[4]修正!$A$6:$A$14</definedName>
    <definedName name="七通一平">修正!$A$6:$A$14</definedName>
    <definedName name="区域土地利用方向" localSheetId="18">[2]定义!$P$1:$P$6</definedName>
    <definedName name="区域土地利用方向" localSheetId="41">[3]定义!$P$1:$P$6</definedName>
    <definedName name="区域土地利用方向" localSheetId="42">[4]定义!$P$1:$P$6</definedName>
    <definedName name="区域土地利用方向">定义!$P$1:$P$6</definedName>
    <definedName name="三级">区片价!$K$1:$K$21</definedName>
    <definedName name="商业层高" localSheetId="18">'[2]不动产比较法-商业'!$B$116:$M$116</definedName>
    <definedName name="商业层高" localSheetId="41">'[3]不动产比较法-商业'!$B$116:$M$116</definedName>
    <definedName name="商业层高" localSheetId="42">'[4]不动产比较法-商业'!$B$116:$M$116</definedName>
    <definedName name="商业层高">'不动产比较法-商业'!$B$116:$M$116</definedName>
    <definedName name="商业成新度">'不动产比较法-商业'!$B$109:$M$109</definedName>
    <definedName name="商业繁华度" localSheetId="18">[2]定义!$L$1:$L$6</definedName>
    <definedName name="商业繁华度" localSheetId="41">[3]定义!$L$1:$L$6</definedName>
    <definedName name="商业繁华度" localSheetId="42">[4]定义!$L$1:$L$6</definedName>
    <definedName name="商业繁华度">定义!$L$1:$L$6</definedName>
    <definedName name="商业公共部分装修" localSheetId="18">'[2]不动产比较法-商业'!$B$107:$M$107</definedName>
    <definedName name="商业公共部分装修" localSheetId="41">'[3]不动产比较法-商业'!$B$107:$M$107</definedName>
    <definedName name="商业公共部分装修" localSheetId="42">'[4]不动产比较法-商业'!$B$107:$M$107</definedName>
    <definedName name="商业公共部分装修">'不动产比较法-商业'!$B$107:$M$107</definedName>
    <definedName name="商业基础设施水平" localSheetId="18">'[2]不动产比较法-商业'!$B$112:$M$112</definedName>
    <definedName name="商业基础设施水平" localSheetId="41">'[3]不动产比较法-商业'!$B$112:$M$112</definedName>
    <definedName name="商业基础设施水平" localSheetId="42">'[4]不动产比较法-商业'!$B$112:$M$112</definedName>
    <definedName name="商业基础设施水平">'不动产比较法-商业'!$B$112:$M$112</definedName>
    <definedName name="商业建筑结构" localSheetId="18">'[2]不动产比较法-商业'!$B$105:$M$105</definedName>
    <definedName name="商业建筑结构" localSheetId="41">'[3]不动产比较法-商业'!$B$105:$M$105</definedName>
    <definedName name="商业建筑结构" localSheetId="42">'[4]不动产比较法-商业'!$B$105:$M$105</definedName>
    <definedName name="商业建筑结构">'不动产比较法-商业'!$B$105:$M$105</definedName>
    <definedName name="商业交易情况" localSheetId="18">'[2]不动产比较法-商业'!$A$61:$M$61</definedName>
    <definedName name="商业交易情况" localSheetId="41">'[3]不动产比较法-商业'!$A$61:$M$61</definedName>
    <definedName name="商业交易情况" localSheetId="42">'[4]不动产比较法-商业'!$A$61:$M$61</definedName>
    <definedName name="商业交易情况">'不动产比较法-商业'!$A$61:$M$61</definedName>
    <definedName name="商业街名称" localSheetId="18">[2]修正!$C$59:$C$119</definedName>
    <definedName name="商业街名称" localSheetId="41">[3]修正!$C$59:$C$119</definedName>
    <definedName name="商业街名称" localSheetId="42">[4]修正!$C$59:$C$119</definedName>
    <definedName name="商业街名称">修正!$C$59:$C$119</definedName>
    <definedName name="商业进深比" localSheetId="18">'[2]不动产比较法-商业'!$B$120:$M$120</definedName>
    <definedName name="商业进深比" localSheetId="41">'[3]不动产比较法-商业'!$B$120:$M$120</definedName>
    <definedName name="商业进深比" localSheetId="42">'[4]不动产比较法-商业'!$B$120:$M$120</definedName>
    <definedName name="商业进深比">'不动产比较法-商业'!$B$120:$M$120</definedName>
    <definedName name="商业类型" localSheetId="18">'[2]不动产比较法-商业'!$B$100:$M$100</definedName>
    <definedName name="商业类型" localSheetId="41">'[3]不动产比较法-商业'!$B$100:$M$100</definedName>
    <definedName name="商业类型" localSheetId="42">'[4]不动产比较法-商业'!$B$100:$M$100</definedName>
    <definedName name="商业类型">'不动产比较法-商业'!$B$100:$M$100</definedName>
    <definedName name="商业临街状况" localSheetId="18">'[2]不动产比较法-商业'!$B$86:$M$86</definedName>
    <definedName name="商业临街状况" localSheetId="41">'[3]不动产比较法-商业'!$B$86:$M$86</definedName>
    <definedName name="商业临街状况" localSheetId="42">'[4]不动产比较法-商业'!$B$86:$M$86</definedName>
    <definedName name="商业临街状况">'不动产比较法-商业'!$B$86:$M$86</definedName>
    <definedName name="商业楼层" localSheetId="18">'[2]不动产比较法-商业'!$B$92:$M$92</definedName>
    <definedName name="商业楼层" localSheetId="41">'[3]不动产比较法-商业'!$B$92:$M$92</definedName>
    <definedName name="商业楼层" localSheetId="42">'[4]不动产比较法-商业'!$B$92:$M$92</definedName>
    <definedName name="商业楼层">'不动产比较法-商业'!$B$92:$M$92</definedName>
    <definedName name="商业内部装修" localSheetId="18">'[2]不动产比较法-商业'!$B$122:$M$122</definedName>
    <definedName name="商业内部装修" localSheetId="41">'[3]不动产比较法-商业'!$B$122:$M$122</definedName>
    <definedName name="商业内部装修" localSheetId="42">'[4]不动产比较法-商业'!$B$122:$M$122</definedName>
    <definedName name="商业内部装修">'不动产比较法-商业'!$B$122:$M$122</definedName>
    <definedName name="商业人流量" localSheetId="18">'[2]不动产比较法-商业'!$B$90:$M$90</definedName>
    <definedName name="商业人流量" localSheetId="41">'[3]不动产比较法-商业'!$B$90:$M$90</definedName>
    <definedName name="商业人流量" localSheetId="42">'[4]不动产比较法-商业'!$B$90:$M$90</definedName>
    <definedName name="商业人流量">'不动产比较法-商业'!$B$90:$M$90</definedName>
    <definedName name="商业业态" localSheetId="18">'[2]不动产比较法-商业'!$B$114:$M$114</definedName>
    <definedName name="商业业态" localSheetId="41">'[3]不动产比较法-商业'!$B$114:$M$114</definedName>
    <definedName name="商业业态" localSheetId="42">'[4]不动产比较法-商业'!$B$114:$M$114</definedName>
    <definedName name="商业业态">'不动产比较法-商业'!$B$114:$M$114</definedName>
    <definedName name="商业用途" localSheetId="18">'[2]不动产比较法-商业'!$B$63:$M$63</definedName>
    <definedName name="商业用途" localSheetId="41">'[3]不动产比较法-商业'!$B$63:$M$63</definedName>
    <definedName name="商业用途" localSheetId="42">'[4]不动产比较法-商业'!$B$63:$M$63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8">'[2]不动产比较法-仓储'!$B$89:$M$89</definedName>
    <definedName name="是否封闭" localSheetId="41">'[3]不动产比较法-仓储'!$B$89:$M$89</definedName>
    <definedName name="是否封闭" localSheetId="42">'[4]不动产比较法-仓储'!$B$89:$M$89</definedName>
    <definedName name="是否封闭">'不动产比较法-仓储'!$B$89:$M$89</definedName>
    <definedName name="是否直接入户" localSheetId="18">'[2]不动产比较法-车位'!$B$95:$M$95</definedName>
    <definedName name="是否直接入户" localSheetId="41">'[3]不动产比较法-车位'!$B$95:$M$95</definedName>
    <definedName name="是否直接入户" localSheetId="42">'[4]不动产比较法-车位'!$B$95:$M$95</definedName>
    <definedName name="是否直接入户">'不动产比较法-车位'!$B$95:$M$95</definedName>
    <definedName name="四级">区片价!$L$1:$L$28</definedName>
    <definedName name="套工工程地质条件" localSheetId="18">'[2]比较法-工业'!$B$116:$M$116</definedName>
    <definedName name="套工工程地质条件" localSheetId="41">'[3]比较法-工业'!$B$116:$M$116</definedName>
    <definedName name="套工工程地质条件" localSheetId="42">'[4]比较法-工业'!$B$116:$M$116</definedName>
    <definedName name="套工工程地质条件">'比较法-工业'!$B$116:$M$116</definedName>
    <definedName name="套工交易情况" localSheetId="18">'[2]比较法-住宅、综合'!$A$75:$M$75</definedName>
    <definedName name="套工交易情况" localSheetId="41">'[3]比较法-住宅、综合'!$A$75:$M$75</definedName>
    <definedName name="套工交易情况" localSheetId="42">'[4]比较法-住宅、综合'!$A$75:$M$75</definedName>
    <definedName name="套工交易情况">'比较法-住宅、综合'!$A$75:$M$75</definedName>
    <definedName name="套工开发程度" localSheetId="18">'[2]比较法-工业'!$B$114:$M$114</definedName>
    <definedName name="套工开发程度" localSheetId="41">'[3]比较法-工业'!$B$114:$M$114</definedName>
    <definedName name="套工开发程度" localSheetId="42">'[4]比较法-工业'!$B$114:$M$114</definedName>
    <definedName name="套工开发程度">'比较法-工业'!$B$114:$M$114</definedName>
    <definedName name="套工临街等级" localSheetId="18">'[2]比较法-工业'!$B$99:$M$99</definedName>
    <definedName name="套工临街等级" localSheetId="41">'[3]比较法-工业'!$B$99:$M$99</definedName>
    <definedName name="套工临街等级" localSheetId="42">'[4]比较法-工业'!$B$99:$M$99</definedName>
    <definedName name="套工临街等级">'比较法-工业'!$B$99:$M$99</definedName>
    <definedName name="套工土地级别" localSheetId="18">'[2]比较法-工业'!$B$101:$M$101</definedName>
    <definedName name="套工土地级别" localSheetId="41">'[3]比较法-工业'!$B$101:$M$101</definedName>
    <definedName name="套工土地级别" localSheetId="42">'[4]比较法-工业'!$B$101:$M$101</definedName>
    <definedName name="套工土地级别">'比较法-工业'!$B$101:$M$101</definedName>
    <definedName name="套工用途" localSheetId="18">'[2]比较法-工业'!$B$72:$M$72</definedName>
    <definedName name="套工用途" localSheetId="41">'[3]比较法-工业'!$B$72:$M$72</definedName>
    <definedName name="套工用途" localSheetId="42">'[4]比较法-工业'!$B$72:$M$72</definedName>
    <definedName name="套工用途">'比较法-工业'!$B$72:$M$72</definedName>
    <definedName name="套工宗地形状" localSheetId="18">'[2]比较法-工业'!$B$112:$M$112</definedName>
    <definedName name="套工宗地形状" localSheetId="41">'[3]比较法-工业'!$B$112:$M$112</definedName>
    <definedName name="套工宗地形状" localSheetId="42">'[4]比较法-工业'!$B$112:$M$112</definedName>
    <definedName name="套工宗地形状">'比较法-工业'!$B$112:$M$112</definedName>
    <definedName name="套综道路等级" localSheetId="18">'[2]比较法-住宅、综合'!$B$108:$M$108</definedName>
    <definedName name="套综道路等级" localSheetId="41">'[3]比较法-住宅、综合'!$B$108:$M$108</definedName>
    <definedName name="套综道路等级" localSheetId="42">'[4]比较法-住宅、综合'!$B$108:$M$108</definedName>
    <definedName name="套综道路等级">'比较法-住宅、综合'!$B$108:$M$108</definedName>
    <definedName name="套综工程地质条件" localSheetId="18">'[2]比较法-住宅、综合'!$B$127:$M$127</definedName>
    <definedName name="套综工程地质条件" localSheetId="41">'[3]比较法-住宅、综合'!$B$127:$M$127</definedName>
    <definedName name="套综工程地质条件" localSheetId="42">'[4]比较法-住宅、综合'!$B$127:$M$127</definedName>
    <definedName name="套综工程地质条件">'比较法-住宅、综合'!$B$127:$M$127</definedName>
    <definedName name="套综交易情况" localSheetId="18">'[2]比较法-住宅、综合'!$A$75:$M$75</definedName>
    <definedName name="套综交易情况" localSheetId="41">'[3]比较法-住宅、综合'!$A$75:$M$75</definedName>
    <definedName name="套综交易情况" localSheetId="42">'[4]比较法-住宅、综合'!$A$75:$M$75</definedName>
    <definedName name="套综交易情况">'比较法-住宅、综合'!$A$75:$M$75</definedName>
    <definedName name="套综临街宽度及深度" localSheetId="18">'[2]比较法-住宅、综合'!$B$123:$M$123</definedName>
    <definedName name="套综临街宽度及深度" localSheetId="41">'[3]比较法-住宅、综合'!$B$123:$M$123</definedName>
    <definedName name="套综临街宽度及深度" localSheetId="42">'[4]比较法-住宅、综合'!$B$123:$M$123</definedName>
    <definedName name="套综临街宽度及深度">'比较法-住宅、综合'!$B$123:$M$123</definedName>
    <definedName name="套综土地级别" localSheetId="18">'[2]比较法-住宅、综合'!$B$110:$M$110</definedName>
    <definedName name="套综土地级别" localSheetId="41">'[3]比较法-住宅、综合'!$B$110:$M$110</definedName>
    <definedName name="套综土地级别" localSheetId="42">'[4]比较法-住宅、综合'!$B$110:$M$110</definedName>
    <definedName name="套综土地级别">'比较法-住宅、综合'!$B$110:$M$110</definedName>
    <definedName name="套综用途" localSheetId="18">'[2]比较法-住宅、综合'!$B$77:$M$77</definedName>
    <definedName name="套综用途" localSheetId="41">'[3]比较法-住宅、综合'!$B$77:$M$77</definedName>
    <definedName name="套综用途" localSheetId="42">'[4]比较法-住宅、综合'!$B$77:$M$77</definedName>
    <definedName name="套综用途">'比较法-住宅、综合'!$B$77:$M$77</definedName>
    <definedName name="套综宗地内开发程度" localSheetId="18">'[2]比较法-住宅、综合'!$B$125:$M$125</definedName>
    <definedName name="套综宗地内开发程度" localSheetId="41">'[3]比较法-住宅、综合'!$B$125:$M$125</definedName>
    <definedName name="套综宗地内开发程度" localSheetId="42">'[4]比较法-住宅、综合'!$B$125:$M$125</definedName>
    <definedName name="套综宗地内开发程度">'比较法-住宅、综合'!$B$125:$M$125</definedName>
    <definedName name="套综宗地形状" localSheetId="18">'[2]比较法-住宅、综合'!$B$121:$M$121</definedName>
    <definedName name="套综宗地形状" localSheetId="41">'[3]比较法-住宅、综合'!$B$121:$M$121</definedName>
    <definedName name="套综宗地形状" localSheetId="42">'[4]比较法-住宅、综合'!$B$121:$M$121</definedName>
    <definedName name="套综宗地形状">'比较法-住宅、综合'!$B$121:$M$121</definedName>
    <definedName name="土地估价师" localSheetId="18">[2]估价师及机构信息!$D$3:$D$24</definedName>
    <definedName name="土地估价师" localSheetId="41">[3]估价师及机构信息!$D$3:$D$24</definedName>
    <definedName name="土地估价师" localSheetId="42">[4]估价师及机构信息!$D$3:$D$24</definedName>
    <definedName name="土地估价师">估价师及机构信息!$D$3:$D$16</definedName>
    <definedName name="土地级别" localSheetId="18">[2]定义!$C$1:$C$14</definedName>
    <definedName name="土地级别" localSheetId="41">[3]定义!$C$1:$C$14</definedName>
    <definedName name="土地级别" localSheetId="42">[4]定义!$C$1:$C$14</definedName>
    <definedName name="土地级别">定义!$C$1:$C$14</definedName>
    <definedName name="土地利用方向">定义!$P$1:$P$6</definedName>
    <definedName name="土地年限区间" localSheetId="18">[2]定义!$I$1:$I$8</definedName>
    <definedName name="土地年限区间" localSheetId="41">[3]定义!$I$1:$I$8</definedName>
    <definedName name="土地年限区间" localSheetId="42">[4]定义!$I$1:$I$8</definedName>
    <definedName name="土地年限区间">定义!$I$1:$I$8</definedName>
    <definedName name="位置" localSheetId="18">[2]定义!$E$2:$E$4</definedName>
    <definedName name="位置" localSheetId="41">[3]定义!$E$2:$E$4</definedName>
    <definedName name="位置" localSheetId="42">[4]定义!$E$2:$E$4</definedName>
    <definedName name="位置">定义!$E$2:$E$4</definedName>
    <definedName name="五等判定" localSheetId="18">[2]定义!$W$1:$W$6</definedName>
    <definedName name="五等判定" localSheetId="41">[3]定义!$W$1:$W$6</definedName>
    <definedName name="五等判定" localSheetId="42">[4]定义!$W$1:$W$6</definedName>
    <definedName name="五等判定">定义!$W$1:$W$6</definedName>
    <definedName name="五级">区片价!$M$1:$M$35</definedName>
    <definedName name="项目类型" localSheetId="18">'[2]数据-汇总表'!$C$17:$C$26</definedName>
    <definedName name="项目类型" localSheetId="41">'[3]数据-汇总表'!$C$17:$C$26</definedName>
    <definedName name="项目类型" localSheetId="42">'[4]数据-汇总表'!$C$17:$C$26</definedName>
    <definedName name="项目类型">'数据-汇总表'!$C$17:$C$26</definedName>
    <definedName name="写字楼等级" localSheetId="18">'[2]不动产比较法-办公'!$B$113:$M$113</definedName>
    <definedName name="写字楼等级" localSheetId="41">'[3]不动产比较法-办公'!$B$113:$M$113</definedName>
    <definedName name="写字楼等级" localSheetId="42">'[4]不动产比较法-办公'!$B$113:$M$113</definedName>
    <definedName name="写字楼等级">'不动产比较法-办公'!$B$113:$M$113</definedName>
    <definedName name="一级">区片价!$I$1:$I$6</definedName>
    <definedName name="一修多修正项2" localSheetId="18">[2]典型户型修正!$5:$5</definedName>
    <definedName name="一修多修正项2" localSheetId="41">[3]典型户型修正!$5:$5</definedName>
    <definedName name="一修多修正项2" localSheetId="42">[4]典型户型修正!$5:$5</definedName>
    <definedName name="一修多修正项2">典型户型修正!$5:$5</definedName>
    <definedName name="一修多修正项3" localSheetId="18">[2]典型户型修正!$7:$7</definedName>
    <definedName name="一修多修正项3" localSheetId="41">[3]典型户型修正!$7:$7</definedName>
    <definedName name="一修多修正项3" localSheetId="42">[4]典型户型修正!$7:$7</definedName>
    <definedName name="一修多修正项3">典型户型修正!$7:$7</definedName>
    <definedName name="一修多修正项4" localSheetId="18">[2]典型户型修正!$9:$9</definedName>
    <definedName name="一修多修正项4" localSheetId="41">[3]典型户型修正!$9:$9</definedName>
    <definedName name="一修多修正项4" localSheetId="42">[4]典型户型修正!$9:$9</definedName>
    <definedName name="一修多修正项4">典型户型修正!$9:$9</definedName>
    <definedName name="一修多修正项5" localSheetId="18">[2]典型户型修正!$11:$11</definedName>
    <definedName name="一修多修正项5" localSheetId="41">[3]典型户型修正!$11:$11</definedName>
    <definedName name="一修多修正项5" localSheetId="42">[4]典型户型修正!$11:$11</definedName>
    <definedName name="一修多修正项5">典型户型修正!$11:$11</definedName>
    <definedName name="一修多修正项6" localSheetId="18">[2]典型户型修正!$13:$13</definedName>
    <definedName name="一修多修正项6" localSheetId="41">[3]典型户型修正!$13:$13</definedName>
    <definedName name="一修多修正项6" localSheetId="42">[4]典型户型修正!$13:$13</definedName>
    <definedName name="一修多修正项6">典型户型修正!$13:$13</definedName>
    <definedName name="一修多修正项7" localSheetId="18">[2]典型户型修正!$15:$15</definedName>
    <definedName name="一修多修正项7" localSheetId="41">[3]典型户型修正!$15:$15</definedName>
    <definedName name="一修多修正项7" localSheetId="42">[4]典型户型修正!$15:$15</definedName>
    <definedName name="一修多修正项7">典型户型修正!$15:$15</definedName>
    <definedName name="一修多修正项8" localSheetId="18">[2]典型户型修正!$17:$17</definedName>
    <definedName name="一修多修正项8" localSheetId="41">[3]典型户型修正!$17:$17</definedName>
    <definedName name="一修多修正项8" localSheetId="42">[4]典型户型修正!$17:$17</definedName>
    <definedName name="一修多修正项8">典型户型修正!$17:$17</definedName>
    <definedName name="用途类型" localSheetId="18">[2]定义!$A$1:$A$50</definedName>
    <definedName name="用途类型" localSheetId="41">[3]定义!$A$1:$A$50</definedName>
    <definedName name="用途类型" localSheetId="42">[4]定义!$A$1:$A$50</definedName>
    <definedName name="用途类型">定义!$A$1:$A$50</definedName>
    <definedName name="有无电梯" localSheetId="18">'[2]不动产比较法-仓储'!$B$84:$M$84</definedName>
    <definedName name="有无电梯" localSheetId="41">'[3]不动产比较法-仓储'!$B$84:$M$84</definedName>
    <definedName name="有无电梯" localSheetId="42">'[4]不动产比较法-仓储'!$B$84:$M$84</definedName>
    <definedName name="有无电梯">'不动产比较法-仓储'!$B$84:$M$84</definedName>
    <definedName name="主用途" localSheetId="18">[2]定义!$F$1:$F$10</definedName>
    <definedName name="主用途" localSheetId="41">[3]定义!$F$1:$F$10</definedName>
    <definedName name="主用途" localSheetId="42">[4]定义!$F$1:$F$10</definedName>
    <definedName name="主用途">定义!$F$1:$F$10</definedName>
    <definedName name="住宅朝向" localSheetId="18">'[2]不动产比较法-住宅'!$B$88:$M$88</definedName>
    <definedName name="住宅朝向" localSheetId="41">'[3]不动产比较法-住宅'!$B$88:$M$88</definedName>
    <definedName name="住宅朝向" localSheetId="42">'[4]不动产比较法-住宅'!$B$88:$M$88</definedName>
    <definedName name="住宅朝向">'不动产比较法-住宅'!$B$88:$M$88</definedName>
    <definedName name="住宅房型" localSheetId="18">'[2]不动产比较法-住宅'!$B$118:$M$118</definedName>
    <definedName name="住宅房型" localSheetId="41">'[3]不动产比较法-住宅'!$B$118:$M$118</definedName>
    <definedName name="住宅房型" localSheetId="42">'[4]不动产比较法-住宅'!$B$118:$M$118</definedName>
    <definedName name="住宅房型">'不动产比较法-住宅'!$B$118:$M$118</definedName>
    <definedName name="住宅公共部分装修" localSheetId="18">'[2]不动产比较法-住宅'!$B$109:$M$109</definedName>
    <definedName name="住宅公共部分装修" localSheetId="41">'[3]不动产比较法-住宅'!$B$109:$M$109</definedName>
    <definedName name="住宅公共部分装修" localSheetId="42">'[4]不动产比较法-住宅'!$B$109:$M$109</definedName>
    <definedName name="住宅公共部分装修">'不动产比较法-住宅'!$B$109:$M$109</definedName>
    <definedName name="住宅基础设施水平" localSheetId="18">'[2]不动产比较法-住宅'!$B$116:$M$116</definedName>
    <definedName name="住宅基础设施水平" localSheetId="41">'[3]不动产比较法-住宅'!$B$116:$M$116</definedName>
    <definedName name="住宅基础设施水平" localSheetId="42">'[4]不动产比较法-住宅'!$B$116:$M$116</definedName>
    <definedName name="住宅基础设施水平">'不动产比较法-住宅'!$B$116:$M$116</definedName>
    <definedName name="住宅建筑结构" localSheetId="18">'[2]不动产比较法-住宅'!$B$105:$M$105</definedName>
    <definedName name="住宅建筑结构" localSheetId="41">'[3]不动产比较法-住宅'!$B$105:$M$105</definedName>
    <definedName name="住宅建筑结构" localSheetId="42">'[4]不动产比较法-住宅'!$B$105:$M$105</definedName>
    <definedName name="住宅建筑结构">'不动产比较法-住宅'!$B$105:$M$105</definedName>
    <definedName name="住宅建筑类型" localSheetId="18">'[2]不动产比较法-住宅'!$B$100:$M$100</definedName>
    <definedName name="住宅建筑类型" localSheetId="41">'[3]不动产比较法-住宅'!$B$100:$M$100</definedName>
    <definedName name="住宅建筑类型" localSheetId="42">'[4]不动产比较法-住宅'!$B$100:$M$100</definedName>
    <definedName name="住宅建筑类型">'不动产比较法-住宅'!$B$100:$M$100</definedName>
    <definedName name="住宅建筑品质" localSheetId="18">'[2]不动产比较法-住宅'!$B$107:$M$107</definedName>
    <definedName name="住宅建筑品质" localSheetId="41">'[3]不动产比较法-住宅'!$B$107:$M$107</definedName>
    <definedName name="住宅建筑品质" localSheetId="42">'[4]不动产比较法-住宅'!$B$107:$M$107</definedName>
    <definedName name="住宅建筑品质">'不动产比较法-住宅'!$B$107:$M$107</definedName>
    <definedName name="住宅交易情况" localSheetId="18">'[2]不动产比较法-住宅'!$A$61:$M$61</definedName>
    <definedName name="住宅交易情况" localSheetId="41">'[3]不动产比较法-住宅'!$A$61:$M$61</definedName>
    <definedName name="住宅交易情况" localSheetId="42">'[4]不动产比较法-住宅'!$A$61:$M$61</definedName>
    <definedName name="住宅交易情况">'不动产比较法-住宅'!$A$61:$M$61</definedName>
    <definedName name="住宅楼层" localSheetId="18">'[2]不动产比较法-住宅'!$B$86:$M$86</definedName>
    <definedName name="住宅楼层" localSheetId="41">'[3]不动产比较法-住宅'!$B$86:$M$86</definedName>
    <definedName name="住宅楼层" localSheetId="42">'[4]不动产比较法-住宅'!$B$86:$M$86</definedName>
    <definedName name="住宅楼层">'不动产比较法-住宅'!$B$86:$M$86</definedName>
    <definedName name="住宅内部装修" localSheetId="18">'[2]不动产比较法-住宅'!$B$122:$M$122</definedName>
    <definedName name="住宅内部装修" localSheetId="41">'[3]不动产比较法-住宅'!$B$122:$M$122</definedName>
    <definedName name="住宅内部装修" localSheetId="42">'[4]不动产比较法-住宅'!$B$122:$M$122</definedName>
    <definedName name="住宅内部装修">'不动产比较法-住宅'!$B$122:$M$122</definedName>
    <definedName name="住宅物业管理" localSheetId="18">'[2]不动产比较法-住宅'!$B$114:$M$114</definedName>
    <definedName name="住宅物业管理" localSheetId="41">'[3]不动产比较法-住宅'!$B$114:$M$114</definedName>
    <definedName name="住宅物业管理" localSheetId="42">'[4]不动产比较法-住宅'!$B$114:$M$114</definedName>
    <definedName name="住宅物业管理">'不动产比较法-住宅'!$B$114:$M$114</definedName>
    <definedName name="住宅用途" localSheetId="18">'[2]不动产比较法-住宅'!$B$63:$M$63</definedName>
    <definedName name="住宅用途" localSheetId="41">'[3]不动产比较法-住宅'!$B$63:$M$63</definedName>
    <definedName name="住宅用途" localSheetId="42">'[4]不动产比较法-住宅'!$B$63:$M$63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E8" i="11" l="1"/>
  <c r="N33" i="71" l="1"/>
  <c r="M33" i="71"/>
  <c r="L33" i="71"/>
  <c r="K33" i="71"/>
  <c r="N32" i="71"/>
  <c r="N31" i="71"/>
  <c r="N30" i="71"/>
  <c r="N29" i="71"/>
  <c r="N28" i="71"/>
  <c r="N27" i="71"/>
  <c r="N26" i="71"/>
  <c r="N25" i="71"/>
  <c r="N24" i="71"/>
  <c r="N23" i="71"/>
  <c r="N22" i="71"/>
  <c r="N21" i="71"/>
  <c r="N20" i="71"/>
  <c r="N19" i="71"/>
  <c r="N18" i="71"/>
  <c r="N17" i="71"/>
  <c r="N16" i="71"/>
  <c r="P15" i="71"/>
  <c r="N15" i="71"/>
  <c r="N14" i="71"/>
  <c r="N13" i="71"/>
  <c r="N12" i="71"/>
  <c r="N11" i="71"/>
  <c r="N10" i="71"/>
  <c r="N9" i="71"/>
  <c r="N8" i="71"/>
  <c r="N7" i="71"/>
  <c r="N6" i="71"/>
  <c r="N5" i="71"/>
  <c r="N4" i="71"/>
  <c r="D8" i="11" l="1"/>
  <c r="Q22" i="70"/>
  <c r="N33" i="70"/>
  <c r="M33" i="70"/>
  <c r="L33" i="70"/>
  <c r="K33" i="70"/>
  <c r="N32" i="70"/>
  <c r="N31" i="70"/>
  <c r="N30" i="70"/>
  <c r="N29" i="70"/>
  <c r="N28" i="70"/>
  <c r="N27" i="70"/>
  <c r="N26" i="70"/>
  <c r="N25" i="70"/>
  <c r="N24" i="70"/>
  <c r="N23" i="70"/>
  <c r="N22" i="70"/>
  <c r="N21" i="70"/>
  <c r="N20" i="70"/>
  <c r="N19" i="70"/>
  <c r="N18" i="70"/>
  <c r="N17" i="70"/>
  <c r="N16" i="70"/>
  <c r="N15" i="70"/>
  <c r="N14" i="70"/>
  <c r="N13" i="70"/>
  <c r="N12" i="70"/>
  <c r="N11" i="70"/>
  <c r="N10" i="70"/>
  <c r="N9" i="70"/>
  <c r="N8" i="70"/>
  <c r="N7" i="70"/>
  <c r="N6" i="70"/>
  <c r="N5" i="70"/>
  <c r="N4" i="70"/>
  <c r="F1" i="46"/>
  <c r="I13" i="3"/>
  <c r="F19" i="6" s="1"/>
  <c r="H14" i="68"/>
  <c r="AB30" i="59" l="1"/>
  <c r="AA30" i="59"/>
  <c r="Z30" i="59"/>
  <c r="Y30" i="59"/>
  <c r="X30" i="59"/>
  <c r="AB29" i="59"/>
  <c r="AA29" i="59"/>
  <c r="Y29" i="59"/>
  <c r="Z29" i="59" s="1"/>
  <c r="X29" i="59"/>
  <c r="AB28" i="59"/>
  <c r="AA28" i="59"/>
  <c r="Z28" i="59"/>
  <c r="Y28" i="59"/>
  <c r="X28" i="59"/>
  <c r="AB27" i="59"/>
  <c r="AA27" i="59"/>
  <c r="Y27" i="59"/>
  <c r="Z27" i="59" s="1"/>
  <c r="X27" i="59"/>
  <c r="AB26" i="59"/>
  <c r="AA26" i="59"/>
  <c r="Z26" i="59"/>
  <c r="Y26" i="59"/>
  <c r="X26" i="59"/>
  <c r="AB25" i="59"/>
  <c r="AA25" i="59"/>
  <c r="Y25" i="59"/>
  <c r="Z25" i="59" s="1"/>
  <c r="X25" i="59"/>
  <c r="AB24" i="59"/>
  <c r="AA24" i="59"/>
  <c r="Z24" i="59"/>
  <c r="Y24" i="59"/>
  <c r="X24" i="59"/>
  <c r="AB23" i="59"/>
  <c r="AA23" i="59"/>
  <c r="Y23" i="59"/>
  <c r="Z23" i="59" s="1"/>
  <c r="X23" i="59"/>
  <c r="AB22" i="59"/>
  <c r="AA22" i="59"/>
  <c r="Z22" i="59"/>
  <c r="Y22" i="59"/>
  <c r="X22" i="59"/>
  <c r="AB21" i="59"/>
  <c r="AA21" i="59"/>
  <c r="Y21" i="59"/>
  <c r="Z21" i="59" s="1"/>
  <c r="X21" i="59"/>
  <c r="AB20" i="59"/>
  <c r="AA20" i="59"/>
  <c r="Z20" i="59"/>
  <c r="Y20" i="59"/>
  <c r="X20" i="59"/>
  <c r="AB19" i="59"/>
  <c r="AA19" i="59"/>
  <c r="Y19" i="59"/>
  <c r="Z19" i="59" s="1"/>
  <c r="X19" i="59"/>
  <c r="AB18" i="59"/>
  <c r="AA18" i="59"/>
  <c r="Z18" i="59"/>
  <c r="Y18" i="59"/>
  <c r="X18" i="59"/>
  <c r="AB17" i="59"/>
  <c r="AA17" i="59"/>
  <c r="Y17" i="59"/>
  <c r="Z17" i="59" s="1"/>
  <c r="X17" i="59"/>
  <c r="AB16" i="59"/>
  <c r="AA16" i="59"/>
  <c r="Z16" i="59"/>
  <c r="Y16" i="59"/>
  <c r="X16" i="59"/>
  <c r="AB15" i="59"/>
  <c r="AA15" i="59"/>
  <c r="Y15" i="59"/>
  <c r="Z15" i="59" s="1"/>
  <c r="X15" i="59"/>
  <c r="AB14" i="59"/>
  <c r="AA14" i="59"/>
  <c r="Z14" i="59"/>
  <c r="Y14" i="59"/>
  <c r="X14" i="59"/>
  <c r="AB13" i="59"/>
  <c r="AA13" i="59"/>
  <c r="Y13" i="59"/>
  <c r="Z13" i="59" s="1"/>
  <c r="X13" i="59"/>
  <c r="AB12" i="59"/>
  <c r="AA12" i="59"/>
  <c r="Z12" i="59"/>
  <c r="Y12" i="59"/>
  <c r="X12" i="59"/>
  <c r="AB11" i="59"/>
  <c r="AA11" i="59"/>
  <c r="Y11" i="59"/>
  <c r="Z11" i="59" s="1"/>
  <c r="X11" i="59"/>
  <c r="AB10" i="59"/>
  <c r="AA10" i="59"/>
  <c r="Z10" i="59"/>
  <c r="Y10" i="59"/>
  <c r="X10" i="59"/>
  <c r="AB9" i="59"/>
  <c r="AA9" i="59"/>
  <c r="Y9" i="59"/>
  <c r="Z9" i="59" s="1"/>
  <c r="X9" i="59"/>
  <c r="AB8" i="59"/>
  <c r="AA8" i="59"/>
  <c r="Z8" i="59"/>
  <c r="Y8" i="59"/>
  <c r="X8" i="59"/>
  <c r="AB7" i="59"/>
  <c r="AA7" i="59"/>
  <c r="Y7" i="59"/>
  <c r="Z7" i="59" s="1"/>
  <c r="X7" i="59"/>
  <c r="AB6" i="59"/>
  <c r="AA6" i="59"/>
  <c r="Z6" i="59"/>
  <c r="Y6" i="59"/>
  <c r="X6" i="59"/>
  <c r="AB5" i="59" l="1"/>
  <c r="AA5" i="59"/>
  <c r="Y5" i="59"/>
  <c r="X5" i="59"/>
  <c r="F25" i="12"/>
  <c r="C25" i="12" s="1"/>
  <c r="C16" i="11" l="1"/>
  <c r="C15" i="11"/>
  <c r="C14" i="11"/>
  <c r="C9" i="11"/>
  <c r="C8" i="11"/>
  <c r="K36" i="36" l="1"/>
  <c r="K38" i="35"/>
  <c r="K42" i="37"/>
  <c r="K49" i="34"/>
  <c r="K48" i="33" l="1"/>
  <c r="K48" i="21"/>
  <c r="K44" i="40" l="1"/>
  <c r="K49" i="39"/>
  <c r="E77" i="9"/>
  <c r="F77" i="9"/>
  <c r="AH5" i="59" l="1"/>
  <c r="AG5" i="59"/>
  <c r="AE5" i="59"/>
  <c r="AF5" i="59" s="1"/>
  <c r="AD5" i="59"/>
  <c r="Q5" i="59"/>
  <c r="P5" i="59"/>
  <c r="O5" i="59"/>
  <c r="N5" i="59"/>
  <c r="A21" i="31" l="1"/>
  <c r="C109" i="9" l="1"/>
  <c r="V7" i="59" l="1"/>
  <c r="U7" i="59"/>
  <c r="T7" i="59"/>
  <c r="S7" i="59"/>
  <c r="AH6" i="59" l="1"/>
  <c r="AG6" i="59"/>
  <c r="AE6" i="59"/>
  <c r="AF6" i="59" s="1"/>
  <c r="AD6" i="59"/>
  <c r="Q6" i="59"/>
  <c r="P6" i="59"/>
  <c r="O6" i="59"/>
  <c r="Z5" i="59" s="1"/>
  <c r="N6" i="59"/>
  <c r="Q8" i="59" l="1"/>
  <c r="P8" i="59"/>
  <c r="O8" i="59"/>
  <c r="N8" i="59"/>
  <c r="AH7" i="59"/>
  <c r="AG7" i="59"/>
  <c r="AE7" i="59"/>
  <c r="AF7" i="59" s="1"/>
  <c r="AD7" i="59"/>
  <c r="Q7" i="59"/>
  <c r="P7" i="59"/>
  <c r="O7" i="59"/>
  <c r="N7" i="59"/>
  <c r="F8" i="59"/>
  <c r="F7" i="59"/>
  <c r="F6" i="59" s="1"/>
  <c r="F5" i="59" s="1"/>
  <c r="E8" i="59"/>
  <c r="C8" i="59"/>
  <c r="C7" i="59"/>
  <c r="C6" i="59" s="1"/>
  <c r="B8" i="59"/>
  <c r="AH8" i="59"/>
  <c r="AG8" i="59"/>
  <c r="AE8" i="59"/>
  <c r="AF8" i="59"/>
  <c r="AD8" i="59"/>
  <c r="Q9" i="59"/>
  <c r="Q10" i="59"/>
  <c r="P9" i="59"/>
  <c r="P10" i="59"/>
  <c r="O9" i="59"/>
  <c r="O10" i="59"/>
  <c r="N9" i="59"/>
  <c r="N10" i="59"/>
  <c r="F10" i="59"/>
  <c r="F9" i="59"/>
  <c r="E10" i="59"/>
  <c r="E9" i="59"/>
  <c r="C10" i="59"/>
  <c r="C9" i="59"/>
  <c r="D8" i="59"/>
  <c r="B10" i="59"/>
  <c r="B9" i="59"/>
  <c r="AH9" i="59"/>
  <c r="AG9" i="59"/>
  <c r="AE9" i="59"/>
  <c r="AF9" i="59"/>
  <c r="AD9" i="59"/>
  <c r="AH10" i="59"/>
  <c r="AG10" i="59"/>
  <c r="AE10" i="59"/>
  <c r="AF10" i="59"/>
  <c r="AD10"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O12" i="59"/>
  <c r="O13" i="59"/>
  <c r="N12" i="59"/>
  <c r="N13" i="59"/>
  <c r="AH13" i="59"/>
  <c r="AG13" i="59"/>
  <c r="AE13" i="59"/>
  <c r="AF13" i="59"/>
  <c r="AD13" i="59"/>
  <c r="Q14" i="59"/>
  <c r="P14" i="59"/>
  <c r="O14" i="59"/>
  <c r="N14" i="59"/>
  <c r="M19" i="46"/>
  <c r="J50" i="15"/>
  <c r="J51" i="15" s="1"/>
  <c r="D16" i="59"/>
  <c r="AH14" i="59"/>
  <c r="AG14" i="59"/>
  <c r="AE14" i="59"/>
  <c r="AF14" i="59"/>
  <c r="AD14" i="59"/>
  <c r="AE15" i="59"/>
  <c r="AF15" i="59"/>
  <c r="AG15" i="59"/>
  <c r="AH15" i="59"/>
  <c r="AD15" i="59"/>
  <c r="Q15" i="59"/>
  <c r="P15" i="59"/>
  <c r="O15" i="59"/>
  <c r="N15" i="59"/>
  <c r="N16" i="59"/>
  <c r="Q16" i="59"/>
  <c r="P16" i="59"/>
  <c r="O16" i="59"/>
  <c r="K59" i="15"/>
  <c r="P62" i="15"/>
  <c r="P75" i="15"/>
  <c r="Q74" i="44"/>
  <c r="Q61" i="44"/>
  <c r="Q60" i="44"/>
  <c r="Q53" i="44"/>
  <c r="J51" i="44"/>
  <c r="J52" i="44"/>
  <c r="M48" i="44"/>
  <c r="A16" i="55"/>
  <c r="A15" i="55"/>
  <c r="B66" i="63" s="1"/>
  <c r="A14" i="55"/>
  <c r="A11" i="55"/>
  <c r="A10" i="55"/>
  <c r="B61" i="63" s="1"/>
  <c r="A9" i="55"/>
  <c r="B60" i="63" s="1"/>
  <c r="A8" i="55"/>
  <c r="A6" i="54"/>
  <c r="A8" i="54"/>
  <c r="A7" i="54"/>
  <c r="A28" i="51"/>
  <c r="A27" i="51"/>
  <c r="B20" i="63" s="1"/>
  <c r="Q17" i="59"/>
  <c r="O17" i="59"/>
  <c r="N18" i="59"/>
  <c r="O18" i="59"/>
  <c r="P18" i="59"/>
  <c r="Q18" i="59"/>
  <c r="N17" i="59"/>
  <c r="P17" i="59"/>
  <c r="B19" i="59"/>
  <c r="C19" i="59"/>
  <c r="D19" i="59"/>
  <c r="E19" i="59"/>
  <c r="F19" i="59"/>
  <c r="K75" i="9"/>
  <c r="K6" i="4"/>
  <c r="O76" i="9"/>
  <c r="L76" i="9"/>
  <c r="K76" i="9"/>
  <c r="B22" i="31"/>
  <c r="E15" i="66"/>
  <c r="F15" i="66"/>
  <c r="E16" i="66"/>
  <c r="F16" i="66"/>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D17" i="59"/>
  <c r="S2" i="31"/>
  <c r="M2" i="31"/>
  <c r="N2" i="31"/>
  <c r="O2" i="31"/>
  <c r="P2" i="31"/>
  <c r="Q2" i="31"/>
  <c r="R2" i="31"/>
  <c r="C15" i="59"/>
  <c r="C14" i="59"/>
  <c r="C3" i="65"/>
  <c r="C1" i="65"/>
  <c r="N1" i="65" s="1"/>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N4" i="63"/>
  <c r="B21"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AA3" i="59"/>
  <c r="AB3" i="59"/>
  <c r="B22" i="59"/>
  <c r="B23" i="59"/>
  <c r="S23" i="59"/>
  <c r="E21" i="59"/>
  <c r="E22" i="59"/>
  <c r="E23" i="59"/>
  <c r="U23" i="59"/>
  <c r="B42" i="59"/>
  <c r="B43" i="59"/>
  <c r="S43" i="59"/>
  <c r="E42" i="59"/>
  <c r="E43" i="59"/>
  <c r="U43" i="59"/>
  <c r="S59"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N16" i="4" s="1"/>
  <c r="M16" i="4"/>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L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D23" i="15"/>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c r="H60" i="40"/>
  <c r="H59" i="40"/>
  <c r="H58" i="40"/>
  <c r="I58" i="40" s="1"/>
  <c r="C58" i="40" s="1"/>
  <c r="H57" i="40"/>
  <c r="I57" i="40"/>
  <c r="C57" i="40"/>
  <c r="H56" i="40"/>
  <c r="I56" i="40"/>
  <c r="C56" i="40"/>
  <c r="H55" i="40"/>
  <c r="I55" i="40"/>
  <c r="C55" i="40"/>
  <c r="H54" i="40"/>
  <c r="I54" i="40"/>
  <c r="C54" i="40"/>
  <c r="H63" i="39"/>
  <c r="I63" i="39"/>
  <c r="C63" i="39" s="1"/>
  <c r="H59" i="39"/>
  <c r="I59" i="39"/>
  <c r="C59" i="39"/>
  <c r="H67" i="39"/>
  <c r="I67" i="39" s="1"/>
  <c r="C67" i="39" s="1"/>
  <c r="H66" i="39"/>
  <c r="I66" i="39"/>
  <c r="C66" i="39"/>
  <c r="H65" i="39"/>
  <c r="I65" i="39" s="1"/>
  <c r="C65" i="39" s="1"/>
  <c r="H64" i="39"/>
  <c r="I64" i="39"/>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6" i="12" s="1"/>
  <c r="C24" i="12" s="1"/>
  <c r="BB12" i="3"/>
  <c r="F9" i="12"/>
  <c r="D9" i="12"/>
  <c r="E9" i="12"/>
  <c r="G9" i="12"/>
  <c r="K5" i="3"/>
  <c r="J5" i="3"/>
  <c r="BE10" i="3"/>
  <c r="BD13" i="3"/>
  <c r="BE13" i="3"/>
  <c r="BF13" i="3"/>
  <c r="BF5" i="3" s="1"/>
  <c r="BG13" i="3"/>
  <c r="BG5" i="3" s="1"/>
  <c r="BH13" i="3"/>
  <c r="BH5" i="3" s="1"/>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s="1"/>
  <c r="B3" i="3" s="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O11" i="1" s="1"/>
  <c r="P11" i="1" s="1"/>
  <c r="B9" i="1"/>
  <c r="E9" i="1"/>
  <c r="K9" i="1"/>
  <c r="M9" i="1" s="1"/>
  <c r="B7" i="1"/>
  <c r="E7" i="1"/>
  <c r="K7" i="1"/>
  <c r="M7" i="1" s="1"/>
  <c r="O7" i="1" s="1"/>
  <c r="P7" i="1" s="1"/>
  <c r="C20" i="43"/>
  <c r="F6" i="1"/>
  <c r="AP6" i="1" s="1"/>
  <c r="G11" i="1"/>
  <c r="M22" i="44"/>
  <c r="F29" i="12"/>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M18" i="15"/>
  <c r="A18" i="64"/>
  <c r="B74" i="63"/>
  <c r="C53" i="10"/>
  <c r="A25" i="64" s="1"/>
  <c r="A18" i="51"/>
  <c r="B14" i="63"/>
  <c r="BA16" i="3"/>
  <c r="BA17" i="3"/>
  <c r="AZ17" i="3"/>
  <c r="F3" i="35"/>
  <c r="K1" i="43"/>
  <c r="K1" i="12"/>
  <c r="G1" i="44"/>
  <c r="I4" i="6"/>
  <c r="G3" i="46" s="1"/>
  <c r="AZ15" i="3"/>
  <c r="BK5" i="3"/>
  <c r="BO5" i="3"/>
  <c r="BP5" i="3"/>
  <c r="BN5" i="3"/>
  <c r="BL18" i="3"/>
  <c r="AZ18" i="3"/>
  <c r="BC5" i="3"/>
  <c r="E8" i="6"/>
  <c r="BD5" i="3"/>
  <c r="BR5" i="3"/>
  <c r="G28" i="6" s="1"/>
  <c r="BS5" i="3"/>
  <c r="BQ5" i="3"/>
  <c r="BL16" i="3"/>
  <c r="BM5" i="3"/>
  <c r="BA13" i="3"/>
  <c r="G28" i="12"/>
  <c r="G22" i="43"/>
  <c r="G26" i="12"/>
  <c r="D24" i="44"/>
  <c r="D26" i="44"/>
  <c r="G27" i="12"/>
  <c r="G23" i="43"/>
  <c r="G21" i="43"/>
  <c r="N8" i="46"/>
  <c r="N4" i="46"/>
  <c r="N1" i="46"/>
  <c r="F69" i="46" s="1"/>
  <c r="F47" i="46"/>
  <c r="M9" i="46"/>
  <c r="M2" i="46"/>
  <c r="N11" i="46"/>
  <c r="N9" i="46"/>
  <c r="F58" i="46" s="1"/>
  <c r="M4" i="46"/>
  <c r="M12" i="46"/>
  <c r="M8" i="46"/>
  <c r="M3" i="46"/>
  <c r="M5" i="46"/>
  <c r="H6" i="48"/>
  <c r="H15" i="48"/>
  <c r="H5" i="48"/>
  <c r="H14" i="48"/>
  <c r="F36" i="46"/>
  <c r="K17" i="46"/>
  <c r="F39" i="46"/>
  <c r="H13" i="48"/>
  <c r="H11" i="48"/>
  <c r="D17" i="46"/>
  <c r="D71" i="46"/>
  <c r="D84" i="46"/>
  <c r="E80" i="46"/>
  <c r="B78" i="46"/>
  <c r="D69" i="46"/>
  <c r="E69" i="46"/>
  <c r="B67" i="46"/>
  <c r="E47" i="46"/>
  <c r="E58" i="46"/>
  <c r="B56" i="46"/>
  <c r="A4" i="64"/>
  <c r="A4" i="51"/>
  <c r="B6" i="63" s="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L5" i="54"/>
  <c r="B39" i="63"/>
  <c r="K5" i="54"/>
  <c r="B38" i="63"/>
  <c r="T41" i="4"/>
  <c r="A17" i="64"/>
  <c r="B46" i="50"/>
  <c r="B4" i="63"/>
  <c r="C46" i="36"/>
  <c r="C52" i="37"/>
  <c r="D52" i="37" s="1"/>
  <c r="E52" i="37" s="1"/>
  <c r="F52" i="37" s="1"/>
  <c r="G52" i="37" s="1"/>
  <c r="H52" i="37" s="1"/>
  <c r="I52" i="37" s="1"/>
  <c r="J52" i="37" s="1"/>
  <c r="K52" i="37" s="1"/>
  <c r="O19" i="46"/>
  <c r="A22" i="51"/>
  <c r="B16" i="63" s="1"/>
  <c r="H86" i="46"/>
  <c r="H82" i="46"/>
  <c r="H10" i="48"/>
  <c r="H87" i="46"/>
  <c r="H85" i="46"/>
  <c r="H83" i="46"/>
  <c r="K10" i="1"/>
  <c r="M10" i="1" s="1"/>
  <c r="O10" i="1" s="1"/>
  <c r="P10" i="1" s="1"/>
  <c r="S11" i="1"/>
  <c r="R11" i="1"/>
  <c r="S13" i="1"/>
  <c r="R13" i="1"/>
  <c r="B6" i="1"/>
  <c r="E6" i="1" s="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8" i="39"/>
  <c r="E53" i="40"/>
  <c r="F27" i="6"/>
  <c r="E5" i="6"/>
  <c r="D12" i="11" s="1"/>
  <c r="C12" i="11" s="1"/>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E29" i="6" s="1"/>
  <c r="K15" i="1" s="1"/>
  <c r="AZ16" i="3"/>
  <c r="A9" i="64"/>
  <c r="A9" i="51"/>
  <c r="B9" i="63" s="1"/>
  <c r="A3" i="55"/>
  <c r="B56" i="63"/>
  <c r="E4" i="4"/>
  <c r="B21" i="55" s="1"/>
  <c r="B72" i="63" s="1"/>
  <c r="C4" i="4"/>
  <c r="G66" i="36"/>
  <c r="J18" i="36"/>
  <c r="AE8" i="1"/>
  <c r="AE7" i="1"/>
  <c r="W18" i="36"/>
  <c r="AC18" i="36"/>
  <c r="AG6" i="1"/>
  <c r="L20" i="6"/>
  <c r="B20" i="55"/>
  <c r="B70" i="63" s="1"/>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J17" i="46"/>
  <c r="C17" i="46"/>
  <c r="F34" i="46"/>
  <c r="F38" i="46"/>
  <c r="F37" i="46"/>
  <c r="H113" i="46"/>
  <c r="H49" i="46"/>
  <c r="H53" i="46"/>
  <c r="D14" i="59"/>
  <c r="C13" i="59"/>
  <c r="D13" i="59"/>
  <c r="U11" i="59"/>
  <c r="F14" i="59"/>
  <c r="F13" i="59"/>
  <c r="F12" i="59"/>
  <c r="F11"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H51" i="46"/>
  <c r="X7" i="46"/>
  <c r="E17" i="46"/>
  <c r="N17" i="46"/>
  <c r="O17" i="46"/>
  <c r="M17" i="46"/>
  <c r="L17" i="46"/>
  <c r="E28" i="6"/>
  <c r="K14" i="1" s="1"/>
  <c r="M14" i="1" s="1"/>
  <c r="P13" i="1"/>
  <c r="P12" i="1"/>
  <c r="AP7" i="1"/>
  <c r="G13" i="1"/>
  <c r="D46" i="36"/>
  <c r="E46" i="36" s="1"/>
  <c r="F46" i="36" s="1"/>
  <c r="G46" i="36" s="1"/>
  <c r="H46" i="36" s="1"/>
  <c r="H50" i="46"/>
  <c r="H48" i="46"/>
  <c r="F35" i="46"/>
  <c r="I17" i="46"/>
  <c r="D100" i="46"/>
  <c r="AF12" i="46"/>
  <c r="K100" i="46"/>
  <c r="AB12" i="46"/>
  <c r="AJ12" i="46"/>
  <c r="E10" i="46"/>
  <c r="E9" i="46"/>
  <c r="E11" i="46"/>
  <c r="E8" i="46"/>
  <c r="H55" i="46"/>
  <c r="H54" i="46"/>
  <c r="H52" i="46"/>
  <c r="H47" i="46"/>
  <c r="AD12" i="46"/>
  <c r="AH12" i="46"/>
  <c r="C12" i="59"/>
  <c r="C11" i="59"/>
  <c r="T11" i="59"/>
  <c r="B12" i="59"/>
  <c r="B11" i="59"/>
  <c r="S11" i="59"/>
  <c r="D12" i="59"/>
  <c r="V11" i="59"/>
  <c r="D11" i="59"/>
  <c r="E30" i="6"/>
  <c r="C7" i="46"/>
  <c r="D10" i="59"/>
  <c r="D9" i="59"/>
  <c r="F15" i="44"/>
  <c r="F13" i="67"/>
  <c r="E8" i="67"/>
  <c r="M29" i="15"/>
  <c r="F10" i="67"/>
  <c r="M11" i="44"/>
  <c r="E14" i="67"/>
  <c r="F39" i="44"/>
  <c r="J36" i="15"/>
  <c r="F43" i="15"/>
  <c r="F9" i="44"/>
  <c r="J3" i="65"/>
  <c r="J4" i="65"/>
  <c r="M8" i="15"/>
  <c r="F9" i="67"/>
  <c r="E11" i="67"/>
  <c r="F26" i="15"/>
  <c r="M28" i="15"/>
  <c r="F46" i="44"/>
  <c r="M26" i="44"/>
  <c r="L49" i="44"/>
  <c r="M23" i="15"/>
  <c r="F28" i="44"/>
  <c r="F12" i="67"/>
  <c r="F36" i="15"/>
  <c r="B12" i="67"/>
  <c r="F8" i="15"/>
  <c r="B8" i="67"/>
  <c r="M29" i="44"/>
  <c r="J6" i="65"/>
  <c r="B14" i="67"/>
  <c r="F40" i="15"/>
  <c r="M31" i="44"/>
  <c r="F10" i="44"/>
  <c r="N7" i="65"/>
  <c r="E10" i="67"/>
  <c r="N4" i="65"/>
  <c r="I3" i="65"/>
  <c r="B10" i="67"/>
  <c r="B9" i="67"/>
  <c r="J7" i="65"/>
  <c r="N6" i="65"/>
  <c r="I4" i="65"/>
  <c r="F11" i="44"/>
  <c r="N3" i="65"/>
  <c r="F16" i="15"/>
  <c r="M6" i="15"/>
  <c r="F14" i="67"/>
  <c r="I6" i="65"/>
  <c r="M26" i="15"/>
  <c r="L47" i="15"/>
  <c r="M24" i="15"/>
  <c r="B13" i="67"/>
  <c r="F40" i="44"/>
  <c r="L48" i="15"/>
  <c r="E9" i="67"/>
  <c r="F43" i="44"/>
  <c r="I5" i="65"/>
  <c r="N5" i="65"/>
  <c r="F11" i="67"/>
  <c r="F8" i="44"/>
  <c r="F9" i="15"/>
  <c r="J17" i="44"/>
  <c r="F6" i="15"/>
  <c r="F38" i="44"/>
  <c r="M30" i="44"/>
  <c r="F13" i="15"/>
  <c r="L48" i="44"/>
  <c r="I7" i="65"/>
  <c r="M25" i="44"/>
  <c r="M28" i="44"/>
  <c r="M9" i="15"/>
  <c r="M8" i="44"/>
  <c r="M24" i="44"/>
  <c r="F45" i="44"/>
  <c r="J5" i="65"/>
  <c r="E13" i="67"/>
  <c r="M27" i="15"/>
  <c r="E12" i="67"/>
  <c r="J15" i="15"/>
  <c r="M10" i="44"/>
  <c r="M22" i="15"/>
  <c r="B11" i="67"/>
  <c r="F37" i="15"/>
  <c r="F38" i="15"/>
  <c r="F24" i="43"/>
  <c r="F42" i="15"/>
  <c r="F18" i="44"/>
  <c r="F8" i="67"/>
  <c r="A30" i="64" l="1"/>
  <c r="A30" i="51"/>
  <c r="B22" i="63" s="1"/>
  <c r="M6" i="1"/>
  <c r="AH6" i="1"/>
  <c r="C6" i="46"/>
  <c r="C26" i="43"/>
  <c r="D24" i="43" s="1"/>
  <c r="D86" i="9"/>
  <c r="F27" i="43"/>
  <c r="H61" i="46"/>
  <c r="H63" i="46"/>
  <c r="H66" i="46"/>
  <c r="H62" i="46"/>
  <c r="H59" i="46"/>
  <c r="H64" i="46"/>
  <c r="H60" i="46"/>
  <c r="H65" i="46"/>
  <c r="H58" i="46"/>
  <c r="F30" i="6"/>
  <c r="K17" i="4"/>
  <c r="D70" i="39"/>
  <c r="C72" i="39"/>
  <c r="C67" i="40"/>
  <c r="D65" i="40"/>
  <c r="G17" i="46"/>
  <c r="C16" i="46" s="1"/>
  <c r="F31" i="6"/>
  <c r="Y11" i="46"/>
  <c r="Y13" i="46" s="1"/>
  <c r="G22" i="46"/>
  <c r="F101" i="46"/>
  <c r="M101" i="46"/>
  <c r="M107" i="46" s="1"/>
  <c r="AC11" i="46"/>
  <c r="AC13" i="46" s="1"/>
  <c r="AJ11" i="46"/>
  <c r="AJ13" i="46" s="1"/>
  <c r="C101" i="46"/>
  <c r="J101" i="46"/>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F33" i="12"/>
  <c r="C34" i="12" s="1"/>
  <c r="D33" i="12" s="1"/>
  <c r="H16" i="1"/>
  <c r="E12" i="6"/>
  <c r="E15" i="6"/>
  <c r="E11" i="6"/>
  <c r="F105" i="46"/>
  <c r="F104" i="46"/>
  <c r="BL13" i="3"/>
  <c r="L19" i="6"/>
  <c r="L27" i="6" s="1"/>
  <c r="G30" i="6"/>
  <c r="G31" i="6" s="1"/>
  <c r="H12" i="48"/>
  <c r="G6" i="1"/>
  <c r="G16" i="1" s="1"/>
  <c r="H12" i="39" s="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29" i="12"/>
  <c r="C95" i="9"/>
  <c r="C92" i="9" s="1"/>
  <c r="C27" i="43"/>
  <c r="D22" i="46"/>
  <c r="H71" i="46"/>
  <c r="H75" i="46"/>
  <c r="H72" i="46"/>
  <c r="H77" i="46"/>
  <c r="H70" i="46"/>
  <c r="H73" i="46"/>
  <c r="H74" i="46"/>
  <c r="H69" i="46"/>
  <c r="H76" i="46"/>
  <c r="F28" i="15"/>
  <c r="C28" i="15" s="1"/>
  <c r="F30" i="44"/>
  <c r="C30" i="44" s="1"/>
  <c r="M20" i="44"/>
  <c r="F70" i="9"/>
  <c r="F32" i="15"/>
  <c r="F59" i="15" s="1"/>
  <c r="F72" i="9"/>
  <c r="F66" i="9"/>
  <c r="P72" i="9" s="1"/>
  <c r="O9" i="1"/>
  <c r="P9" i="1" s="1"/>
  <c r="O14" i="1"/>
  <c r="K16" i="1"/>
  <c r="K20" i="6"/>
  <c r="M20" i="6" s="1"/>
  <c r="I20" i="6" s="1"/>
  <c r="S20" i="6" s="1"/>
  <c r="K26" i="6"/>
  <c r="M26" i="6" s="1"/>
  <c r="I26" i="6" s="1"/>
  <c r="S26" i="6" s="1"/>
  <c r="K24" i="6"/>
  <c r="M24" i="6" s="1"/>
  <c r="I24" i="6" s="1"/>
  <c r="S24" i="6" s="1"/>
  <c r="K22" i="6"/>
  <c r="M22" i="6" s="1"/>
  <c r="I22" i="6" s="1"/>
  <c r="S22" i="6" s="1"/>
  <c r="E31" i="6"/>
  <c r="K25" i="6"/>
  <c r="M25" i="6" s="1"/>
  <c r="I25" i="6" s="1"/>
  <c r="S25" i="6" s="1"/>
  <c r="K21" i="6"/>
  <c r="M21" i="6" s="1"/>
  <c r="I21" i="6" s="1"/>
  <c r="S21" i="6" s="1"/>
  <c r="K19" i="6"/>
  <c r="S6" i="1" s="1"/>
  <c r="K23" i="6"/>
  <c r="M23" i="6" s="1"/>
  <c r="I23" i="6" s="1"/>
  <c r="S23" i="6" s="1"/>
  <c r="J109" i="46"/>
  <c r="C105" i="46"/>
  <c r="C102" i="46"/>
  <c r="C107" i="46"/>
  <c r="J105" i="46"/>
  <c r="J104"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293" i="3"/>
  <c r="D21" i="12"/>
  <c r="C21" i="12" s="1"/>
  <c r="M16" i="1"/>
  <c r="P14" i="1"/>
  <c r="O8" i="1"/>
  <c r="P8" i="1" s="1"/>
  <c r="O6" i="1"/>
  <c r="BL5" i="3"/>
  <c r="AZ13" i="3"/>
  <c r="AZ5" i="3" s="1"/>
  <c r="E14" i="6"/>
  <c r="E13" i="6"/>
  <c r="E10" i="6"/>
  <c r="M105" i="46"/>
  <c r="M102" i="46"/>
  <c r="M106" i="46"/>
  <c r="M109" i="46"/>
  <c r="M103" i="46"/>
  <c r="C5" i="46"/>
  <c r="AP16" i="1"/>
  <c r="C18" i="11"/>
  <c r="K77" i="9"/>
  <c r="K79" i="9" s="1"/>
  <c r="K81" i="9" s="1"/>
  <c r="E12" i="52"/>
  <c r="B15" i="52"/>
  <c r="F31" i="15"/>
  <c r="F33" i="44"/>
  <c r="D6" i="59"/>
  <c r="C5" i="59"/>
  <c r="D5" i="59" s="1"/>
  <c r="E7" i="59"/>
  <c r="E6" i="59" s="1"/>
  <c r="E5" i="59" s="1"/>
  <c r="B7" i="59"/>
  <c r="B6" i="59" s="1"/>
  <c r="B5" i="59" s="1"/>
  <c r="B4" i="52"/>
  <c r="B7" i="52"/>
  <c r="E14" i="52"/>
  <c r="E6" i="52"/>
  <c r="E11" i="52"/>
  <c r="E9" i="52"/>
  <c r="E7" i="52"/>
  <c r="B9" i="52"/>
  <c r="E4" i="52"/>
  <c r="E13" i="52"/>
  <c r="B8" i="52"/>
  <c r="E10" i="52"/>
  <c r="B10" i="52"/>
  <c r="B6" i="52"/>
  <c r="B5" i="52"/>
  <c r="B11" i="52"/>
  <c r="B12" i="52"/>
  <c r="E8" i="52"/>
  <c r="B14" i="52"/>
  <c r="E5" i="52"/>
  <c r="Y3" i="59"/>
  <c r="Z3" i="59" s="1"/>
  <c r="D7" i="59"/>
  <c r="P22" i="46"/>
  <c r="P24" i="46"/>
  <c r="B68" i="40" s="1"/>
  <c r="P23" i="46"/>
  <c r="P25" i="46"/>
  <c r="B73" i="39" s="1"/>
  <c r="P21" i="46"/>
  <c r="E20" i="46"/>
  <c r="Q73" i="44"/>
  <c r="F65" i="15"/>
  <c r="C29" i="44"/>
  <c r="C8" i="44"/>
  <c r="J1" i="65"/>
  <c r="F67" i="15"/>
  <c r="F50" i="15"/>
  <c r="C27" i="15"/>
  <c r="F64" i="15"/>
  <c r="I1" i="65"/>
  <c r="F70" i="15"/>
  <c r="M9" i="44"/>
  <c r="J8" i="44" s="1"/>
  <c r="L59" i="15"/>
  <c r="L58" i="15"/>
  <c r="L60" i="44"/>
  <c r="L59" i="44"/>
  <c r="J53" i="15"/>
  <c r="J57" i="15"/>
  <c r="J55" i="15" s="1"/>
  <c r="J58" i="15" s="1"/>
  <c r="Q51" i="15" s="1"/>
  <c r="I54" i="15"/>
  <c r="L56" i="15"/>
  <c r="I55" i="44"/>
  <c r="J54" i="44"/>
  <c r="L57" i="44"/>
  <c r="J58" i="44"/>
  <c r="J56" i="44" s="1"/>
  <c r="J59" i="44" s="1"/>
  <c r="Q52" i="44" s="1"/>
  <c r="J60" i="44"/>
  <c r="J61" i="44"/>
  <c r="Q50" i="44" s="1"/>
  <c r="Q72" i="15"/>
  <c r="F63" i="15"/>
  <c r="C4" i="65"/>
  <c r="B39" i="1" s="1"/>
  <c r="F7" i="15"/>
  <c r="E2" i="65"/>
  <c r="E3" i="65"/>
  <c r="C15" i="43"/>
  <c r="C17" i="15"/>
  <c r="C16" i="15"/>
  <c r="C19" i="44"/>
  <c r="C18" i="44"/>
  <c r="C6" i="15" l="1"/>
  <c r="F49" i="15"/>
  <c r="F58" i="15" s="1"/>
  <c r="M7" i="15"/>
  <c r="M17" i="15" s="1"/>
  <c r="D5" i="46"/>
  <c r="I109" i="46"/>
  <c r="I106" i="46"/>
  <c r="F7" i="37"/>
  <c r="D67" i="40"/>
  <c r="E65" i="40"/>
  <c r="E70" i="39"/>
  <c r="D72" i="39"/>
  <c r="S16" i="1"/>
  <c r="T8" i="1" s="1"/>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6" i="3" s="1"/>
  <c r="E58" i="40"/>
  <c r="E63" i="39"/>
  <c r="E59" i="40"/>
  <c r="E64" i="39"/>
  <c r="J7" i="37"/>
  <c r="H7" i="37"/>
  <c r="AB7" i="37" s="1"/>
  <c r="T42" i="37" s="1"/>
  <c r="G42" i="37" s="1"/>
  <c r="J12" i="40"/>
  <c r="AC12" i="40" s="1"/>
  <c r="AB7" i="36"/>
  <c r="T36" i="36" s="1"/>
  <c r="G36" i="36" s="1"/>
  <c r="U7" i="36"/>
  <c r="AA7" i="37"/>
  <c r="R42" i="37" s="1"/>
  <c r="S7" i="37"/>
  <c r="S7" i="36"/>
  <c r="AA7" i="36"/>
  <c r="R36" i="36" s="1"/>
  <c r="AA7" i="35"/>
  <c r="R38" i="35" s="1"/>
  <c r="S7" i="35"/>
  <c r="AC7" i="35"/>
  <c r="V38" i="35" s="1"/>
  <c r="I38" i="35" s="1"/>
  <c r="W7" i="35"/>
  <c r="E59" i="34"/>
  <c r="E58" i="21"/>
  <c r="E58" i="33"/>
  <c r="W7" i="37"/>
  <c r="AC7" i="37"/>
  <c r="V42" i="37" s="1"/>
  <c r="I42" i="37" s="1"/>
  <c r="U7" i="37"/>
  <c r="W7" i="36"/>
  <c r="AC7" i="36"/>
  <c r="V36" i="36" s="1"/>
  <c r="I36" i="36" s="1"/>
  <c r="U7" i="35"/>
  <c r="AB7" i="35"/>
  <c r="T38" i="35" s="1"/>
  <c r="G38" i="35" s="1"/>
  <c r="F12" i="40"/>
  <c r="S12" i="40" s="1"/>
  <c r="H12" i="40"/>
  <c r="U12" i="40" s="1"/>
  <c r="T10" i="1"/>
  <c r="T11" i="1"/>
  <c r="T7" i="1"/>
  <c r="T9" i="1"/>
  <c r="T13" i="1"/>
  <c r="M19" i="6"/>
  <c r="K27" i="6"/>
  <c r="O16" i="1"/>
  <c r="F12" i="39"/>
  <c r="S12" i="39" s="1"/>
  <c r="J12" i="39"/>
  <c r="AC12" i="39" s="1"/>
  <c r="E60" i="40"/>
  <c r="E65" i="39"/>
  <c r="E3" i="6"/>
  <c r="AY6" i="3"/>
  <c r="P6" i="1"/>
  <c r="L16" i="1"/>
  <c r="N16" i="1"/>
  <c r="E61" i="40"/>
  <c r="E66" i="39"/>
  <c r="U12" i="39"/>
  <c r="AB12" i="39"/>
  <c r="M19" i="44"/>
  <c r="M20" i="46"/>
  <c r="C19" i="46"/>
  <c r="B40" i="1"/>
  <c r="F17" i="11"/>
  <c r="C17" i="11" s="1"/>
  <c r="C19" i="11" s="1"/>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C29" i="43"/>
  <c r="AE6" i="1"/>
  <c r="S3" i="46" l="1"/>
  <c r="S6" i="46"/>
  <c r="S7" i="46"/>
  <c r="C23" i="46"/>
  <c r="C21" i="46" s="1"/>
  <c r="S5" i="46"/>
  <c r="S4" i="46"/>
  <c r="S2" i="46"/>
  <c r="G20" i="46"/>
  <c r="C20" i="46" s="1"/>
  <c r="E72" i="39"/>
  <c r="F70" i="39"/>
  <c r="F65" i="40"/>
  <c r="E67" i="40"/>
  <c r="T12" i="1"/>
  <c r="T6" i="1"/>
  <c r="C115" i="46"/>
  <c r="D113" i="46" s="1"/>
  <c r="T16" i="1"/>
  <c r="AA12" i="40"/>
  <c r="W12" i="40"/>
  <c r="AB12" i="40"/>
  <c r="AA12" i="39"/>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P16" i="1"/>
  <c r="C13" i="12" s="1"/>
  <c r="C17" i="12" s="1"/>
  <c r="C15" i="12"/>
  <c r="W12" i="39"/>
  <c r="I19" i="6"/>
  <c r="M27" i="6"/>
  <c r="D16" i="12"/>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C39" i="46"/>
  <c r="E39"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C19" i="9"/>
  <c r="C14" i="15"/>
  <c r="C16" i="44"/>
  <c r="C13" i="43"/>
  <c r="F41" i="15"/>
  <c r="D16" i="43"/>
  <c r="L43" i="9" l="1"/>
  <c r="C14" i="43"/>
  <c r="C17" i="43"/>
  <c r="F68" i="15"/>
  <c r="C16" i="43"/>
  <c r="C18" i="43" s="1"/>
  <c r="C19" i="43" s="1"/>
  <c r="C25" i="43" s="1"/>
  <c r="C24" i="43" s="1"/>
  <c r="C34" i="46"/>
  <c r="G34" i="46" s="1"/>
  <c r="I34" i="46" s="1"/>
  <c r="T4" i="46"/>
  <c r="V4" i="46" s="1"/>
  <c r="T3" i="46"/>
  <c r="V3" i="46" s="1"/>
  <c r="T8" i="46"/>
  <c r="V8" i="46" s="1"/>
  <c r="T9" i="46"/>
  <c r="V9" i="46" s="1"/>
  <c r="T13" i="46"/>
  <c r="V13" i="46" s="1"/>
  <c r="T11" i="46"/>
  <c r="V11" i="46" s="1"/>
  <c r="T15" i="46"/>
  <c r="V15" i="46" s="1"/>
  <c r="T12" i="46"/>
  <c r="V12" i="46" s="1"/>
  <c r="C36" i="46"/>
  <c r="G36" i="46" s="1"/>
  <c r="I36" i="46" s="1"/>
  <c r="T16" i="46"/>
  <c r="V16" i="46" s="1"/>
  <c r="C35" i="46"/>
  <c r="G35" i="46" s="1"/>
  <c r="I35" i="46" s="1"/>
  <c r="T5" i="46"/>
  <c r="V5" i="46" s="1"/>
  <c r="C37" i="46"/>
  <c r="G37" i="46" s="1"/>
  <c r="I37" i="46" s="1"/>
  <c r="T2" i="46"/>
  <c r="V2" i="46" s="1"/>
  <c r="T6" i="46"/>
  <c r="V6" i="46" s="1"/>
  <c r="G70" i="39"/>
  <c r="F72" i="39"/>
  <c r="F67" i="40"/>
  <c r="G65" i="40"/>
  <c r="C20" i="44"/>
  <c r="C17" i="44"/>
  <c r="C15" i="15"/>
  <c r="C18" i="15"/>
  <c r="T10" i="46"/>
  <c r="V10" i="46" s="1"/>
  <c r="C33" i="46"/>
  <c r="E33" i="46" s="1"/>
  <c r="C29" i="46"/>
  <c r="T14" i="46"/>
  <c r="V14" i="46" s="1"/>
  <c r="T7" i="46"/>
  <c r="V7" i="46" s="1"/>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4"/>
  <c r="F7" i="33"/>
  <c r="G39" i="46"/>
  <c r="I39" i="46" s="1"/>
  <c r="C14" i="12"/>
  <c r="S19" i="6"/>
  <c r="S27" i="6" s="1"/>
  <c r="I27" i="6"/>
  <c r="C7" i="66"/>
  <c r="C6" i="66"/>
  <c r="C8" i="66"/>
  <c r="C22" i="4"/>
  <c r="D21" i="6"/>
  <c r="D10" i="6"/>
  <c r="H21" i="6"/>
  <c r="D6" i="6"/>
  <c r="D14" i="6"/>
  <c r="D20" i="6"/>
  <c r="H23" i="6"/>
  <c r="F45" i="9"/>
  <c r="E68" i="39"/>
  <c r="D26" i="6"/>
  <c r="D22" i="6"/>
  <c r="D12" i="6"/>
  <c r="H25" i="6"/>
  <c r="D5" i="6"/>
  <c r="H22" i="6"/>
  <c r="H26" i="6"/>
  <c r="F46" i="9"/>
  <c r="H19" i="6"/>
  <c r="E63" i="40"/>
  <c r="D25" i="6"/>
  <c r="H24" i="6"/>
  <c r="D28" i="6"/>
  <c r="E45" i="9"/>
  <c r="K38" i="9"/>
  <c r="C14" i="66" s="1"/>
  <c r="B2" i="66" s="1"/>
  <c r="H20" i="6"/>
  <c r="D29" i="6"/>
  <c r="E44" i="9"/>
  <c r="D19" i="6"/>
  <c r="D13" i="6"/>
  <c r="D23" i="6"/>
  <c r="D8" i="6"/>
  <c r="F44" i="9"/>
  <c r="D24" i="6"/>
  <c r="R24" i="6" s="1"/>
  <c r="D11" i="6"/>
  <c r="D9" i="6"/>
  <c r="D15" i="6"/>
  <c r="E46" i="9"/>
  <c r="D13" i="11"/>
  <c r="C13" i="11" s="1"/>
  <c r="D22" i="12"/>
  <c r="C22" i="12" s="1"/>
  <c r="C20" i="12" s="1"/>
  <c r="D19" i="12"/>
  <c r="C19" i="12" s="1"/>
  <c r="C16" i="12"/>
  <c r="C65" i="15"/>
  <c r="C59" i="15"/>
  <c r="B5" i="11"/>
  <c r="B3" i="11"/>
  <c r="B4" i="11"/>
  <c r="C27" i="12"/>
  <c r="D26" i="12" s="1"/>
  <c r="C32" i="12" s="1"/>
  <c r="D30" i="12" s="1"/>
  <c r="J26" i="15"/>
  <c r="J29" i="15" s="1"/>
  <c r="J24" i="15"/>
  <c r="C38" i="15"/>
  <c r="Q58" i="44"/>
  <c r="Q67" i="44"/>
  <c r="Q49" i="44"/>
  <c r="Q55" i="44" s="1"/>
  <c r="C21" i="9"/>
  <c r="C20" i="9"/>
  <c r="F7" i="67"/>
  <c r="G8" i="68" l="1"/>
  <c r="E37" i="46"/>
  <c r="G33" i="46"/>
  <c r="I33" i="46" s="1"/>
  <c r="C30" i="46"/>
  <c r="E30" i="46" s="1"/>
  <c r="C6" i="68"/>
  <c r="E36" i="46"/>
  <c r="E35" i="46"/>
  <c r="C21" i="44"/>
  <c r="C22" i="44" s="1"/>
  <c r="E34" i="46"/>
  <c r="C19" i="15"/>
  <c r="C20" i="15" s="1"/>
  <c r="H65" i="40"/>
  <c r="G67" i="40"/>
  <c r="H70" i="39"/>
  <c r="G72" i="39"/>
  <c r="E29" i="46"/>
  <c r="C26" i="46" s="1"/>
  <c r="B2" i="46" s="1"/>
  <c r="H7" i="34"/>
  <c r="U7" i="34" s="1"/>
  <c r="C27" i="46"/>
  <c r="AB7" i="34"/>
  <c r="T49" i="34" s="1"/>
  <c r="G49" i="34" s="1"/>
  <c r="S7" i="21"/>
  <c r="AA7" i="21"/>
  <c r="R48" i="21" s="1"/>
  <c r="AA7" i="33"/>
  <c r="R48" i="33" s="1"/>
  <c r="S7" i="33"/>
  <c r="S7" i="34"/>
  <c r="AA7" i="34"/>
  <c r="R49" i="34" s="1"/>
  <c r="I52" i="33"/>
  <c r="J52" i="33" s="1"/>
  <c r="I52" i="21"/>
  <c r="J52" i="21" s="1"/>
  <c r="AB7" i="33"/>
  <c r="T48" i="33" s="1"/>
  <c r="G48" i="33" s="1"/>
  <c r="U7" i="33"/>
  <c r="G52" i="21"/>
  <c r="H52" i="21" s="1"/>
  <c r="G53" i="21"/>
  <c r="H53" i="21" s="1"/>
  <c r="J7" i="34"/>
  <c r="C18" i="12"/>
  <c r="C23" i="12" s="1"/>
  <c r="C35" i="12" s="1"/>
  <c r="C33" i="12" s="1"/>
  <c r="C28" i="44"/>
  <c r="C22" i="43"/>
  <c r="C21" i="43" s="1"/>
  <c r="C28" i="43" s="1"/>
  <c r="C30" i="43" s="1"/>
  <c r="C25" i="44"/>
  <c r="C31" i="44" s="1"/>
  <c r="C15" i="44" s="1"/>
  <c r="C23" i="15"/>
  <c r="D16" i="6"/>
  <c r="D27" i="6"/>
  <c r="D30" i="6"/>
  <c r="R23" i="6"/>
  <c r="R25" i="6"/>
  <c r="R20" i="6"/>
  <c r="D7" i="66"/>
  <c r="D6" i="66"/>
  <c r="D8" i="66"/>
  <c r="R19" i="6"/>
  <c r="H27" i="6"/>
  <c r="R26" i="6"/>
  <c r="A6" i="64"/>
  <c r="A20" i="64"/>
  <c r="A6" i="51"/>
  <c r="B7" i="63" s="1"/>
  <c r="A20" i="51"/>
  <c r="B15" i="63" s="1"/>
  <c r="N5" i="54"/>
  <c r="B43" i="63" s="1"/>
  <c r="R22" i="6"/>
  <c r="R21" i="6"/>
  <c r="E4" i="67"/>
  <c r="D77" i="9"/>
  <c r="N75" i="9" s="1"/>
  <c r="B7" i="67"/>
  <c r="E7" i="67"/>
  <c r="C26" i="15" l="1"/>
  <c r="C29" i="15" s="1"/>
  <c r="Q50" i="15" s="1"/>
  <c r="I70" i="39"/>
  <c r="H72" i="39"/>
  <c r="H67" i="40"/>
  <c r="I65" i="40"/>
  <c r="G52" i="33"/>
  <c r="H52" i="33" s="1"/>
  <c r="G53" i="33"/>
  <c r="H53" i="33" s="1"/>
  <c r="R50" i="34"/>
  <c r="E49" i="34"/>
  <c r="R49" i="33"/>
  <c r="E48" i="33"/>
  <c r="R49" i="21"/>
  <c r="E48" i="21"/>
  <c r="W7" i="34"/>
  <c r="AC7" i="34"/>
  <c r="V49" i="34" s="1"/>
  <c r="I49" i="34" s="1"/>
  <c r="G53" i="34"/>
  <c r="H53" i="34" s="1"/>
  <c r="R27" i="6"/>
  <c r="R6" i="1"/>
  <c r="D31" i="6"/>
  <c r="C28" i="12"/>
  <c r="C26" i="12" s="1"/>
  <c r="C31" i="12" s="1"/>
  <c r="C30" i="12" s="1"/>
  <c r="C36" i="12" s="1"/>
  <c r="B2" i="12" s="1"/>
  <c r="B3" i="12" s="1"/>
  <c r="E3" i="67"/>
  <c r="Q51" i="44"/>
  <c r="J21" i="44"/>
  <c r="B2" i="67"/>
  <c r="C35" i="44"/>
  <c r="C38" i="44"/>
  <c r="D4" i="46"/>
  <c r="B3" i="46"/>
  <c r="B4" i="46"/>
  <c r="J16" i="44"/>
  <c r="J24" i="44" s="1"/>
  <c r="C39" i="44"/>
  <c r="Q72" i="44"/>
  <c r="C43" i="44"/>
  <c r="F35" i="15"/>
  <c r="M21" i="15"/>
  <c r="M23" i="44"/>
  <c r="F37" i="44"/>
  <c r="J65" i="40" l="1"/>
  <c r="I67" i="40"/>
  <c r="J70" i="39"/>
  <c r="I72" i="39"/>
  <c r="J22" i="44"/>
  <c r="J19" i="44" s="1"/>
  <c r="J20" i="15"/>
  <c r="C36" i="44"/>
  <c r="C33" i="44" s="1"/>
  <c r="C32" i="44" s="1"/>
  <c r="C42" i="44" s="1"/>
  <c r="Q71" i="44" s="1"/>
  <c r="Q70" i="44" s="1"/>
  <c r="C34" i="15"/>
  <c r="F62" i="15"/>
  <c r="C61" i="15" s="1"/>
  <c r="R16" i="1"/>
  <c r="B4" i="12"/>
  <c r="C33" i="15"/>
  <c r="C31" i="15" s="1"/>
  <c r="C36" i="15"/>
  <c r="C56" i="15"/>
  <c r="C60" i="15" s="1"/>
  <c r="I53" i="34"/>
  <c r="J53" i="34" s="1"/>
  <c r="I54" i="34"/>
  <c r="J54" i="34" s="1"/>
  <c r="E53" i="21"/>
  <c r="F53" i="21" s="1"/>
  <c r="E52" i="21"/>
  <c r="F52" i="21" s="1"/>
  <c r="I53" i="21"/>
  <c r="J53" i="21" s="1"/>
  <c r="C13" i="15"/>
  <c r="C37" i="15" s="1"/>
  <c r="J19" i="15"/>
  <c r="J59" i="15"/>
  <c r="J60" i="15" s="1"/>
  <c r="Q49" i="15" s="1"/>
  <c r="J14" i="15"/>
  <c r="J22" i="15"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5" i="12"/>
  <c r="J15" i="44"/>
  <c r="J25" i="44" s="1"/>
  <c r="B3" i="67"/>
  <c r="B4" i="67"/>
  <c r="K70" i="39" l="1"/>
  <c r="J72" i="39"/>
  <c r="K65" i="40"/>
  <c r="J67" i="40"/>
  <c r="J17" i="15"/>
  <c r="C58" i="15"/>
  <c r="J18" i="44"/>
  <c r="J27" i="44" s="1"/>
  <c r="J13" i="15"/>
  <c r="J23" i="15" s="1"/>
  <c r="C30" i="15"/>
  <c r="C39" i="15" s="1"/>
  <c r="Q70" i="15" s="1"/>
  <c r="Q71" i="15"/>
  <c r="C63" i="15"/>
  <c r="C55" i="15"/>
  <c r="C64" i="15" s="1"/>
  <c r="J35" i="15"/>
  <c r="C44" i="44"/>
  <c r="C45" i="44" s="1"/>
  <c r="L51" i="15"/>
  <c r="L65" i="40" l="1"/>
  <c r="K67" i="40"/>
  <c r="K72" i="39"/>
  <c r="L70" i="39"/>
  <c r="J16" i="15"/>
  <c r="J25" i="15" s="1"/>
  <c r="C40" i="15"/>
  <c r="Q57" i="15" s="1"/>
  <c r="Q69" i="15"/>
  <c r="J39" i="15"/>
  <c r="J40" i="15" s="1"/>
  <c r="C57" i="15"/>
  <c r="C66" i="15" s="1"/>
  <c r="C67" i="15" s="1"/>
  <c r="C70" i="15" s="1"/>
  <c r="B2" i="44"/>
  <c r="B3" i="44" s="1"/>
  <c r="L52" i="44"/>
  <c r="Q68" i="15"/>
  <c r="L57" i="15"/>
  <c r="L60" i="15" s="1"/>
  <c r="Q67" i="15" l="1"/>
  <c r="L46" i="15"/>
  <c r="M70" i="39"/>
  <c r="L72" i="39"/>
  <c r="L67" i="40"/>
  <c r="M65" i="40"/>
  <c r="J42" i="15"/>
  <c r="J43" i="15" s="1"/>
  <c r="B2" i="15"/>
  <c r="C43" i="15"/>
  <c r="Q66" i="15"/>
  <c r="Q48" i="15"/>
  <c r="Q54" i="15" s="1"/>
  <c r="C46" i="15"/>
  <c r="B4" i="44"/>
  <c r="B5" i="44"/>
  <c r="L58" i="44"/>
  <c r="L61" i="44" s="1"/>
  <c r="L47" i="44" s="1"/>
  <c r="Q69" i="44"/>
  <c r="Q58" i="15"/>
  <c r="Q63" i="15" s="1"/>
  <c r="Q76" i="15" l="1"/>
  <c r="B3" i="15"/>
  <c r="C10" i="43"/>
  <c r="C6" i="43" s="1"/>
  <c r="M67" i="40"/>
  <c r="H9" i="40" s="1"/>
  <c r="N65" i="40"/>
  <c r="N67" i="40" s="1"/>
  <c r="M72" i="39"/>
  <c r="N70" i="39"/>
  <c r="N72" i="39" s="1"/>
  <c r="Q68" i="44"/>
  <c r="Q77" i="44" s="1"/>
  <c r="Q59" i="44"/>
  <c r="Q64" i="44" s="1"/>
  <c r="C31" i="43" l="1"/>
  <c r="C32" i="43" s="1"/>
  <c r="J9" i="39"/>
  <c r="F9" i="40"/>
  <c r="J9" i="40"/>
  <c r="F9" i="39"/>
  <c r="U9" i="40"/>
  <c r="AB9" i="40"/>
  <c r="T44" i="40" s="1"/>
  <c r="G44" i="40" s="1"/>
  <c r="H9" i="39"/>
  <c r="B2" i="43" l="1"/>
  <c r="C33" i="43"/>
  <c r="G48" i="40"/>
  <c r="H48" i="40" s="1"/>
  <c r="S9" i="39"/>
  <c r="AA9" i="39"/>
  <c r="R49" i="39" s="1"/>
  <c r="AA9" i="40"/>
  <c r="R44" i="40" s="1"/>
  <c r="S9" i="40"/>
  <c r="AB9" i="39"/>
  <c r="T49" i="39" s="1"/>
  <c r="G49" i="39" s="1"/>
  <c r="U9" i="39"/>
  <c r="AC9" i="40"/>
  <c r="V44" i="40" s="1"/>
  <c r="I44" i="40" s="1"/>
  <c r="W9" i="40"/>
  <c r="AC9" i="39"/>
  <c r="V49" i="39" s="1"/>
  <c r="I49" i="39" s="1"/>
  <c r="W9" i="39"/>
  <c r="D19" i="9"/>
  <c r="B3" i="43"/>
  <c r="D20" i="9" s="1"/>
  <c r="B4" i="43"/>
  <c r="D21" i="9" s="1"/>
  <c r="B5" i="43"/>
  <c r="G21" i="9" l="1"/>
  <c r="G20" i="9"/>
  <c r="L44" i="9"/>
  <c r="D22" i="9"/>
  <c r="G19" i="9"/>
  <c r="E6" i="68"/>
  <c r="G6" i="68" s="1"/>
  <c r="I53" i="39"/>
  <c r="J53" i="39" s="1"/>
  <c r="E49" i="39"/>
  <c r="I54" i="39" s="1"/>
  <c r="J54" i="39" s="1"/>
  <c r="R50" i="39"/>
  <c r="I48" i="40"/>
  <c r="J48" i="40" s="1"/>
  <c r="G54" i="39"/>
  <c r="H54" i="39" s="1"/>
  <c r="G53" i="39"/>
  <c r="H53" i="39" s="1"/>
  <c r="R45" i="40"/>
  <c r="E44" i="40"/>
  <c r="G49" i="40"/>
  <c r="H49" i="40" s="1"/>
  <c r="G22" i="9" l="1"/>
  <c r="C32" i="9"/>
  <c r="N43" i="9"/>
  <c r="E49" i="40"/>
  <c r="F49" i="40" s="1"/>
  <c r="E48" i="40"/>
  <c r="F48" i="40" s="1"/>
  <c r="I49" i="40"/>
  <c r="J49" i="40" s="1"/>
  <c r="C50" i="39"/>
  <c r="C49" i="39"/>
  <c r="C45" i="40"/>
  <c r="C44" i="40"/>
  <c r="E53" i="39"/>
  <c r="F53" i="39" s="1"/>
  <c r="E54" i="39"/>
  <c r="F54" i="39" s="1"/>
  <c r="O38" i="9" l="1"/>
  <c r="C35" i="9"/>
  <c r="F42" i="9" s="1"/>
  <c r="O43" i="9"/>
  <c r="C34" i="9"/>
  <c r="C42" i="9"/>
  <c r="C33" i="9"/>
  <c r="B61" i="40"/>
  <c r="F61" i="40" s="1"/>
  <c r="B55" i="40"/>
  <c r="F55" i="40" s="1"/>
  <c r="B57" i="40"/>
  <c r="F57" i="40" s="1"/>
  <c r="B54" i="40"/>
  <c r="F54" i="40" s="1"/>
  <c r="B58" i="40"/>
  <c r="F58" i="40" s="1"/>
  <c r="B56" i="40"/>
  <c r="F56" i="40" s="1"/>
  <c r="B60" i="40"/>
  <c r="F60" i="40" s="1"/>
  <c r="B53" i="40"/>
  <c r="F53" i="40" s="1"/>
  <c r="B62" i="40"/>
  <c r="F62" i="40" s="1"/>
  <c r="B59" i="40"/>
  <c r="F59" i="40" s="1"/>
  <c r="F63" i="40"/>
  <c r="B2" i="40" s="1"/>
  <c r="B63" i="39"/>
  <c r="F63" i="39" s="1"/>
  <c r="B67" i="39"/>
  <c r="F67" i="39" s="1"/>
  <c r="B65" i="39"/>
  <c r="F65" i="39" s="1"/>
  <c r="B61" i="39"/>
  <c r="F61" i="39" s="1"/>
  <c r="B58" i="39"/>
  <c r="F58" i="39" s="1"/>
  <c r="B59" i="39"/>
  <c r="F59" i="39" s="1"/>
  <c r="B66" i="39"/>
  <c r="F66" i="39" s="1"/>
  <c r="B62" i="39"/>
  <c r="F62" i="39" s="1"/>
  <c r="B64" i="39"/>
  <c r="F64" i="39" s="1"/>
  <c r="B60" i="39"/>
  <c r="F60" i="39" s="1"/>
  <c r="F68" i="39"/>
  <c r="B2" i="39" s="1"/>
  <c r="D42" i="9" l="1"/>
  <c r="Q5" i="54" s="1"/>
  <c r="B47" i="63" s="1"/>
  <c r="N38" i="9"/>
  <c r="K28" i="9" s="1"/>
  <c r="E42" i="9"/>
  <c r="P5" i="54" s="1"/>
  <c r="B46" i="63" s="1"/>
  <c r="M38" i="9"/>
  <c r="K27" i="9" s="1"/>
  <c r="D63" i="9"/>
  <c r="R5" i="54"/>
  <c r="B48" i="63" s="1"/>
  <c r="N68" i="9"/>
  <c r="D14" i="66"/>
  <c r="K25" i="9"/>
  <c r="K26" i="9"/>
  <c r="B4" i="39"/>
  <c r="B3" i="39"/>
  <c r="B5" i="39"/>
  <c r="B3" i="40"/>
  <c r="B5" i="40"/>
  <c r="B4" i="40"/>
  <c r="E14" i="66" l="1"/>
  <c r="B5" i="66"/>
  <c r="F14" i="66"/>
  <c r="D70" i="9"/>
  <c r="C103" i="9"/>
  <c r="D71" i="9"/>
  <c r="D66" i="9" s="1"/>
  <c r="N72" i="9" s="1"/>
  <c r="C90" i="9"/>
  <c r="C111" i="9"/>
  <c r="C104" i="9" s="1"/>
  <c r="D73" i="9"/>
  <c r="N73" i="9" s="1"/>
  <c r="C82" i="9"/>
  <c r="C81" i="9" s="1"/>
  <c r="C85" i="9" s="1"/>
  <c r="C86" i="9" s="1"/>
  <c r="D72" i="9" s="1"/>
  <c r="C96" i="9"/>
  <c r="C91" i="9" s="1"/>
  <c r="G14" i="68"/>
  <c r="D5" i="66" l="1"/>
  <c r="C5" i="66"/>
  <c r="C97" i="9"/>
  <c r="C113" i="9"/>
  <c r="G12" i="68"/>
  <c r="J11" i="68" s="1"/>
  <c r="K11" i="68" s="1"/>
  <c r="J7" i="68"/>
  <c r="K7" i="68" s="1"/>
  <c r="C114" i="9" l="1"/>
  <c r="E114" i="9" s="1"/>
  <c r="E115" i="9" s="1"/>
  <c r="C98" i="9"/>
  <c r="E98" i="9" s="1"/>
  <c r="E99" i="9" s="1"/>
  <c r="C99" i="9" l="1"/>
  <c r="C115" i="9"/>
  <c r="D76" i="9" s="1"/>
  <c r="D74" i="9" s="1"/>
  <c r="N74" i="9" s="1"/>
  <c r="O77" i="9" s="1"/>
  <c r="O79" i="9" s="1"/>
  <c r="Q77" i="9" l="1"/>
  <c r="O78"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<sst xmlns="http://schemas.openxmlformats.org/spreadsheetml/2006/main" count="7400" uniqueCount="3280">
  <si>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</si>
  <si>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</si>
  <si>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</si>
  <si>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</si>
  <si>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</si>
  <si>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</si>
  <si>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</si>
  <si>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</si>
  <si>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</si>
  <si>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</si>
  <si>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</si>
  <si>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</si>
  <si>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</si>
  <si>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</si>
  <si>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</si>
  <si>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</si>
  <si>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</si>
  <si>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</si>
  <si>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</si>
  <si>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</si>
  <si>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</si>
  <si>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</si>
  <si>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</si>
  <si>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</si>
  <si>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</si>
  <si>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</si>
  <si>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</si>
  <si>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</si>
  <si>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</si>
  <si>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</si>
  <si>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</si>
  <si>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</si>
  <si>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</si>
  <si>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</si>
  <si>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</si>
  <si>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</si>
  <si>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</si>
  <si>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</si>
  <si>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</si>
  <si>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</si>
  <si>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</si>
  <si>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</si>
  <si>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</si>
  <si>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</si>
  <si>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</si>
  <si>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</si>
  <si>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</si>
  <si>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</si>
  <si>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</si>
  <si>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</si>
  <si>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</si>
  <si>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</si>
  <si>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</si>
  <si>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</si>
  <si>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</si>
  <si>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</si>
  <si>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</si>
  <si>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</si>
  <si>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</si>
  <si>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</si>
  <si>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</si>
  <si>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</si>
  <si>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</si>
  <si>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</si>
  <si>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</si>
  <si>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</si>
  <si>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</si>
  <si>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</si>
  <si>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</si>
  <si>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</si>
  <si>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</si>
  <si>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</si>
  <si>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</si>
  <si>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</si>
  <si>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</si>
  <si>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</si>
  <si>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</si>
  <si>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</si>
  <si>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</si>
  <si>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</si>
  <si>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</si>
  <si>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</si>
  <si>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</si>
  <si>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</si>
  <si>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</si>
  <si>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</si>
  <si>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</si>
  <si>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</si>
  <si>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</si>
  <si>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</si>
  <si>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</si>
  <si>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</si>
  <si>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</si>
  <si>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</si>
  <si>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</si>
  <si>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</si>
  <si>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</si>
  <si>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</si>
  <si>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</si>
  <si>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</si>
  <si>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</si>
  <si>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</si>
  <si>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</si>
  <si>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</si>
  <si>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</si>
  <si>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</si>
  <si>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</si>
  <si>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</si>
  <si>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</si>
  <si>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</si>
  <si>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</si>
  <si>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</si>
  <si>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</si>
  <si>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</si>
  <si>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</si>
  <si>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</si>
  <si>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</si>
  <si>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</si>
  <si>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</si>
  <si>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</si>
  <si>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</si>
  <si>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</si>
  <si>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</si>
  <si>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</si>
  <si>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</si>
  <si>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</si>
  <si>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</si>
  <si>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</si>
  <si>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</si>
  <si>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</si>
  <si>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</si>
  <si>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</si>
  <si>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</si>
  <si>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</si>
  <si>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</si>
  <si>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</si>
  <si>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</si>
  <si>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</si>
  <si>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</si>
  <si>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</si>
  <si>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</si>
  <si>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</si>
  <si>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</si>
  <si>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</si>
  <si>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</si>
  <si>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</si>
  <si>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</si>
  <si>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</si>
  <si>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</si>
  <si>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</si>
  <si>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</si>
  <si>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</si>
  <si>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</si>
  <si>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</si>
  <si>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</si>
  <si>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</si>
  <si>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</si>
  <si>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</si>
  <si>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</si>
  <si>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</si>
  <si>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</si>
  <si>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</si>
  <si>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</si>
  <si>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</si>
  <si>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</si>
  <si>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</si>
  <si>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</si>
  <si>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</si>
  <si>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</si>
  <si>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</si>
  <si>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</si>
  <si>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</si>
  <si>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</si>
  <si>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</si>
  <si>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</si>
  <si>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</si>
  <si>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</si>
  <si>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</si>
  <si>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</si>
  <si>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</si>
  <si>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</si>
  <si>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</si>
  <si>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</si>
  <si>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</si>
  <si>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</si>
  <si>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</si>
  <si>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</si>
  <si>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</si>
  <si>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</si>
  <si>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</si>
  <si>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</si>
  <si>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</si>
  <si>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</si>
  <si>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</si>
  <si>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</si>
  <si>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</si>
  <si>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</si>
  <si>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</si>
  <si>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</si>
  <si>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</si>
  <si>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</si>
  <si>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</si>
  <si>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</si>
  <si>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</si>
  <si>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</si>
  <si>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</si>
  <si>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</si>
  <si>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</si>
  <si>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</si>
  <si>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</si>
  <si>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</si>
  <si>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</si>
  <si>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</si>
  <si>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</si>
  <si>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</si>
  <si>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</si>
  <si>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</si>
  <si>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</si>
  <si>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</si>
  <si>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</si>
  <si>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</si>
  <si>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</si>
  <si>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</si>
  <si>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</si>
  <si>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</si>
  <si>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</si>
  <si>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</si>
  <si>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</si>
  <si>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</si>
  <si>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</si>
  <si>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</si>
  <si>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</si>
  <si>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</si>
  <si>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</si>
  <si>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</si>
  <si>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</si>
  <si>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</si>
  <si>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</si>
  <si>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</si>
  <si>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</si>
  <si>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</si>
  <si>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</si>
  <si>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</si>
  <si>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</si>
  <si>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</si>
  <si>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</si>
  <si>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</si>
  <si>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</si>
  <si>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</si>
  <si>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</si>
  <si>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</si>
  <si>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</si>
  <si>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</si>
  <si>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</si>
  <si>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</si>
  <si>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</si>
  <si>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</si>
  <si>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</si>
  <si>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</si>
  <si>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</si>
  <si>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</si>
  <si>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</si>
  <si>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</si>
  <si>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</si>
  <si>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</si>
  <si>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</si>
  <si>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</si>
  <si>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</si>
  <si>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</si>
  <si>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</si>
  <si>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</si>
  <si>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</si>
  <si>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</si>
  <si>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</si>
  <si>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</si>
  <si>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</si>
  <si>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</si>
  <si>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</si>
  <si>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</si>
  <si>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</si>
  <si>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</si>
  <si>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</si>
  <si>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</si>
  <si>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</si>
  <si>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</si>
  <si>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</si>
  <si>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</si>
  <si>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</si>
  <si>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</si>
  <si>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</si>
  <si>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</si>
  <si>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</si>
  <si>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</si>
  <si>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</si>
  <si>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</si>
  <si>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</si>
  <si>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</si>
  <si>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</si>
  <si>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</si>
  <si>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</si>
  <si>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</si>
  <si>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</si>
  <si>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</si>
  <si>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</si>
  <si>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</si>
  <si>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</si>
  <si>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</si>
  <si>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</si>
  <si>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</si>
  <si>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</si>
  <si>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</si>
  <si>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</si>
  <si>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</si>
  <si>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</si>
  <si>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</si>
  <si>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</si>
  <si>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</si>
  <si>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</si>
  <si>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</si>
  <si>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</si>
  <si>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</si>
  <si>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</si>
  <si>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</si>
  <si>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</si>
  <si>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</si>
  <si>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</si>
  <si>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</si>
  <si>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</si>
  <si>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</si>
  <si>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</si>
  <si>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</si>
  <si>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</si>
  <si>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</si>
  <si>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</si>
  <si>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</si>
  <si>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</si>
  <si>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</si>
  <si>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</si>
  <si>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</si>
  <si>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</si>
  <si>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</si>
  <si>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</si>
  <si>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</si>
  <si>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</si>
  <si>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</si>
  <si>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</si>
  <si>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</si>
  <si>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</si>
  <si>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</si>
  <si>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</si>
  <si>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</si>
  <si>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</si>
  <si>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</si>
  <si>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</si>
  <si>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</si>
  <si>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</si>
  <si>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</si>
  <si>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</si>
  <si>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</si>
  <si>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</si>
  <si>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</si>
  <si>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</si>
  <si>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</si>
  <si>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</si>
  <si>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</si>
  <si>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</si>
  <si>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</si>
  <si>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</si>
  <si>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</si>
  <si>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</si>
  <si>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</si>
  <si>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</si>
  <si>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</si>
  <si>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</si>
  <si>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</si>
  <si>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</si>
  <si>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</si>
  <si>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</si>
  <si>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</si>
  <si>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</si>
  <si>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</si>
  <si>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</si>
  <si>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</si>
  <si>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</si>
  <si>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</si>
  <si>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</si>
  <si>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</si>
  <si>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</si>
  <si>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</si>
  <si>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</si>
  <si>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</si>
  <si>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</si>
  <si>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</si>
  <si>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</si>
  <si>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</si>
  <si>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</si>
  <si>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</si>
  <si>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</si>
  <si>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</si>
  <si>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</si>
  <si>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</si>
  <si>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</si>
  <si>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</si>
  <si>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</si>
  <si>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</si>
  <si>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</si>
  <si>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</si>
  <si>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</si>
  <si>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</si>
  <si>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</si>
  <si>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</si>
  <si>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</si>
  <si>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</si>
  <si>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</si>
  <si>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</si>
  <si>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</si>
  <si>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</si>
  <si>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</si>
  <si>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</si>
  <si>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</si>
  <si>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</si>
  <si>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</si>
  <si>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</si>
  <si>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</si>
  <si>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</si>
  <si>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</si>
  <si>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</si>
  <si>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</si>
  <si>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</si>
  <si>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</si>
  <si>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</si>
  <si>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</si>
  <si>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</si>
  <si>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</si>
  <si>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</si>
  <si>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</si>
  <si>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</si>
  <si>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</si>
  <si>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</si>
  <si>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</si>
  <si>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</si>
  <si>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</si>
  <si>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</si>
  <si>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</si>
  <si>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</si>
  <si>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</si>
  <si>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</si>
  <si>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</si>
  <si>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</si>
  <si>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</si>
  <si>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</si>
  <si>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</si>
  <si>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</si>
  <si>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</si>
  <si>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</si>
  <si>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</si>
  <si>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</si>
  <si>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</si>
  <si>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</si>
  <si>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</si>
  <si>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</si>
  <si>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</si>
  <si>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</si>
  <si>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</si>
  <si>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</si>
  <si>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</si>
  <si>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</si>
  <si>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</si>
  <si>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</si>
  <si>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</si>
  <si>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</si>
  <si>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</si>
  <si>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</si>
  <si>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</si>
  <si>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</si>
  <si>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</si>
  <si>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</si>
  <si>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</si>
  <si>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</si>
  <si>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</si>
  <si>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</si>
  <si>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</si>
  <si>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</si>
  <si>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</si>
  <si>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</si>
  <si>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</si>
  <si>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</si>
  <si>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</si>
  <si>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</si>
  <si>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</si>
  <si>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</si>
  <si>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</si>
  <si>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</si>
  <si>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</si>
  <si>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</si>
  <si>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</si>
  <si>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</si>
  <si>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</si>
  <si>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</si>
  <si>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</si>
  <si>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</si>
  <si>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</si>
  <si>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</si>
  <si>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</si>
  <si>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</si>
  <si>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</si>
  <si>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</si>
  <si>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</si>
  <si>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</si>
  <si>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</si>
  <si>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</si>
  <si>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</si>
  <si>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</si>
  <si>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</si>
  <si>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</si>
  <si>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</si>
  <si>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</si>
  <si>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</si>
  <si>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</si>
  <si>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</si>
  <si>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</si>
  <si>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</si>
  <si>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</si>
  <si>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</si>
  <si>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</si>
  <si>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</si>
  <si>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</si>
  <si>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</si>
  <si>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</si>
  <si>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</si>
  <si>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</si>
  <si>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</si>
  <si>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</si>
  <si>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</si>
  <si>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</si>
  <si>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</si>
  <si>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</si>
  <si>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</si>
  <si>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</si>
  <si>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</si>
  <si>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</si>
  <si>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</si>
  <si>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</si>
  <si>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</si>
  <si>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</si>
  <si>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</si>
  <si>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</si>
  <si>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</si>
  <si>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</si>
  <si>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</si>
  <si>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</si>
  <si>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</si>
  <si>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</si>
  <si>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</si>
  <si>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</si>
  <si>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</si>
  <si>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</si>
  <si>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</si>
  <si>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</si>
  <si>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</si>
  <si>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</si>
  <si>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</si>
  <si>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</si>
  <si>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</si>
  <si>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</si>
  <si>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</si>
  <si>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</si>
  <si>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</si>
  <si>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</si>
  <si>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</si>
  <si>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</si>
  <si>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</si>
  <si>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</si>
  <si>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</si>
  <si>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</si>
  <si>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</si>
  <si>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</si>
  <si>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</si>
  <si>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</si>
  <si>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</si>
  <si>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</si>
  <si>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</si>
  <si>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</si>
  <si>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</si>
  <si>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</si>
  <si>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</si>
  <si>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</si>
  <si>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</si>
  <si>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</si>
  <si>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</si>
  <si>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</si>
  <si>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</si>
  <si>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</si>
  <si>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</si>
  <si>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</si>
  <si>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</si>
  <si>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</si>
  <si>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</si>
  <si>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</si>
  <si>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</si>
  <si>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</si>
  <si>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</si>
  <si>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</si>
  <si>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</si>
  <si>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</si>
  <si>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</si>
  <si>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</si>
  <si>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</si>
  <si>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</si>
  <si>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</si>
  <si>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</si>
  <si>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</si>
  <si>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</si>
  <si>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</si>
  <si>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</si>
  <si>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</si>
  <si>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</si>
  <si>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</si>
  <si>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</si>
  <si>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</si>
  <si>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</si>
  <si>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</si>
  <si>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</si>
  <si>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</si>
  <si>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</si>
  <si>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</si>
  <si>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</si>
  <si>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</si>
  <si>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</si>
  <si>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</si>
  <si>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</si>
  <si>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</si>
  <si>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</si>
  <si>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</si>
  <si>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</si>
  <si>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</si>
  <si>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</si>
  <si>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</si>
  <si>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</si>
  <si>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</si>
  <si>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</si>
  <si>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</si>
  <si>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</si>
  <si>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</si>
  <si>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</si>
  <si>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</si>
  <si>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</si>
  <si>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</si>
  <si>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</si>
  <si>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</si>
  <si>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</si>
  <si>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</si>
  <si>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</si>
  <si>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</si>
  <si>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</si>
  <si>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</si>
  <si>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</si>
  <si>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</si>
  <si>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</si>
  <si>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</si>
  <si>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</si>
  <si>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</si>
  <si>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</si>
  <si>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</si>
  <si>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</si>
  <si>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</si>
  <si>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</si>
  <si>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</si>
  <si>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</si>
  <si>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</si>
  <si>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</si>
  <si>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</si>
  <si>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</si>
  <si>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</si>
  <si>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</si>
  <si>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</si>
  <si>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</si>
  <si>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</si>
  <si>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</si>
  <si>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</si>
  <si>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</si>
  <si>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</si>
  <si>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</si>
  <si>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</si>
  <si>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</si>
  <si>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</si>
  <si>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</si>
  <si>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</si>
  <si>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</si>
  <si>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</si>
  <si>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</si>
  <si>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</si>
  <si>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</si>
  <si>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</si>
  <si>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</si>
  <si>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</si>
  <si>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</si>
  <si>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</si>
  <si>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</si>
  <si>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</si>
  <si>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</si>
  <si>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</si>
  <si>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</si>
  <si>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</si>
  <si>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</si>
  <si>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</si>
  <si>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</si>
  <si>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</si>
  <si>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</si>
  <si>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</si>
  <si>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</si>
  <si>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</si>
  <si>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</si>
  <si>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</si>
  <si>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</si>
  <si>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</si>
  <si>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</si>
  <si>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</si>
  <si>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</si>
  <si>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</si>
  <si>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</si>
  <si>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</si>
  <si>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</si>
  <si>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</si>
  <si>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</si>
  <si>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</si>
  <si>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</si>
  <si>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</si>
  <si>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</si>
  <si>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</si>
  <si>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</si>
  <si>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</si>
  <si>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</si>
  <si>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</si>
  <si>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</si>
  <si>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</si>
  <si>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</si>
  <si>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</si>
  <si>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</si>
  <si>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</si>
  <si>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</si>
  <si>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</si>
  <si>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</si>
  <si>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</si>
  <si>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</si>
  <si>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</si>
  <si>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</si>
  <si>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</si>
  <si>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</si>
  <si>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</si>
  <si>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</si>
  <si>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</si>
  <si>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</si>
  <si>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</si>
  <si>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</si>
  <si>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</si>
  <si>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</si>
  <si>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</si>
  <si>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</si>
  <si>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</si>
  <si>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</si>
  <si>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</si>
  <si>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</si>
  <si>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</si>
  <si>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</si>
  <si>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</si>
  <si>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</si>
  <si>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</si>
  <si>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</si>
  <si>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</si>
  <si>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</si>
  <si>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</si>
  <si>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</si>
  <si>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</si>
  <si>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</si>
  <si>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</si>
  <si>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</si>
  <si>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</si>
  <si>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</si>
  <si>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</si>
  <si>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</si>
  <si>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</si>
  <si>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</si>
  <si>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</si>
  <si>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</si>
  <si>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</si>
  <si>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</si>
  <si>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</si>
  <si>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</si>
  <si>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</si>
  <si>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</si>
  <si>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</si>
  <si>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</si>
  <si>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</si>
  <si>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</si>
  <si>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</si>
  <si>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</si>
  <si>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</si>
  <si>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</si>
  <si>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</si>
  <si>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</si>
  <si>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</si>
  <si>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</si>
  <si>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</si>
  <si>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</si>
  <si>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</si>
  <si>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</si>
  <si>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</si>
  <si>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</si>
  <si>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</si>
  <si>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</si>
  <si>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</si>
  <si>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</si>
  <si>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</si>
  <si>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</si>
  <si>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</si>
  <si>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</si>
  <si>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</si>
  <si>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</si>
  <si>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</si>
  <si>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</si>
  <si>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</si>
  <si>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</si>
  <si>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</si>
  <si>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</si>
  <si>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</si>
  <si>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</si>
  <si>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</si>
  <si>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</si>
  <si>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</si>
  <si>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</si>
  <si>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</si>
  <si>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</si>
  <si>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</si>
  <si>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</si>
  <si>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</si>
  <si>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</si>
  <si>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</si>
  <si>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</si>
  <si>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</si>
  <si>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</si>
  <si>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</si>
  <si>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</si>
  <si>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</si>
  <si>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</si>
  <si>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</si>
  <si>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</si>
  <si>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</si>
  <si>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</si>
  <si>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</si>
  <si>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</si>
  <si>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</si>
  <si>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</si>
  <si>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</si>
  <si>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</si>
  <si>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</si>
  <si>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</si>
  <si>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</si>
  <si>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</si>
  <si>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</si>
  <si>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</si>
  <si>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</si>
  <si>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</si>
  <si>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</si>
  <si>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</si>
  <si>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</si>
  <si>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</si>
  <si>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</si>
  <si>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</si>
  <si>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</si>
  <si>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</si>
  <si>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</si>
  <si>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</si>
  <si>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</si>
  <si>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</si>
  <si>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</si>
  <si>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</si>
  <si>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</si>
  <si>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</si>
  <si>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</si>
  <si>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</si>
  <si>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</si>
  <si>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</si>
  <si>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</si>
  <si>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</si>
  <si>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</si>
  <si>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</si>
  <si>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</si>
  <si>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</si>
  <si>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</si>
  <si>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</si>
  <si>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</si>
  <si>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</si>
  <si>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</si>
  <si>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</si>
  <si>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</si>
  <si>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</si>
  <si>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</si>
  <si>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</si>
  <si>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</si>
  <si>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</si>
  <si>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</si>
  <si>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</si>
  <si>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</si>
  <si>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</si>
  <si>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</si>
  <si>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</si>
  <si>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</si>
  <si>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</si>
  <si>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</si>
  <si>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</si>
  <si>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</si>
  <si>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</si>
  <si>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</si>
  <si>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</si>
  <si>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</si>
  <si>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</si>
  <si>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</si>
  <si>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</si>
  <si>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</si>
  <si>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</si>
  <si>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</si>
  <si>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</si>
  <si>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</si>
  <si>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</si>
  <si>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</si>
  <si>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</si>
  <si>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</si>
  <si>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</si>
  <si>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</si>
  <si>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</si>
  <si>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</si>
  <si>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</si>
  <si>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</si>
  <si>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</si>
  <si>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</si>
  <si>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</si>
  <si>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</si>
  <si>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</si>
  <si>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</si>
  <si>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</si>
  <si>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</si>
  <si>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</si>
  <si>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</si>
  <si>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</si>
  <si>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</si>
  <si>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</si>
  <si>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</si>
  <si>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</si>
  <si>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</si>
  <si>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</si>
  <si>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</si>
  <si>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</si>
  <si>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</si>
  <si>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</si>
  <si>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</si>
  <si>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</si>
  <si>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</si>
  <si>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</si>
  <si>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</si>
  <si>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</si>
  <si>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</si>
  <si>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</si>
  <si>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</si>
  <si>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</si>
  <si>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</si>
  <si>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</si>
  <si>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</si>
  <si>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</si>
  <si>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</si>
  <si>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</si>
  <si>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</si>
  <si>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</si>
  <si>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</si>
  <si>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</si>
  <si>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</si>
  <si>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</si>
  <si>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</si>
  <si>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</si>
  <si>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</si>
  <si>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</si>
  <si>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</si>
  <si>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</si>
  <si>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</si>
  <si>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</si>
  <si>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</si>
  <si>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</si>
  <si>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</si>
  <si>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</si>
  <si>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</si>
  <si>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</si>
  <si>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</si>
  <si>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</si>
  <si>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</si>
  <si>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</si>
  <si>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</si>
  <si>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</si>
  <si>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</si>
  <si>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</si>
  <si>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</si>
  <si>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</si>
  <si>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</si>
  <si>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</si>
  <si>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</si>
  <si>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</si>
  <si>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</si>
  <si>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</si>
  <si>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</si>
  <si>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</si>
  <si>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</si>
  <si>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</si>
  <si>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</si>
  <si>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</si>
  <si>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</si>
  <si>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</si>
  <si>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</si>
  <si>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</si>
  <si>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</si>
  <si>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</si>
  <si>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</si>
  <si>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</si>
  <si>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</si>
  <si>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</si>
  <si>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</si>
  <si>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</si>
  <si>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</si>
  <si>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</si>
  <si>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</si>
  <si>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</si>
  <si>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</si>
  <si>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</si>
  <si>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</si>
  <si>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</si>
  <si>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</si>
  <si>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</si>
  <si>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</si>
  <si>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</si>
  <si>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</si>
  <si>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</si>
  <si>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</si>
  <si>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</si>
  <si>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</si>
  <si>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</si>
  <si>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</si>
  <si>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</si>
  <si>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</si>
  <si>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</si>
  <si>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</si>
  <si>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</si>
  <si>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</si>
  <si>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</si>
  <si>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</si>
  <si>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</si>
  <si>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</si>
  <si>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</si>
  <si>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</si>
  <si>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</si>
  <si>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</si>
  <si>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</si>
  <si>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</si>
  <si>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</si>
  <si>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</si>
  <si>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</si>
  <si>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</si>
  <si>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</si>
  <si>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</si>
  <si>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</si>
  <si>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</si>
  <si>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</si>
  <si>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</si>
  <si>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</si>
  <si>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</si>
  <si>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</si>
  <si>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</si>
  <si>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</si>
  <si>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</si>
  <si>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</si>
  <si>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</si>
  <si>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</si>
  <si>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</si>
  <si>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</si>
  <si>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</si>
  <si>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</si>
  <si>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</si>
  <si>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</si>
  <si>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</si>
  <si>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</si>
  <si>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</si>
  <si>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</si>
  <si>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</si>
  <si>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</si>
  <si>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</si>
  <si>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</si>
  <si>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</si>
  <si>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</si>
  <si>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</si>
  <si>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</si>
  <si>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</si>
  <si>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</si>
  <si>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</si>
  <si>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</si>
  <si>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</si>
  <si>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</si>
  <si>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</si>
  <si>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</si>
  <si>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</si>
  <si>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</si>
  <si>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</si>
  <si>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</si>
  <si>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</si>
  <si>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</si>
  <si>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</si>
  <si>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</si>
  <si>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</si>
  <si>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</si>
  <si>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</si>
  <si>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</si>
  <si>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</si>
  <si>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</si>
  <si>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</si>
  <si>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</si>
  <si>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</si>
  <si>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</si>
  <si>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</si>
  <si>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</si>
  <si>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</si>
  <si>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</si>
  <si>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</si>
  <si>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</si>
  <si>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</si>
  <si>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</si>
  <si>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</si>
  <si>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</si>
  <si>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</si>
  <si>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</si>
  <si>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</si>
  <si>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</si>
  <si>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</si>
  <si>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</si>
  <si>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</si>
  <si>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</si>
  <si>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</si>
  <si>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</si>
  <si>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</si>
  <si>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</si>
  <si>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</si>
  <si>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</si>
  <si>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</si>
  <si>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</si>
  <si>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</si>
  <si>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</si>
  <si>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</si>
  <si>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</si>
  <si>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</si>
  <si>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</si>
  <si>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</si>
  <si>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</si>
  <si>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</si>
  <si>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</si>
  <si>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</si>
  <si>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</si>
  <si>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</si>
  <si>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</si>
  <si>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</si>
  <si>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</si>
  <si>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</si>
  <si>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</si>
  <si>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</si>
  <si>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</si>
  <si>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</si>
  <si>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</si>
  <si>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</si>
  <si>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</si>
  <si>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</si>
  <si>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</si>
  <si>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</si>
  <si>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</si>
  <si>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</si>
  <si>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</si>
  <si>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</si>
  <si>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</si>
  <si>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</si>
  <si>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</si>
  <si>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</si>
  <si>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</si>
  <si>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</si>
  <si>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</si>
  <si>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</si>
  <si>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</si>
  <si>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</si>
  <si>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</si>
  <si>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</si>
  <si>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</si>
  <si>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</si>
  <si>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</si>
  <si>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</si>
  <si>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</si>
  <si>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</si>
  <si>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</si>
  <si>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</si>
  <si>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</si>
  <si>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</si>
  <si>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</si>
  <si>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</si>
  <si>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</si>
  <si>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</si>
  <si>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</si>
  <si>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</si>
  <si>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</si>
  <si>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</si>
  <si>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</si>
  <si>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</si>
  <si>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</si>
  <si>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</si>
  <si>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</si>
  <si>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</si>
  <si>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</si>
  <si>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</si>
  <si>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</si>
  <si>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</si>
  <si>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</si>
  <si>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</si>
  <si>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</si>
  <si>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</si>
  <si>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</si>
  <si>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</si>
  <si>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</si>
  <si>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</si>
  <si>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</si>
  <si>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</si>
  <si>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</si>
  <si>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</si>
  <si>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</si>
  <si>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</si>
  <si>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</si>
  <si>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</si>
  <si>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</si>
  <si>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</si>
  <si>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</si>
  <si>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</si>
  <si>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</si>
  <si>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</si>
  <si>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</si>
  <si>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</si>
  <si>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</si>
  <si>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</si>
  <si>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</si>
  <si>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</si>
  <si>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</si>
  <si>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</si>
  <si>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</si>
  <si>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</si>
  <si>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</si>
  <si>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</si>
  <si>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</si>
  <si>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</si>
  <si>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</si>
  <si>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</si>
  <si>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</si>
  <si>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</si>
  <si>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</si>
  <si>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</si>
  <si>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</si>
  <si>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</si>
  <si>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</si>
  <si>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</si>
  <si>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</si>
  <si>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</si>
  <si>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</si>
  <si>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</si>
  <si>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</si>
  <si>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</si>
  <si>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</si>
  <si>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</si>
  <si>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</si>
  <si>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</si>
  <si>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</si>
  <si>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</si>
  <si>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</si>
  <si>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</si>
  <si>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</si>
  <si>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</si>
  <si>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</si>
  <si>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</si>
  <si>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</si>
  <si>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</si>
  <si>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</si>
  <si>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</si>
  <si>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</si>
  <si>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</si>
  <si>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</si>
  <si>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</si>
  <si>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</si>
  <si>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</si>
  <si>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</si>
  <si>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</si>
  <si>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</si>
  <si>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</si>
  <si>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</si>
  <si>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</si>
  <si>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</si>
  <si>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</si>
  <si>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</si>
  <si>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</si>
  <si>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</si>
  <si>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</si>
  <si>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</si>
  <si>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</si>
  <si>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</si>
  <si>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</si>
  <si>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</si>
  <si>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</si>
  <si>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</si>
  <si>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</si>
  <si>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</si>
  <si>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</si>
  <si>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</si>
  <si>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</si>
  <si>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</si>
  <si>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</si>
  <si>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</si>
  <si>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</si>
  <si>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</si>
  <si>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</si>
  <si>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</si>
  <si>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</si>
  <si>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</si>
  <si>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</si>
  <si>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</si>
  <si>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</si>
  <si>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</si>
  <si>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</si>
  <si>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</si>
  <si>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</si>
  <si>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</si>
  <si>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</si>
  <si>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</si>
  <si>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</si>
  <si>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</si>
  <si>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</si>
  <si>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</si>
  <si>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</si>
  <si>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</si>
  <si>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</si>
  <si>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</si>
  <si>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</si>
  <si>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</si>
  <si>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</si>
  <si>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</si>
  <si>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</si>
  <si>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</si>
  <si>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</si>
  <si>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</si>
  <si>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</si>
  <si>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</si>
  <si>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</si>
  <si>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</si>
  <si>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</si>
  <si>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</si>
  <si>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</si>
  <si>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</si>
  <si>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</si>
  <si>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</si>
  <si>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</si>
  <si>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</si>
  <si>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</si>
  <si>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</si>
  <si>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</si>
  <si>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</si>
  <si>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</si>
  <si>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</si>
  <si>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</si>
  <si>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</si>
  <si>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</si>
  <si>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</si>
  <si>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</si>
  <si>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</si>
  <si>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</si>
  <si>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</si>
  <si>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</si>
  <si>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</si>
  <si>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</si>
  <si>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</si>
  <si>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</si>
  <si>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</si>
  <si>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</si>
  <si>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</si>
  <si>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</si>
  <si>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</si>
  <si>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</si>
  <si>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</si>
  <si>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</si>
  <si>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</si>
  <si>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</si>
  <si>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</si>
  <si>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</si>
  <si>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</si>
  <si>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</si>
  <si>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</si>
  <si>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</si>
  <si>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</si>
  <si>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</si>
  <si>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</si>
  <si>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</si>
  <si>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</si>
  <si>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</si>
  <si>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</si>
  <si>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</si>
  <si>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</si>
  <si>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</si>
  <si>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</si>
  <si>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</si>
  <si>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</si>
  <si>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</si>
  <si>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</si>
  <si>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</si>
  <si>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</si>
  <si>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</si>
  <si>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</si>
  <si>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</si>
  <si>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</si>
  <si>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</si>
  <si>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</si>
  <si>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</si>
  <si>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</si>
  <si>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</si>
  <si>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</si>
  <si>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</si>
  <si>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</si>
  <si>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</si>
  <si>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</si>
  <si>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</si>
  <si>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</si>
  <si>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</si>
  <si>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</si>
  <si>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</si>
  <si>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</si>
  <si>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</si>
  <si>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</si>
  <si>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</si>
  <si>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</si>
  <si>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</si>
  <si>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</si>
  <si>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</si>
  <si>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</si>
  <si>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</si>
  <si>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</si>
  <si>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</si>
  <si>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</si>
  <si>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</si>
  <si>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</si>
  <si>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</si>
  <si>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</si>
  <si>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</si>
  <si>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</si>
  <si>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</si>
  <si>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</si>
  <si>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</si>
  <si>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</si>
  <si>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</si>
  <si>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</si>
  <si>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</si>
  <si>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</si>
  <si>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</si>
  <si>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</si>
  <si>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</si>
  <si>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</si>
  <si>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</si>
  <si>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</si>
  <si>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</si>
  <si>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</si>
  <si>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</si>
  <si>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</si>
  <si>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</si>
  <si>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</si>
  <si>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</si>
  <si>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</si>
  <si>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</si>
  <si>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</si>
  <si>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</si>
  <si>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</si>
  <si>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</si>
  <si>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</si>
  <si>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</si>
  <si>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</si>
  <si>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</si>
  <si>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</si>
  <si>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</si>
  <si>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</si>
  <si>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</si>
  <si>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</si>
  <si>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</si>
  <si>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</si>
  <si>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</si>
  <si>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</si>
  <si>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</si>
  <si>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</si>
  <si>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</si>
  <si>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</si>
  <si>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</si>
  <si>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</si>
  <si>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</si>
  <si>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</si>
  <si>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</si>
  <si>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</si>
  <si>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</si>
  <si>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</si>
  <si>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</si>
  <si>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</si>
  <si>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</si>
  <si>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</si>
  <si>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</si>
  <si>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</si>
  <si>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</si>
  <si>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</si>
  <si>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</si>
  <si>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</si>
  <si>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</si>
  <si>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</si>
  <si>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</si>
  <si>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</si>
  <si>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</si>
  <si>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</si>
  <si>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</si>
  <si>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</si>
  <si>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</si>
  <si>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</si>
  <si>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</si>
  <si>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</si>
  <si>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</si>
  <si>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</si>
  <si>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</si>
  <si>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</si>
  <si>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</si>
  <si>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</si>
  <si>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</si>
  <si>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</si>
  <si>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</si>
  <si>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</si>
  <si>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</si>
  <si>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</si>
  <si>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</si>
  <si>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</si>
  <si>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</si>
  <si>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</si>
  <si>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</si>
  <si>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</si>
  <si>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</si>
  <si>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</si>
  <si>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</si>
  <si>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</si>
  <si>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</si>
  <si>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</si>
  <si>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</si>
  <si>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</si>
  <si>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</si>
  <si>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</si>
  <si>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</si>
  <si>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</si>
  <si>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</si>
  <si>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</si>
  <si>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</si>
  <si>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</si>
  <si>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</si>
  <si>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</si>
  <si>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</si>
  <si>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</si>
  <si>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</si>
  <si>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</si>
  <si>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</si>
  <si>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</si>
  <si>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</si>
  <si>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</si>
  <si>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</si>
  <si>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</si>
  <si>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</si>
  <si>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</si>
  <si>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</si>
  <si>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</si>
  <si>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</si>
  <si>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</si>
  <si>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</si>
  <si>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</si>
  <si>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</si>
  <si>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</si>
  <si>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</si>
  <si>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</si>
  <si>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</si>
  <si>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</si>
  <si>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</si>
  <si>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</si>
  <si>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</si>
  <si>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</si>
  <si>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</si>
  <si>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</si>
  <si>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</si>
  <si>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</si>
  <si>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</si>
  <si>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</si>
  <si>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</si>
  <si>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</si>
  <si>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</si>
  <si>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</si>
  <si>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</si>
  <si>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</si>
  <si>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</si>
  <si>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</si>
  <si>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</si>
  <si>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</si>
  <si>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</si>
  <si>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</si>
  <si>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</si>
  <si>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</si>
  <si>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</si>
  <si>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</si>
  <si>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</si>
  <si>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</si>
  <si>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</si>
  <si>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</si>
  <si>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</si>
  <si>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</si>
  <si>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</si>
  <si>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</si>
  <si>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</si>
  <si>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</si>
  <si>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</si>
  <si>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</si>
  <si>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</si>
  <si>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</si>
  <si>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</si>
  <si>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</si>
  <si>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</si>
  <si>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</si>
  <si>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</si>
  <si>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</si>
  <si>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</si>
  <si>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</si>
  <si>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</si>
  <si>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</si>
  <si>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</si>
  <si>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</si>
  <si>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</si>
  <si>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</si>
  <si>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</si>
  <si>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</si>
  <si>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</si>
  <si>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</si>
  <si>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</si>
  <si>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</si>
  <si>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</si>
  <si>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</si>
  <si>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</si>
  <si>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</si>
  <si>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</si>
  <si>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</si>
  <si>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</si>
  <si>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</si>
  <si>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</si>
  <si>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</si>
  <si>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</si>
  <si>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</si>
  <si>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</si>
  <si>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</si>
  <si>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</si>
  <si>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</si>
  <si>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</si>
  <si>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</si>
  <si>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</si>
  <si>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</si>
  <si>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</si>
  <si>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</si>
  <si>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</si>
  <si>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</si>
  <si>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</si>
  <si>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</si>
  <si>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</si>
  <si>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</si>
  <si>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</si>
  <si>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</si>
  <si>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</si>
  <si>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</si>
  <si>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</si>
  <si>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</si>
  <si>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</si>
  <si>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</si>
  <si>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</si>
  <si>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</si>
  <si>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</si>
  <si>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</si>
  <si>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</si>
  <si>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</si>
  <si>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</si>
  <si>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</si>
  <si>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</si>
  <si>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</si>
  <si>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</si>
  <si>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</si>
  <si>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</si>
  <si>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</si>
  <si>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</si>
  <si>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</si>
  <si>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</si>
  <si>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</si>
  <si>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</si>
  <si>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</si>
  <si>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</si>
  <si>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</si>
  <si>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</si>
  <si>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</si>
  <si>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</si>
  <si>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</si>
  <si>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</si>
  <si>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</si>
  <si>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</si>
  <si>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</si>
  <si>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</si>
  <si>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</si>
  <si>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</si>
  <si>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</si>
  <si>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</si>
  <si>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</si>
  <si>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</si>
  <si>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</si>
  <si>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</si>
  <si>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</si>
  <si>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</si>
  <si>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</si>
  <si>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</si>
  <si>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</si>
  <si>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</si>
  <si>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</si>
  <si>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</si>
  <si>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</si>
  <si>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</si>
  <si>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</si>
  <si>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</si>
  <si>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</si>
  <si>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</si>
  <si>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</si>
  <si>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</si>
  <si>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</si>
  <si>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</si>
  <si>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</si>
  <si>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</si>
  <si>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</si>
  <si>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</si>
  <si>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</si>
  <si>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</si>
  <si>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</si>
  <si>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</si>
  <si>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</si>
  <si>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</si>
  <si>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</si>
  <si>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</si>
  <si>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</si>
  <si>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</si>
  <si>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</si>
  <si>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</si>
  <si>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</si>
  <si>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</si>
  <si>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</si>
  <si>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</si>
  <si>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</si>
  <si>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</si>
  <si>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</si>
  <si>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</si>
  <si>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</si>
  <si>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</si>
  <si>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</si>
  <si>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</si>
  <si>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</si>
  <si>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</si>
  <si>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</si>
  <si>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</si>
  <si>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</si>
  <si>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</si>
  <si>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</si>
  <si>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</si>
  <si>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</si>
  <si>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</si>
  <si>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</si>
  <si>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</si>
  <si>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</si>
  <si>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</si>
  <si>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</si>
  <si>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</si>
  <si>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</si>
  <si>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</si>
  <si>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</si>
  <si>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</si>
  <si>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</si>
  <si>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</si>
  <si>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</si>
  <si>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</si>
  <si>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</si>
  <si>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</si>
  <si>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</si>
  <si>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</si>
  <si>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</si>
  <si>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</si>
  <si>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</si>
  <si>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</si>
  <si>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</si>
  <si>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</si>
  <si>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</si>
  <si>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</si>
  <si>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</si>
  <si>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</si>
  <si>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</si>
  <si>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</si>
  <si>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</si>
  <si>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</si>
  <si>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</si>
  <si>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</si>
  <si>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</si>
  <si>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</si>
  <si>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</si>
  <si>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</si>
  <si>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</si>
  <si>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</si>
  <si>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</si>
  <si>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</si>
  <si>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</si>
  <si>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</si>
  <si>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</si>
  <si>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</si>
  <si>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</si>
  <si>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</si>
  <si>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</si>
  <si>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</si>
  <si>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</si>
  <si>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</si>
  <si>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</si>
  <si>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</si>
  <si>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</si>
  <si>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</si>
  <si>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</si>
  <si>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</si>
  <si>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</si>
  <si>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</si>
  <si>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</si>
  <si>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</si>
  <si>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</si>
  <si>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</si>
  <si>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</si>
  <si>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</si>
  <si>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</si>
  <si>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</si>
  <si>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</si>
  <si>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</si>
  <si>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</si>
  <si>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</si>
  <si>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</si>
  <si>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</si>
  <si>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</si>
  <si>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</si>
  <si>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</si>
  <si>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</si>
  <si>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</si>
  <si>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</si>
  <si>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</si>
  <si>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</si>
  <si>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</si>
  <si>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</si>
  <si>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</si>
  <si>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</si>
  <si>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</si>
  <si>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</si>
  <si>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</si>
  <si>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</si>
  <si>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</si>
  <si>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</si>
  <si>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</si>
  <si>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</si>
  <si>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</si>
  <si>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</si>
  <si>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</si>
  <si>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</si>
  <si>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</si>
  <si>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</si>
  <si>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</si>
  <si>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</si>
  <si>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</si>
  <si>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</si>
  <si>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</si>
  <si>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</si>
  <si>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</si>
  <si>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</si>
  <si>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</si>
  <si>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</si>
  <si>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</si>
  <si>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</si>
  <si>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</si>
  <si>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</si>
  <si>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</si>
  <si>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</si>
  <si>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</si>
  <si>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</si>
  <si>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</si>
  <si>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</si>
  <si>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</si>
  <si>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</si>
  <si>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</si>
  <si>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</si>
  <si>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</si>
  <si>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</si>
  <si>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</si>
  <si>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</si>
  <si>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</si>
  <si>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</si>
  <si>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</si>
  <si>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</si>
  <si>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</si>
  <si>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</si>
  <si>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</si>
  <si>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</si>
  <si>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</si>
  <si>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</si>
  <si>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</si>
  <si>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</si>
  <si>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</si>
  <si>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</si>
  <si>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</si>
  <si>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</si>
  <si>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</si>
  <si>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</si>
  <si>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</si>
  <si>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</si>
  <si>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</si>
  <si>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</si>
  <si>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</si>
  <si>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</si>
  <si>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</si>
  <si>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</si>
  <si>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</si>
  <si>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</si>
  <si>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</si>
  <si>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</si>
  <si>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</si>
  <si>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</si>
  <si>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</si>
  <si>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</si>
  <si>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</si>
  <si>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</si>
  <si>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</si>
  <si>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</si>
  <si>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</si>
  <si>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</si>
  <si>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</si>
  <si>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</si>
  <si>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</si>
  <si>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</si>
  <si>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</si>
  <si>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</si>
  <si>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</si>
  <si>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</si>
  <si>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</si>
  <si>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</si>
  <si>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</si>
  <si>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</si>
  <si>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</si>
  <si>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</si>
  <si>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</si>
  <si>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</si>
  <si>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</si>
  <si>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</si>
  <si>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</si>
  <si>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</si>
  <si>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</si>
  <si>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</si>
  <si>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</si>
  <si>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</si>
  <si>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</si>
  <si>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</si>
  <si>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</si>
  <si>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</si>
  <si>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</si>
  <si>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</si>
  <si>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</si>
  <si>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</si>
  <si>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</si>
  <si>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</si>
  <si>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</si>
  <si>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</si>
  <si>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</si>
  <si>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</si>
  <si>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</si>
  <si>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</si>
  <si>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</si>
  <si>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</si>
  <si>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</si>
  <si>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</si>
  <si>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</si>
  <si>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</si>
  <si>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</si>
  <si>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</si>
  <si>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</si>
  <si>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</si>
  <si>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</si>
  <si>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</si>
  <si>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</si>
  <si>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</si>
  <si>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</si>
  <si>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</si>
  <si>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</si>
  <si>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</si>
  <si>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</si>
  <si>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</si>
  <si>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</si>
  <si>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</si>
  <si>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</si>
  <si>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</si>
  <si>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</si>
  <si>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</si>
  <si>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</si>
  <si>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</si>
  <si>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</si>
  <si>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</si>
  <si>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</si>
  <si>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</si>
  <si>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</si>
  <si>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</si>
  <si>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</si>
  <si>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</si>
  <si>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</si>
  <si>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</si>
  <si>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</si>
  <si>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</si>
  <si>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</si>
  <si>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</si>
  <si>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</si>
  <si>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</si>
  <si>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</si>
  <si>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</si>
  <si>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</si>
  <si>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</si>
  <si>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</si>
  <si>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</si>
  <si>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</si>
  <si>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</si>
  <si>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</si>
  <si>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</si>
  <si>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</si>
  <si>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</si>
  <si>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</si>
  <si>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</si>
  <si>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</si>
  <si>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</si>
  <si>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</si>
  <si>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</si>
  <si>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</si>
  <si>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</si>
  <si>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</si>
  <si>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</si>
  <si>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</si>
  <si>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</si>
  <si>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</si>
  <si>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</si>
  <si>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</si>
  <si>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</si>
  <si>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</si>
  <si>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</si>
  <si>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</si>
  <si>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</si>
  <si>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</si>
  <si>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</si>
  <si>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</si>
  <si>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</si>
  <si>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</si>
  <si>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</si>
  <si>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</si>
  <si>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</si>
  <si>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</si>
  <si>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</si>
  <si>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</si>
  <si>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</si>
  <si>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</si>
  <si>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</si>
  <si>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</si>
  <si>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</si>
  <si>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</si>
  <si>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</si>
  <si>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</si>
  <si>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</si>
  <si>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</si>
  <si>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</si>
  <si>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</si>
  <si>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</si>
  <si>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</si>
  <si>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</si>
  <si>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</si>
  <si>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</si>
  <si>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</si>
  <si>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</si>
  <si>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</si>
  <si>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</si>
  <si>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</si>
  <si>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</si>
  <si>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</si>
  <si>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</si>
  <si>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</si>
  <si>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</si>
  <si>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</si>
  <si>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</si>
  <si>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</si>
  <si>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</si>
  <si>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</si>
  <si>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</si>
  <si>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</si>
  <si>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</si>
  <si>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</si>
  <si>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</si>
  <si>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</si>
  <si>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</si>
  <si>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</si>
  <si>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</si>
  <si>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</si>
  <si>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</si>
  <si>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</si>
  <si>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</si>
  <si>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</si>
  <si>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</si>
  <si>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</si>
  <si>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</si>
  <si>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</si>
  <si>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</si>
  <si>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</si>
  <si>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</si>
  <si>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</si>
  <si>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</si>
  <si>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</si>
  <si>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</si>
  <si>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</si>
  <si>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</si>
  <si>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</si>
  <si>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</si>
  <si>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</si>
  <si>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</si>
  <si>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</si>
  <si>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</si>
  <si>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</si>
  <si>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</si>
  <si>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</si>
  <si>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</si>
  <si>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</si>
  <si>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</si>
  <si>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</si>
  <si>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</si>
  <si>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</si>
  <si>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</si>
  <si>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</si>
  <si>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</si>
  <si>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</si>
  <si>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</si>
  <si>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</si>
  <si>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</si>
  <si>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</si>
  <si>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</si>
  <si>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</si>
  <si>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</si>
  <si>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</si>
  <si>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</si>
  <si>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</si>
  <si>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</si>
  <si>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</si>
  <si>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</si>
  <si>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</si>
  <si>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</si>
  <si>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</si>
  <si>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</si>
  <si>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</si>
  <si>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</si>
  <si>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</si>
  <si>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</si>
  <si>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</si>
  <si>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</si>
  <si>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</si>
  <si>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</si>
  <si>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</si>
  <si>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</si>
  <si>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</si>
  <si>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</si>
  <si>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</si>
  <si>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</si>
  <si>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</si>
  <si>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</si>
  <si>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</si>
  <si>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</si>
  <si>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</si>
  <si>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</si>
  <si>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</si>
  <si>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</si>
  <si>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</si>
  <si>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</si>
  <si>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</si>
  <si>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</si>
  <si>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</si>
  <si>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</si>
  <si>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</si>
  <si>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</si>
  <si>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</si>
  <si>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</si>
  <si>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</si>
  <si>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</si>
  <si>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</si>
  <si>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</si>
  <si>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</si>
  <si>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</si>
  <si>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</si>
  <si>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</si>
  <si>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</si>
  <si>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</si>
  <si>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</si>
  <si>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</si>
  <si>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</si>
  <si>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</si>
  <si>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</si>
  <si>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</si>
  <si>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</si>
  <si>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</si>
  <si>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</si>
  <si>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</si>
  <si>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</si>
  <si>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</si>
  <si>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</si>
  <si>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</si>
  <si>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</si>
  <si>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</si>
  <si>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</si>
  <si>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</si>
  <si>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</si>
  <si>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</si>
  <si>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</si>
  <si>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</si>
  <si>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</si>
  <si>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</si>
  <si>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</si>
  <si>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</si>
  <si>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</si>
  <si>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</si>
  <si>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</si>
  <si>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</si>
  <si>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</si>
  <si>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</si>
  <si>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</si>
  <si>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</si>
  <si>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</si>
  <si>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</si>
  <si>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</si>
  <si>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</si>
  <si>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</si>
  <si>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</si>
  <si>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</si>
  <si>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</si>
  <si>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</si>
  <si>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</si>
  <si>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</si>
  <si>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</si>
  <si>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</si>
  <si>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</si>
  <si>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</si>
  <si>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</si>
  <si>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</si>
  <si>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</si>
  <si>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</si>
  <si>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</si>
  <si>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</si>
  <si>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</si>
  <si>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</si>
  <si>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</si>
  <si>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</si>
  <si>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</si>
  <si>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</si>
  <si>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</si>
  <si>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</si>
  <si>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</si>
  <si>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</si>
  <si>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</si>
  <si>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</si>
  <si>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</si>
  <si>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</si>
  <si>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</si>
  <si>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</si>
  <si>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</si>
  <si>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</si>
  <si>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</si>
  <si>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</si>
  <si>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</si>
  <si>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</si>
  <si>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</si>
  <si>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</si>
  <si>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</si>
  <si>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</si>
  <si>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</si>
  <si>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</si>
  <si>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</si>
  <si>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</si>
  <si>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</si>
  <si>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</si>
  <si>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</si>
  <si>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</si>
  <si>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</si>
  <si>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</si>
  <si>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</si>
  <si>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</si>
  <si>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</si>
  <si>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</si>
  <si>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</si>
  <si>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</si>
  <si>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</si>
  <si>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</si>
  <si>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</si>
  <si>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</si>
  <si>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</si>
  <si>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</si>
  <si>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</si>
  <si>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</si>
  <si>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</si>
  <si>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</si>
  <si>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</si>
  <si>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</si>
  <si>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</si>
  <si>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</si>
  <si>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</si>
  <si>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</si>
  <si>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</si>
  <si>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</si>
  <si>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</si>
  <si>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</si>
  <si>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</si>
  <si>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</si>
  <si>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</si>
  <si>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</si>
  <si>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</si>
  <si>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</si>
  <si>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</si>
  <si>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</si>
  <si>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</si>
  <si>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</si>
  <si>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</si>
  <si>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</si>
  <si>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</si>
  <si>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</si>
  <si>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</si>
  <si>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</si>
  <si>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</si>
  <si>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</si>
  <si>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</si>
  <si>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</si>
  <si>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</si>
  <si>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</si>
  <si>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</si>
  <si>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</si>
  <si>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</si>
  <si>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</si>
  <si>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</si>
  <si>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</si>
  <si>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</si>
  <si>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</si>
  <si>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</si>
  <si>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</si>
  <si>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</si>
  <si>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</si>
  <si>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</si>
  <si>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</si>
  <si>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</si>
  <si>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</si>
  <si>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</si>
  <si>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</si>
  <si>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</si>
  <si>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</si>
  <si>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</si>
  <si>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</si>
  <si>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</si>
  <si>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</si>
  <si>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</si>
  <si>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</si>
  <si>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</si>
  <si>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</si>
  <si>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</si>
  <si>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</si>
  <si>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</si>
  <si>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</si>
  <si>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</si>
  <si>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</si>
  <si>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</si>
  <si>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</si>
  <si>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</si>
  <si>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</si>
  <si>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</si>
  <si>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</si>
  <si>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</si>
  <si>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</si>
  <si>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</si>
  <si>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</si>
  <si>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</si>
  <si>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</si>
  <si>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</si>
  <si>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</si>
  <si>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</si>
  <si>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</si>
  <si>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</si>
  <si>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</si>
  <si>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</si>
  <si>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</si>
  <si>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</si>
  <si>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</si>
  <si>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</si>
  <si>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</si>
  <si>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</si>
  <si>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</si>
  <si>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</si>
  <si>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</si>
  <si>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</si>
  <si>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</si>
  <si>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</si>
  <si>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</si>
  <si>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</si>
  <si>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</si>
  <si>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</si>
  <si>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</si>
  <si>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</si>
  <si>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</si>
  <si>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</si>
  <si>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</si>
  <si>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</si>
  <si>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</si>
  <si>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</si>
  <si>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</si>
  <si>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</si>
  <si>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</si>
  <si>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</si>
  <si>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</si>
  <si>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</si>
  <si>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</si>
  <si>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</si>
  <si>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</si>
  <si>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</si>
  <si>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</si>
  <si>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</si>
  <si>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</si>
  <si>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</si>
  <si>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</si>
  <si>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</si>
  <si>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</si>
  <si>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</si>
  <si>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</si>
  <si>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</si>
  <si>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</si>
  <si>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</si>
  <si>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</si>
  <si>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</si>
  <si>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</si>
  <si>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</si>
  <si>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</si>
  <si>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</si>
  <si>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</si>
  <si>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</si>
  <si>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</si>
  <si>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</si>
  <si>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</si>
  <si>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</si>
  <si>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</si>
  <si>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</si>
  <si>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</si>
  <si>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</si>
  <si>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</si>
  <si>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</si>
  <si>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</si>
  <si>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</si>
  <si>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</si>
  <si>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</si>
  <si>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</si>
  <si>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</si>
  <si>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</si>
  <si>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</si>
  <si>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</si>
  <si>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</si>
  <si>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</si>
  <si>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</si>
  <si>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</si>
  <si>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</si>
  <si>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</si>
  <si>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</si>
  <si>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</si>
  <si>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</si>
  <si>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</si>
  <si>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</si>
  <si>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</si>
  <si>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</si>
  <si>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</si>
  <si>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</si>
  <si>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</si>
  <si>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</si>
  <si>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</si>
  <si>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</si>
  <si>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</si>
  <si>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</si>
  <si>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</si>
  <si>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</si>
  <si>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</si>
  <si>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</si>
  <si>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</si>
  <si>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</si>
  <si>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</si>
  <si>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</si>
  <si>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</si>
  <si>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</si>
  <si>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</si>
  <si>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</si>
  <si>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</si>
  <si>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</si>
  <si>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</si>
  <si>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</si>
  <si>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</si>
  <si>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</si>
  <si>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</si>
  <si>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</si>
  <si>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</si>
  <si>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</si>
  <si>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</si>
  <si>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</si>
  <si>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</si>
  <si>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</si>
  <si>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</si>
  <si>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</si>
  <si>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</si>
  <si>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</si>
  <si>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</si>
  <si>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</si>
  <si>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</si>
  <si>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</si>
  <si>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</si>
  <si>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</si>
  <si>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</si>
  <si>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</si>
  <si>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</si>
  <si>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</si>
  <si>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</si>
  <si>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</si>
  <si>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</si>
  <si>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</si>
  <si>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</si>
  <si>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</si>
  <si>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</si>
  <si>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</si>
  <si>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</si>
  <si>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</si>
  <si>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</si>
  <si>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</si>
  <si>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</si>
  <si>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</si>
  <si>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</si>
  <si>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</si>
  <si>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</si>
  <si>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</si>
  <si>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</si>
  <si>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</si>
  <si>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</si>
  <si>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</si>
  <si>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</si>
  <si>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</si>
  <si>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</si>
  <si>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</si>
  <si>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</si>
  <si>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</si>
  <si>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</si>
  <si>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</si>
  <si>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</si>
  <si>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</si>
  <si>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</si>
  <si>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</si>
  <si>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</si>
  <si>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</si>
  <si>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</si>
  <si>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</si>
  <si>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</si>
  <si>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</si>
  <si>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</si>
  <si>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</si>
  <si>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</si>
  <si>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</si>
  <si>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</si>
  <si>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</si>
  <si>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</si>
  <si>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</si>
  <si>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</si>
  <si>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</si>
  <si>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</si>
  <si>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</si>
  <si>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</si>
  <si>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</si>
  <si>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</si>
  <si>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</si>
  <si>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</si>
  <si>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</si>
  <si>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</si>
  <si>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</si>
  <si>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</si>
  <si>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</si>
  <si>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</si>
  <si>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</si>
  <si>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</si>
  <si>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</si>
  <si>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</si>
  <si>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</si>
  <si>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</si>
  <si>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</si>
  <si>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</si>
  <si>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</si>
  <si>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</si>
  <si>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</si>
  <si>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</si>
  <si>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</si>
  <si>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</si>
  <si>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</si>
  <si>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</si>
  <si>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</si>
  <si>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</si>
  <si>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</si>
  <si>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</si>
  <si>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</si>
  <si>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</si>
  <si>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</si>
  <si>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</si>
  <si>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</si>
  <si>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</si>
  <si>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</si>
  <si>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</si>
  <si>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</si>
  <si>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</si>
  <si>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</si>
  <si>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</si>
  <si>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</si>
  <si>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</si>
  <si>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</si>
  <si>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</si>
  <si>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</si>
  <si>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</si>
  <si>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</si>
  <si>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</si>
  <si>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</si>
  <si>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</si>
  <si>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</si>
  <si>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</si>
  <si>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</si>
  <si>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</si>
  <si>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</si>
  <si>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</si>
  <si>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</si>
  <si>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</si>
  <si>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</si>
  <si>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</si>
  <si>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</si>
  <si>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</si>
  <si>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</si>
  <si>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</si>
  <si>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</si>
  <si>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</si>
  <si>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</si>
  <si>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</si>
  <si>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</si>
  <si>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</si>
  <si>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</si>
  <si>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</si>
  <si>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</si>
  <si>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</si>
  <si>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</si>
  <si>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</si>
  <si>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</si>
  <si>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</si>
  <si>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</si>
  <si>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</si>
  <si>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</si>
  <si>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</si>
  <si>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</si>
  <si>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</si>
  <si>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</si>
  <si>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</si>
  <si>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</si>
  <si>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</si>
  <si>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</si>
  <si>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</si>
  <si>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</si>
  <si>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</si>
  <si>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</si>
  <si>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</si>
  <si>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</si>
  <si>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</si>
  <si>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</si>
  <si>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</si>
  <si>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</si>
  <si>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</si>
  <si>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</si>
  <si>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</si>
  <si>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</si>
  <si>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</si>
  <si>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</si>
  <si>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</si>
  <si>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</si>
  <si>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</si>
  <si>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</si>
  <si>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</si>
  <si>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</si>
  <si>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</si>
  <si>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</si>
  <si>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</si>
  <si>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</si>
  <si>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</si>
  <si>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</si>
  <si>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</si>
  <si>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</si>
  <si>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</si>
  <si>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</si>
  <si>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</si>
  <si>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</si>
  <si>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</si>
  <si>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</si>
  <si>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</si>
  <si>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</si>
  <si>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</si>
  <si>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</si>
  <si>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</si>
  <si>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</si>
  <si>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</si>
  <si>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</si>
  <si>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</si>
  <si>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</si>
  <si>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</si>
  <si>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</si>
  <si>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</si>
  <si>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</si>
  <si>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</si>
  <si>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</si>
  <si>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</si>
  <si>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</si>
  <si>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</si>
  <si>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</si>
  <si>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</si>
  <si>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</si>
  <si>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</si>
  <si>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</si>
  <si>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</si>
  <si>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</si>
  <si>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</si>
  <si>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</si>
  <si>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</si>
  <si>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</si>
  <si>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</si>
  <si>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</si>
  <si>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</si>
  <si>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</si>
  <si>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</si>
  <si>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</si>
  <si>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</si>
  <si>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</si>
  <si>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</si>
  <si>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</si>
  <si>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</si>
  <si>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</si>
  <si>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</si>
  <si>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</si>
  <si>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</si>
  <si>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</si>
  <si>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</si>
  <si>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</si>
  <si>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</si>
  <si>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</si>
  <si>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</si>
  <si>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</si>
  <si>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</si>
  <si>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</si>
  <si>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</si>
  <si>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</si>
  <si>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</si>
  <si>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</si>
  <si>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</si>
  <si>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</si>
  <si>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</si>
  <si>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</si>
  <si>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</si>
  <si>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</si>
  <si>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</si>
  <si>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</si>
  <si>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</si>
  <si>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</si>
  <si>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</si>
  <si>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</si>
  <si>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</si>
  <si>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</si>
  <si>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</si>
  <si>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</si>
  <si>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</si>
  <si>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</si>
  <si>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</si>
  <si>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</si>
  <si>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</si>
  <si>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</si>
  <si>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</si>
  <si>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</si>
  <si>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</si>
  <si>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</si>
  <si>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</si>
  <si>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</si>
  <si>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</si>
  <si>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</si>
  <si>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</si>
  <si>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</si>
  <si>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</si>
  <si>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</si>
  <si>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</si>
  <si>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</si>
  <si>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</si>
  <si>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</si>
  <si>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</si>
  <si>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</si>
  <si>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</si>
  <si>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</si>
  <si>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</si>
  <si>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</si>
  <si>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</si>
  <si>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</si>
  <si>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</si>
  <si>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</si>
  <si>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</si>
  <si>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</si>
  <si>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</si>
  <si>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</si>
  <si>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</si>
  <si>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</si>
  <si>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</si>
  <si>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</si>
  <si>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</si>
  <si>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</si>
  <si>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</si>
  <si>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</si>
  <si>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</si>
  <si>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</si>
  <si>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</si>
  <si>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</si>
  <si>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</si>
  <si>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</si>
  <si>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</si>
  <si>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</si>
  <si>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</si>
  <si>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</si>
  <si>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</si>
  <si>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</si>
  <si>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</si>
  <si>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</si>
  <si>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</si>
  <si>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</si>
  <si>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</si>
  <si>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</si>
  <si>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</si>
  <si>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</si>
  <si>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</si>
  <si>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</si>
  <si>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</si>
  <si>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</si>
  <si>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</si>
  <si>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</si>
  <si>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</si>
  <si>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</si>
  <si>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</si>
  <si>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</si>
  <si>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</si>
  <si>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</si>
  <si>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</si>
  <si>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</si>
  <si>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</si>
  <si>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</si>
  <si>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</si>
  <si>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</si>
  <si>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</si>
  <si>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</si>
  <si>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</si>
  <si>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</si>
  <si>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</si>
  <si>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</si>
  <si>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</si>
  <si>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</si>
  <si>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</si>
  <si>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</si>
  <si>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</si>
  <si>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</si>
  <si>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</si>
  <si>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</si>
  <si>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</si>
  <si>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</si>
  <si>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</si>
  <si>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</si>
  <si>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</si>
  <si>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</si>
  <si>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</si>
  <si>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</si>
  <si>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</si>
  <si>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</si>
  <si>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</si>
  <si>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</si>
  <si>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</si>
  <si>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</si>
  <si>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</si>
  <si>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</si>
  <si>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</si>
  <si>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</si>
  <si>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</si>
  <si>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</si>
  <si>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</si>
  <si>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</si>
  <si>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</si>
  <si>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</si>
  <si>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</si>
  <si>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</si>
  <si>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</si>
  <si>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</si>
  <si>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</si>
  <si>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</si>
  <si>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</si>
  <si>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</si>
  <si>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</si>
  <si>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</si>
  <si>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</si>
  <si>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</si>
  <si>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</si>
  <si>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</si>
  <si>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</si>
  <si>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</si>
  <si>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</si>
  <si>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</si>
  <si>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</si>
  <si>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</si>
  <si>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</si>
  <si>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</si>
  <si>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</si>
  <si>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</si>
  <si>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</si>
  <si>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</si>
  <si>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</si>
  <si>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</si>
  <si>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</si>
  <si>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</si>
  <si>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</si>
  <si>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</si>
  <si>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</si>
  <si>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</si>
  <si>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</si>
  <si>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</si>
  <si>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</si>
  <si>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</si>
  <si>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</si>
  <si>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</si>
  <si>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</si>
  <si>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</si>
  <si>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</si>
  <si>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</si>
  <si>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</si>
  <si>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</si>
  <si>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</si>
  <si>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</si>
  <si>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</si>
  <si>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2020-3</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</si>
  <si>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</si>
  <si>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</si>
  <si>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</si>
  <si>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</si>
  <si>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</si>
  <si>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</si>
  <si>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</si>
  <si>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</si>
  <si>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</si>
  <si>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</si>
  <si>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</si>
  <si>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</si>
  <si>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</si>
  <si>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</si>
  <si>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</si>
  <si>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</si>
  <si>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</si>
  <si>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</si>
  <si>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</si>
  <si>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</si>
  <si>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</si>
  <si>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</si>
  <si>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</si>
  <si>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</si>
  <si>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</si>
  <si>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</si>
  <si>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</si>
  <si>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</si>
  <si>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</si>
  <si>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</si>
  <si>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</si>
  <si>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</si>
  <si>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</si>
  <si>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</si>
  <si>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</si>
  <si>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</si>
  <si>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核定资产</t>
  </si>
  <si>
    <t>市场价格</t>
  </si>
  <si>
    <t>企业</t>
  </si>
  <si>
    <t>划拨</t>
  </si>
  <si>
    <t>基准地价</t>
    <phoneticPr fontId="229" type="noConversion"/>
  </si>
  <si>
    <t>剩余法</t>
    <phoneticPr fontId="229" type="noConversion"/>
  </si>
  <si>
    <t>权重</t>
    <phoneticPr fontId="229" type="noConversion"/>
  </si>
  <si>
    <t>单价</t>
    <phoneticPr fontId="229" type="noConversion"/>
  </si>
  <si>
    <t>亩</t>
    <phoneticPr fontId="229" type="noConversion"/>
  </si>
  <si>
    <t>成本逼近</t>
    <phoneticPr fontId="229" type="noConversion"/>
  </si>
  <si>
    <t>成本逼近</t>
    <phoneticPr fontId="229" type="noConversion"/>
  </si>
  <si>
    <t>地上</t>
  </si>
  <si>
    <t>科教用地</t>
  </si>
  <si>
    <t>宗地容积率</t>
  </si>
  <si>
    <t>特殊用地</t>
  </si>
  <si>
    <t>特殊用地</t>
    <phoneticPr fontId="8" type="noConversion"/>
  </si>
  <si>
    <t>成新度</t>
  </si>
  <si>
    <t>不动产收益法</t>
  </si>
  <si>
    <t>与级别开发程度一致</t>
  </si>
  <si>
    <t>按公示增长率计算</t>
  </si>
  <si>
    <t>容积率修正</t>
  </si>
  <si>
    <t>砖混</t>
  </si>
  <si>
    <t>c</t>
    <phoneticPr fontId="4" type="noConversion"/>
  </si>
  <si>
    <t>年度</t>
    <phoneticPr fontId="4" type="noConversion"/>
  </si>
  <si>
    <t>会期</t>
    <phoneticPr fontId="285"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</si>
  <si>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</si>
  <si>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</si>
  <si>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</si>
  <si>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</si>
  <si>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</si>
  <si>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</si>
  <si>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</si>
  <si>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</si>
  <si>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</si>
  <si>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</si>
  <si>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</si>
  <si>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</si>
  <si>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</si>
  <si>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</si>
  <si>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</si>
  <si>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</si>
  <si>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</si>
  <si>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</si>
  <si>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</si>
  <si>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</si>
  <si>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</si>
  <si>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</si>
  <si>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</si>
  <si>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</si>
  <si>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</si>
  <si>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</si>
  <si>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</si>
  <si>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</si>
  <si>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</si>
  <si>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</si>
  <si>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</si>
  <si>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</si>
  <si>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</si>
  <si>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</si>
  <si>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</si>
  <si>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</si>
  <si>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</si>
  <si>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</si>
  <si>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</si>
  <si>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</si>
  <si>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</si>
  <si>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</si>
  <si>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</si>
  <si>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</si>
  <si>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</si>
  <si>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</si>
  <si>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</si>
  <si>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</si>
  <si>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</si>
  <si>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</si>
  <si>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</si>
  <si>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3月</t>
    <phoneticPr fontId="4" type="noConversion"/>
  </si>
  <si>
    <t>怀柔</t>
  </si>
  <si>
    <t>怀柔区怀柔镇04街区HR00-0004-6001、6002、6003、6004地块F2用地及0050地块供燃气用地</t>
    <phoneticPr fontId="4" type="noConversion"/>
  </si>
  <si>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</si>
  <si>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</si>
  <si>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</si>
  <si>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</si>
  <si>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</si>
  <si>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</si>
  <si>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公开出让</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</si>
  <si>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</si>
  <si>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</si>
  <si>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一级开发</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</si>
  <si>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</si>
  <si>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</si>
  <si>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</si>
  <si>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</si>
  <si>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</si>
  <si>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</si>
  <si>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</si>
  <si>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</si>
  <si>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</si>
  <si>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</si>
  <si>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</si>
  <si>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</si>
  <si>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</si>
  <si>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</si>
  <si>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</si>
  <si>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</si>
  <si>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</si>
  <si>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</si>
  <si>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</si>
  <si>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</si>
  <si>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</si>
  <si>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9月</t>
    <phoneticPr fontId="4" type="noConversion"/>
  </si>
  <si>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</si>
  <si>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</si>
  <si>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</si>
  <si>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</si>
  <si>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</si>
  <si>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</si>
  <si>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</si>
  <si>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</si>
  <si>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</si>
  <si>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</si>
  <si>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t>
    <phoneticPr fontId="4" type="noConversion"/>
  </si>
  <si>
    <t>顺义卫星城牛栏山组团东南部土地一级开发项目SY00-0017-6001、1103、1202等地块</t>
    <phoneticPr fontId="4" type="noConversion"/>
  </si>
  <si>
    <t>北京龙湖置业有限公司</t>
    <phoneticPr fontId="4" type="noConversion"/>
  </si>
  <si>
    <t>一级开发</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</si>
  <si>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</si>
  <si>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</si>
  <si>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</si>
  <si>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公开出让</t>
    <phoneticPr fontId="4" type="noConversion"/>
  </si>
  <si>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</si>
  <si>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</si>
  <si>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</si>
  <si>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85" type="noConversion"/>
  </si>
  <si>
    <t>6月</t>
    <phoneticPr fontId="4" type="noConversion"/>
  </si>
  <si>
    <t>昌平</t>
    <phoneticPr fontId="4"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</si>
  <si>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</si>
  <si>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</si>
  <si>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</si>
  <si>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</si>
  <si>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85" type="noConversion"/>
  </si>
  <si>
    <t>8月</t>
    <phoneticPr fontId="4"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</si>
  <si>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</si>
  <si>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</si>
  <si>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</si>
  <si>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</si>
  <si>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</si>
  <si>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</si>
  <si>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</si>
  <si>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</si>
  <si>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</si>
  <si>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</si>
  <si>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</si>
  <si>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phoneticPr fontId="229"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</si>
  <si>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</si>
  <si>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</si>
  <si>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4" type="noConversion"/>
  </si>
  <si>
    <t>第8期</t>
    <phoneticPr fontId="285"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</si>
  <si>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</si>
  <si>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</si>
  <si>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</si>
  <si>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</si>
  <si>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5"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</si>
  <si>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</si>
  <si>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</si>
  <si>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</si>
  <si>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</si>
  <si>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5" type="noConversion"/>
  </si>
  <si>
    <t>12月</t>
    <phoneticPr fontId="4" type="noConversion"/>
  </si>
  <si>
    <t>怀柔区雁栖镇陈各庄村土地一级开发项目</t>
    <phoneticPr fontId="229" type="noConversion"/>
  </si>
  <si>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</si>
  <si>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</si>
  <si>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</si>
  <si>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</si>
  <si>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</si>
  <si>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</si>
  <si>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</si>
  <si>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</si>
  <si>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</si>
  <si>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</si>
  <si>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</si>
  <si>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</si>
  <si>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</si>
  <si>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</si>
  <si>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</si>
  <si>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</si>
  <si>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</si>
  <si>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</si>
  <si>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征收补偿安置费</t>
  </si>
  <si>
    <t>c</t>
    <phoneticPr fontId="4" type="noConversion"/>
  </si>
  <si>
    <t>年度</t>
    <phoneticPr fontId="4" type="noConversion"/>
  </si>
  <si>
    <t>会期</t>
    <phoneticPr fontId="285" type="noConversion"/>
  </si>
  <si>
    <t>月份</t>
    <phoneticPr fontId="4" type="noConversion"/>
  </si>
  <si>
    <t>区县</t>
    <phoneticPr fontId="4" type="noConversion"/>
  </si>
  <si>
    <t>供地方式</t>
    <phoneticPr fontId="4" type="noConversion"/>
  </si>
  <si>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</si>
  <si>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</si>
  <si>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</si>
  <si>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</si>
  <si>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</si>
  <si>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</si>
  <si>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</si>
  <si>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</si>
  <si>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</si>
  <si>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</si>
  <si>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</si>
  <si>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</si>
  <si>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</si>
  <si>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</si>
  <si>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</si>
  <si>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高教园区10号地（南侧）土地一级开发项目17-02-09、10、12地块</t>
    <phoneticPr fontId="4" type="noConversion"/>
  </si>
  <si>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</si>
  <si>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</si>
  <si>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</si>
  <si>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</si>
  <si>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</si>
  <si>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</si>
  <si>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3月</t>
    <phoneticPr fontId="4" type="noConversion"/>
  </si>
  <si>
    <t>房山区青龙湖镇东部局部地块（FS16-0201-0004等地块）
土地一级开发项目</t>
    <phoneticPr fontId="4" type="noConversion"/>
  </si>
  <si>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</si>
  <si>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</si>
  <si>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</si>
  <si>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</si>
  <si>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</si>
  <si>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</si>
  <si>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</si>
  <si>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</si>
  <si>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</si>
  <si>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</si>
  <si>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</si>
  <si>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</si>
  <si>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怀柔区怀柔镇04街区HR00-0004-6001、6002、6003、6004地块F2用地及0050地块供燃气用地</t>
    <phoneticPr fontId="4" type="noConversion"/>
  </si>
  <si>
    <t>北京市土地整理储备中心怀柔区分中心</t>
    <phoneticPr fontId="4" type="noConversion"/>
  </si>
  <si>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</si>
  <si>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</si>
  <si>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</si>
  <si>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</si>
  <si>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</si>
  <si>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</si>
  <si>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</si>
  <si>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</si>
  <si>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6月</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</si>
  <si>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</si>
  <si>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</si>
  <si>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</si>
  <si>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</si>
  <si>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7月</t>
    <phoneticPr fontId="4" type="noConversion"/>
  </si>
  <si>
    <t>大兴</t>
    <phoneticPr fontId="4" type="noConversion"/>
  </si>
  <si>
    <t>大兴开发区北区1号地A、B组团土地一级开发项目DX00-0301-0029、0030、0039、0040、0146地块</t>
    <phoneticPr fontId="4" type="noConversion"/>
  </si>
  <si>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</si>
  <si>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</si>
  <si>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</si>
  <si>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</si>
  <si>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</si>
  <si>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顺义卫星城牛栏山组团东南部土地一级开发项目SY00-0017-6001、1103、1202等地块</t>
    <phoneticPr fontId="4" type="noConversion"/>
  </si>
  <si>
    <t>北京龙湖置业有限公司</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</si>
  <si>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</si>
  <si>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</si>
  <si>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</si>
  <si>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</si>
  <si>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</si>
  <si>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85"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</si>
  <si>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</si>
  <si>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</si>
  <si>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</si>
  <si>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</si>
  <si>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85" type="noConversion"/>
  </si>
  <si>
    <t xml:space="preserve">顺义区后沙峪镇后沙峪村土地一级开发项目A地块19-75地块 </t>
    <phoneticPr fontId="229" type="noConversion"/>
  </si>
  <si>
    <t>市政建设程度为项目红线范围内城市支路的临时三通（通施工临时用水、通施工临时用电、通可供施工车辆通行的道路）和场地自然平整，以上工作已由北京市土地整理储备中心顺义区分中心完成。</t>
    <phoneticPr fontId="294" type="noConversion"/>
  </si>
  <si>
    <t>第8期</t>
    <phoneticPr fontId="285" type="noConversion"/>
  </si>
  <si>
    <t>10月</t>
    <phoneticPr fontId="229" type="noConversion"/>
  </si>
  <si>
    <t>社会停车场、商业金融、托幼用地、居住用地</t>
    <phoneticPr fontId="4" type="noConversion"/>
  </si>
  <si>
    <t>第13期</t>
    <phoneticPr fontId="285" type="noConversion"/>
  </si>
  <si>
    <t>居住用地、综合性商业金融服务业用地、配套教育用地、邮政设施用地</t>
    <phoneticPr fontId="4" type="noConversion"/>
  </si>
  <si>
    <t>第12期</t>
    <phoneticPr fontId="285" type="noConversion"/>
  </si>
  <si>
    <t>12月</t>
    <phoneticPr fontId="4" type="noConversion"/>
  </si>
  <si>
    <t>怀柔区雁栖镇陈各庄村土地一级开发项目</t>
    <phoneticPr fontId="229" type="noConversion"/>
  </si>
  <si>
    <t>押一</t>
  </si>
  <si>
    <t>扣除增值收益率单价（19%）</t>
    <phoneticPr fontId="229" type="noConversion"/>
  </si>
  <si>
    <t>扣除增值收益率单价（25%）</t>
    <phoneticPr fontId="229" type="noConversion"/>
  </si>
  <si>
    <t>Ⅷ-兴1</t>
  </si>
  <si>
    <t>成本逼近法</t>
  </si>
  <si>
    <t>剩余法-现房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</si>
</sst>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9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u/>
      <sz val="12"/>
      <color indexed="12"/>
      <name val="宋体"/>
      <family val="3"/>
      <charset val="134"/>
    </font>
    <font>
      <sz val="11"/>
      <color indexed="42"/>
      <name val="宋体"/>
      <family val="3"/>
      <charset val="134"/>
    </font>
    <font>
      <sz val="11"/>
      <color indexed="62"/>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
      <patternFill patternType="solid">
        <fgColor rgb="FFFFC00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n">
        <color indexed="23"/>
      </left>
      <right style="thin">
        <color indexed="23"/>
      </right>
      <top style="thin">
        <color indexed="23"/>
      </top>
      <bottom style="thin">
        <color indexed="23"/>
      </bottom>
      <diagonal/>
    </border>
  </borders>
  <cellStyleXfs count="2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1" fillId="0" borderId="0">
      <alignment vertical="center"/>
    </xf>
    <xf numFmtId="0" fontId="1" fillId="0" borderId="0">
      <alignment vertical="center"/>
    </xf>
    <xf numFmtId="0" fontId="257" fillId="0" borderId="0"/>
    <xf numFmtId="0" fontId="82" fillId="0" borderId="0">
      <alignment vertical="center"/>
    </xf>
    <xf numFmtId="0" fontId="82" fillId="0" borderId="0">
      <alignment vertical="center"/>
    </xf>
    <xf numFmtId="0" fontId="146" fillId="0" borderId="0">
      <alignment vertical="center"/>
    </xf>
    <xf numFmtId="0" fontId="1" fillId="0" borderId="0">
      <alignment vertical="center"/>
    </xf>
    <xf numFmtId="0" fontId="257" fillId="0" borderId="0"/>
    <xf numFmtId="0" fontId="281" fillId="0" borderId="0" applyNumberFormat="0" applyFill="0" applyBorder="0" applyAlignment="0" applyProtection="0">
      <alignment vertical="top"/>
      <protection locked="0"/>
    </xf>
    <xf numFmtId="0" fontId="282" fillId="20" borderId="0" applyNumberFormat="0" applyBorder="0" applyProtection="0">
      <alignment vertical="center"/>
    </xf>
    <xf numFmtId="0" fontId="282" fillId="21" borderId="0" applyNumberFormat="0" applyBorder="0" applyProtection="0">
      <alignment vertical="center"/>
    </xf>
    <xf numFmtId="0" fontId="282" fillId="22" borderId="0" applyNumberFormat="0" applyBorder="0" applyAlignment="0" applyProtection="0">
      <alignment vertical="center"/>
    </xf>
    <xf numFmtId="0" fontId="283" fillId="23" borderId="157" applyNumberFormat="0" applyProtection="0">
      <alignment vertical="center"/>
    </xf>
  </cellStyleXfs>
  <cellXfs count="3647">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46" fillId="0" borderId="2" xfId="1" applyFont="1" applyBorder="1">
      <alignment vertical="center"/>
    </xf>
    <xf numFmtId="0" fontId="146" fillId="0" borderId="2" xfId="1" applyBorder="1">
      <alignment vertical="center"/>
    </xf>
    <xf numFmtId="0" fontId="146" fillId="0" borderId="0" xfId="1">
      <alignment vertical="center"/>
    </xf>
    <xf numFmtId="0" fontId="146" fillId="6" borderId="2" xfId="1" applyFill="1" applyBorder="1">
      <alignment vertical="center"/>
    </xf>
    <xf numFmtId="0" fontId="146" fillId="0" borderId="0" xfId="1" applyFont="1">
      <alignment vertical="center"/>
    </xf>
    <xf numFmtId="180" fontId="72" fillId="0" borderId="2" xfId="0" applyNumberFormat="1" applyFont="1" applyBorder="1" applyAlignment="1" applyProtection="1">
      <alignment horizontal="center" vertical="center"/>
      <protection locked="0"/>
    </xf>
    <xf numFmtId="0" fontId="285" fillId="0" borderId="0" xfId="16" applyFont="1" applyFill="1" applyBorder="1">
      <alignment vertical="center"/>
    </xf>
    <xf numFmtId="0" fontId="287" fillId="0" borderId="2" xfId="16" applyFont="1" applyFill="1" applyBorder="1" applyAlignment="1">
      <alignment horizontal="center" vertical="center"/>
    </xf>
    <xf numFmtId="0" fontId="285" fillId="0" borderId="0" xfId="16" applyFont="1" applyFill="1" applyBorder="1" applyAlignment="1">
      <alignment vertical="center"/>
    </xf>
    <xf numFmtId="0" fontId="288" fillId="0" borderId="2" xfId="16" applyFont="1" applyFill="1" applyBorder="1" applyAlignment="1">
      <alignment horizontal="center" vertical="center"/>
    </xf>
    <xf numFmtId="0" fontId="289" fillId="0" borderId="2" xfId="16" applyNumberFormat="1" applyFont="1" applyFill="1" applyBorder="1" applyAlignment="1">
      <alignment horizontal="center" vertical="center" wrapText="1"/>
    </xf>
    <xf numFmtId="177" fontId="290" fillId="0" borderId="2" xfId="16" applyNumberFormat="1" applyFont="1" applyFill="1" applyBorder="1" applyAlignment="1">
      <alignment horizontal="center" vertical="center" wrapText="1"/>
    </xf>
    <xf numFmtId="177" fontId="83" fillId="0" borderId="2" xfId="16" applyNumberFormat="1" applyFont="1" applyFill="1" applyBorder="1" applyAlignment="1">
      <alignment horizontal="left" vertical="center" wrapText="1"/>
    </xf>
    <xf numFmtId="0" fontId="291" fillId="0" borderId="21" xfId="16" applyFont="1" applyFill="1" applyBorder="1" applyAlignment="1">
      <alignment horizontal="center" vertical="center"/>
    </xf>
    <xf numFmtId="0" fontId="288" fillId="0" borderId="0" xfId="16" applyFont="1" applyFill="1" applyBorder="1">
      <alignment vertical="center"/>
    </xf>
    <xf numFmtId="0" fontId="291" fillId="0" borderId="0" xfId="16" applyFont="1" applyFill="1" applyBorder="1">
      <alignment vertical="center"/>
    </xf>
    <xf numFmtId="0" fontId="291" fillId="0" borderId="2" xfId="16" applyFont="1" applyFill="1" applyBorder="1" applyAlignment="1">
      <alignment horizontal="center" vertical="center"/>
    </xf>
    <xf numFmtId="177" fontId="128" fillId="0" borderId="2" xfId="16" applyNumberFormat="1" applyFont="1" applyFill="1" applyBorder="1" applyAlignment="1">
      <alignment horizontal="center" vertical="center" wrapText="1"/>
    </xf>
    <xf numFmtId="177" fontId="83" fillId="0" borderId="2" xfId="16" applyNumberFormat="1" applyFont="1" applyFill="1" applyBorder="1" applyAlignment="1" applyProtection="1">
      <alignment horizontal="center" vertical="center" wrapText="1"/>
    </xf>
    <xf numFmtId="177" fontId="289" fillId="0" borderId="2" xfId="16" applyNumberFormat="1" applyFont="1" applyFill="1" applyBorder="1" applyAlignment="1">
      <alignment horizontal="center" vertical="center" wrapText="1"/>
    </xf>
    <xf numFmtId="0" fontId="290" fillId="0" borderId="2" xfId="16" applyNumberFormat="1" applyFont="1" applyFill="1" applyBorder="1" applyAlignment="1">
      <alignment horizontal="center" vertical="center" wrapText="1"/>
    </xf>
    <xf numFmtId="177" fontId="83" fillId="0" borderId="2" xfId="16" applyNumberFormat="1" applyFont="1" applyFill="1" applyBorder="1" applyAlignment="1">
      <alignment horizontal="center" vertical="center" wrapText="1"/>
    </xf>
    <xf numFmtId="177" fontId="128" fillId="0" borderId="2" xfId="16" applyNumberFormat="1" applyFont="1" applyFill="1" applyBorder="1" applyAlignment="1" applyProtection="1">
      <alignment horizontal="center" vertical="center" wrapText="1"/>
    </xf>
    <xf numFmtId="177" fontId="289" fillId="0" borderId="2" xfId="16" applyNumberFormat="1" applyFont="1" applyBorder="1" applyAlignment="1">
      <alignment horizontal="center" vertical="center" wrapText="1"/>
    </xf>
    <xf numFmtId="177" fontId="290" fillId="0" borderId="2" xfId="16" applyNumberFormat="1" applyFont="1" applyBorder="1" applyAlignment="1">
      <alignment horizontal="center" vertical="center" wrapText="1"/>
    </xf>
    <xf numFmtId="0" fontId="291" fillId="0" borderId="10" xfId="16" applyFont="1" applyFill="1" applyBorder="1" applyAlignment="1">
      <alignment horizontal="center" vertical="center"/>
    </xf>
    <xf numFmtId="0" fontId="288" fillId="24" borderId="0" xfId="16" applyFont="1" applyFill="1" applyBorder="1">
      <alignment vertical="center"/>
    </xf>
    <xf numFmtId="177" fontId="289" fillId="0" borderId="0" xfId="16" applyNumberFormat="1" applyFont="1" applyFill="1" applyBorder="1" applyAlignment="1">
      <alignment horizontal="center" vertical="center"/>
    </xf>
    <xf numFmtId="185" fontId="289" fillId="0" borderId="2" xfId="16" applyNumberFormat="1" applyFont="1" applyFill="1" applyBorder="1" applyAlignment="1">
      <alignment horizontal="center" vertical="center" wrapText="1"/>
    </xf>
    <xf numFmtId="0" fontId="135" fillId="0" borderId="0" xfId="16" applyFont="1" applyFill="1" applyBorder="1" applyAlignment="1">
      <alignment horizontal="center" vertical="center"/>
    </xf>
    <xf numFmtId="0" fontId="288" fillId="0" borderId="2" xfId="16" applyFont="1" applyFill="1" applyBorder="1" applyAlignment="1">
      <alignment horizontal="center" vertical="center" wrapText="1"/>
    </xf>
    <xf numFmtId="177" fontId="165" fillId="8" borderId="2" xfId="16" applyNumberFormat="1" applyFont="1" applyFill="1" applyBorder="1" applyAlignment="1">
      <alignment horizontal="center" vertical="center" wrapText="1"/>
    </xf>
    <xf numFmtId="177" fontId="165" fillId="0" borderId="0" xfId="16" applyNumberFormat="1" applyFont="1" applyFill="1" applyBorder="1">
      <alignment vertical="center"/>
    </xf>
    <xf numFmtId="177" fontId="290" fillId="0" borderId="2" xfId="16" applyNumberFormat="1" applyFont="1" applyBorder="1" applyAlignment="1">
      <alignment horizontal="left" vertical="center" wrapText="1"/>
    </xf>
    <xf numFmtId="185" fontId="165" fillId="0" borderId="2" xfId="16" applyNumberFormat="1" applyFont="1" applyFill="1" applyBorder="1" applyAlignment="1">
      <alignment horizontal="center" vertical="center" wrapText="1"/>
    </xf>
    <xf numFmtId="195" fontId="289" fillId="0" borderId="2" xfId="19" applyNumberFormat="1" applyFont="1" applyFill="1" applyBorder="1" applyAlignment="1">
      <alignment horizontal="center" vertical="center" wrapText="1"/>
    </xf>
    <xf numFmtId="177" fontId="289" fillId="0" borderId="2" xfId="16" applyNumberFormat="1" applyFont="1" applyFill="1" applyBorder="1" applyAlignment="1">
      <alignment horizontal="left" vertical="center" wrapText="1"/>
    </xf>
    <xf numFmtId="0" fontId="289" fillId="0" borderId="2" xfId="19" applyFont="1" applyFill="1" applyBorder="1" applyAlignment="1">
      <alignment horizontal="center" vertical="center" wrapText="1"/>
    </xf>
    <xf numFmtId="0" fontId="165" fillId="0" borderId="0" xfId="16" applyFont="1" applyFill="1" applyBorder="1" applyAlignment="1">
      <alignment horizontal="center" vertical="center"/>
    </xf>
    <xf numFmtId="0" fontId="165" fillId="0" borderId="2" xfId="16" applyFont="1" applyFill="1" applyBorder="1" applyAlignment="1">
      <alignment horizontal="center" vertical="center"/>
    </xf>
    <xf numFmtId="0" fontId="128" fillId="0" borderId="2" xfId="16" applyFont="1" applyFill="1" applyBorder="1" applyAlignment="1">
      <alignment horizontal="center" vertical="center" wrapText="1"/>
    </xf>
    <xf numFmtId="177" fontId="83" fillId="0" borderId="2" xfId="16" applyNumberFormat="1" applyFont="1" applyBorder="1" applyAlignment="1">
      <alignment horizontal="center" vertical="center" wrapText="1"/>
    </xf>
    <xf numFmtId="177" fontId="83" fillId="0" borderId="2" xfId="16" applyNumberFormat="1" applyFont="1" applyBorder="1" applyAlignment="1">
      <alignment horizontal="left" vertical="center" wrapText="1"/>
    </xf>
    <xf numFmtId="0" fontId="128" fillId="0" borderId="2" xfId="16" applyFont="1" applyFill="1" applyBorder="1" applyAlignment="1">
      <alignment horizontal="center" vertical="center"/>
    </xf>
    <xf numFmtId="177" fontId="292" fillId="0" borderId="2" xfId="16" applyNumberFormat="1" applyFont="1" applyFill="1" applyBorder="1" applyAlignment="1">
      <alignment horizontal="center" vertical="center"/>
    </xf>
    <xf numFmtId="177" fontId="292" fillId="0" borderId="0" xfId="16" applyNumberFormat="1" applyFont="1" applyFill="1" applyBorder="1" applyAlignment="1">
      <alignment vertical="center"/>
    </xf>
    <xf numFmtId="0" fontId="83" fillId="0" borderId="2" xfId="19" applyFont="1" applyFill="1" applyBorder="1" applyAlignment="1">
      <alignment horizontal="center" vertical="center" wrapText="1"/>
    </xf>
    <xf numFmtId="185" fontId="128" fillId="0" borderId="2" xfId="16" applyNumberFormat="1" applyFont="1" applyFill="1" applyBorder="1" applyAlignment="1">
      <alignment horizontal="center" vertical="center" wrapText="1"/>
    </xf>
    <xf numFmtId="0" fontId="83" fillId="0" borderId="10" xfId="19" applyFont="1" applyFill="1" applyBorder="1" applyAlignment="1">
      <alignment horizontal="center" vertical="center" wrapText="1"/>
    </xf>
    <xf numFmtId="0" fontId="201" fillId="0" borderId="2" xfId="16" applyFont="1" applyFill="1" applyBorder="1" applyAlignment="1">
      <alignment horizontal="center" vertical="center"/>
    </xf>
    <xf numFmtId="195" fontId="83" fillId="0" borderId="2" xfId="19" applyNumberFormat="1" applyFont="1" applyFill="1" applyBorder="1" applyAlignment="1">
      <alignment horizontal="center" vertical="center" wrapText="1"/>
    </xf>
    <xf numFmtId="0" fontId="83" fillId="0" borderId="21" xfId="19" applyFont="1" applyFill="1" applyBorder="1" applyAlignment="1">
      <alignment horizontal="center" vertical="center" wrapText="1"/>
    </xf>
    <xf numFmtId="0" fontId="285" fillId="0" borderId="0" xfId="16" applyFont="1" applyFill="1" applyBorder="1" applyAlignment="1">
      <alignment horizontal="left" vertical="center"/>
    </xf>
    <xf numFmtId="0" fontId="285" fillId="0" borderId="0" xfId="16" applyFont="1" applyFill="1" applyBorder="1" applyAlignment="1">
      <alignment horizontal="center" vertical="center"/>
    </xf>
    <xf numFmtId="177" fontId="285" fillId="0" borderId="0" xfId="16" applyNumberFormat="1" applyFont="1" applyFill="1" applyBorder="1" applyAlignment="1">
      <alignment horizontal="center" vertical="center"/>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237" fillId="12" borderId="129"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86" fillId="0" borderId="2" xfId="19" applyFont="1" applyFill="1" applyBorder="1" applyAlignment="1">
      <alignment horizontal="center" vertical="center" wrapText="1"/>
    </xf>
    <xf numFmtId="0" fontId="286" fillId="0" borderId="2" xfId="19" applyFont="1" applyFill="1" applyBorder="1" applyAlignment="1">
      <alignment horizontal="center" vertical="center"/>
    </xf>
    <xf numFmtId="0" fontId="287" fillId="0" borderId="2" xfId="16" applyFont="1" applyFill="1" applyBorder="1" applyAlignment="1">
      <alignment horizontal="center" vertical="center" wrapText="1"/>
    </xf>
    <xf numFmtId="0" fontId="287" fillId="0" borderId="2" xfId="16" applyFont="1" applyFill="1" applyBorder="1" applyAlignment="1">
      <alignment horizontal="center" vertical="center"/>
    </xf>
    <xf numFmtId="0" fontId="284" fillId="0" borderId="17" xfId="20" applyFont="1" applyFill="1" applyBorder="1" applyAlignment="1">
      <alignment horizontal="center" vertical="center" wrapText="1"/>
    </xf>
    <xf numFmtId="0" fontId="284" fillId="0" borderId="19" xfId="20" applyFont="1" applyFill="1" applyBorder="1" applyAlignment="1">
      <alignment horizontal="center" vertical="center" wrapText="1"/>
    </xf>
    <xf numFmtId="195" fontId="286" fillId="0" borderId="2" xfId="19" applyNumberFormat="1" applyFont="1" applyFill="1" applyBorder="1" applyAlignment="1">
      <alignment horizontal="center" vertical="center" wrapText="1"/>
    </xf>
    <xf numFmtId="195" fontId="286" fillId="0" borderId="2" xfId="19" applyNumberFormat="1" applyFont="1" applyFill="1" applyBorder="1" applyAlignment="1">
      <alignment horizontal="center" vertical="center"/>
    </xf>
  </cellXfs>
  <cellStyles count="29">
    <cellStyle name="百分比 2" xfId="11"/>
    <cellStyle name="常规" xfId="0" builtinId="0"/>
    <cellStyle name="常规 10" xfId="16"/>
    <cellStyle name="常规 11" xfId="17"/>
    <cellStyle name="常规 12" xfId="18"/>
    <cellStyle name="常规 16" xfId="1"/>
    <cellStyle name="常规 2" xfId="2"/>
    <cellStyle name="常规 2 2" xfId="3"/>
    <cellStyle name="常规 2 2 2" xfId="19"/>
    <cellStyle name="常规 2 2 2 2 3" xfId="12"/>
    <cellStyle name="常规 2 3" xfId="20"/>
    <cellStyle name="常规 3" xfId="4"/>
    <cellStyle name="常规 3 2" xfId="5"/>
    <cellStyle name="常规 4" xfId="6"/>
    <cellStyle name="常规 4 2 2" xfId="21"/>
    <cellStyle name="常规 5" xfId="7"/>
    <cellStyle name="常规 6" xfId="8"/>
    <cellStyle name="常规 6 2" xfId="10"/>
    <cellStyle name="常规 6 2 2" xfId="13"/>
    <cellStyle name="常规 7" xfId="9"/>
    <cellStyle name="常规 8" xfId="15"/>
    <cellStyle name="常规 8 2" xfId="22"/>
    <cellStyle name="常规 9" xfId="14"/>
    <cellStyle name="常规 9 2" xfId="23"/>
    <cellStyle name="超链接 2" xfId="24"/>
    <cellStyle name="强调文字颜色 2 2 2_Sheet1_2_Sheet1_1" xfId="25"/>
    <cellStyle name="强调文字颜色 5 2 2" xfId="26"/>
    <cellStyle name="强调文字颜色 6 2 2" xfId="27"/>
    <cellStyle name="输入 2 2_Sheet1_5" xfId="28"/>
  </cellStyles>
  <dxfs count="216">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7</xdr:col>
      <xdr:colOff>627971</xdr:colOff>
      <xdr:row>41</xdr:row>
      <xdr:rowOff>170872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571750"/>
          <a:ext cx="5438096" cy="46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408324</xdr:colOff>
      <xdr:row>29</xdr:row>
      <xdr:rowOff>27950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009524" cy="5000000"/>
        </a:xfrm>
        <a:prstGeom prst="rect">
          <a:avLst/>
        </a:prstGeom>
      </xdr:spPr>
    </xdr:pic>
    <xdr:clientData/>
  </xdr:twoCellAnchor>
  <xdr:twoCellAnchor editAs="oneCell">
    <xdr:from>
      <xdr:col>0</xdr:col>
      <xdr:colOff>0</xdr:colOff>
      <xdr:row>30</xdr:row>
      <xdr:rowOff>0</xdr:rowOff>
    </xdr:from>
    <xdr:to>
      <xdr:col>14</xdr:col>
      <xdr:colOff>303563</xdr:colOff>
      <xdr:row>58</xdr:row>
      <xdr:rowOff>161305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9904763" cy="4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6426;&#21153;&#384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G/Documents/WeChat%20Files/wxid_ss5hjordqjde22/FileStorage/File/2020-06/&#27979;&#31639;&#8212;&#8212;&#27719;&#24635;-&#26472;11-&#26472;&#32418;&#33521;20190709-1419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0-06\&#27979;&#31639;&#8212;&#8212;&#27719;&#24635;-&#26472;11-&#26472;&#32418;&#33521;20190709-1419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
      <sheetName val="成本逼近法"/>
      <sheetName val="剩余法-待开发"/>
      <sheetName val="土地案例"/>
      <sheetName val="基准地价"/>
      <sheetName val="剩余法-现房"/>
      <sheetName val="比较法-住宅、综合"/>
      <sheetName val="比较法-工业"/>
      <sheetName val="修正"/>
      <sheetName val="区片价"/>
      <sheetName val="容积率修正"/>
      <sheetName val="因素修正幅度"/>
      <sheetName val="基准地价（汇总）"/>
      <sheetName val="不动产收益法"/>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收益还原法"/>
      <sheetName val="地价"/>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工业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sheetData sheetId="19" refreshError="1"/>
      <sheetData sheetId="20"/>
      <sheetData sheetId="21"/>
      <sheetData sheetId="22"/>
      <sheetData sheetId="23">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北京市划拨国有建设用地使用权市场价格预评估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受贵公司委托，我公司对北京市划拨国有建设用地使用权市场价格进行了预评估。</v>
      </c>
      <c r="AM6" s="2619"/>
    </row>
    <row r="7" spans="1:55" s="2593" customFormat="1">
      <c r="A7" s="2594" t="s">
        <v>2638</v>
      </c>
      <c r="B7" s="2595" t="str">
        <f>'预评函-1'!A6</f>
        <v>估价对象为使用的、位于北京市划拨国有建设用地使用权。根据《国有土地使用证》[]，估价对象（分摊）划拨国有建设用地使用权面积为23300平方米。根据《建设工程规划许可证》[]、《出让合同》[]，估价对象规划建筑面积为23300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本次评估为委托估价方了解标的物之市场价格提供参考依据而评估划拨国有建设用地使用权市场价格。</v>
      </c>
    </row>
    <row r="10" spans="1:55" s="2593" customFormat="1">
      <c r="A10" s="2594" t="s">
        <v>2640</v>
      </c>
      <c r="B10" s="2595" t="str">
        <f>'预评函-1'!A11</f>
        <v>2020年8月28日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根据《国有土地使用证》[]，估价对象（分摊）出让国有建设用地使用权面积为23300平方米。根据《建设工程规划许可证》[]、《出让合同》[]，估价对象规划建筑面积为23300平方米。</v>
      </c>
    </row>
    <row r="16" spans="1:55" s="2593" customFormat="1">
      <c r="A16" s="2594" t="s">
        <v>2650</v>
      </c>
      <c r="B16" s="2595" t="str">
        <f>'预评函-1'!A22</f>
        <v>本次估价对象国有建设用地使用权类型为划拨，无土地使用年限限制。</v>
      </c>
    </row>
    <row r="17" spans="1:48" s="2593" customFormat="1">
      <c r="A17" s="2594" t="s">
        <v>2651</v>
      </c>
      <c r="B17" s="2595" t="str">
        <f>'预评函-1'!A23</f>
        <v/>
      </c>
    </row>
    <row r="18" spans="1:48" s="2593" customFormat="1">
      <c r="A18" s="2594" t="s">
        <v>2652</v>
      </c>
      <c r="B18" s="2595" t="str">
        <f>'预评函-1'!A25</f>
        <v>本次估价的“划拨国有建设用地使用权价格”是指在估价对象土地所有权为国家所有，使用权性质为划拨，在公开市场条件下，于估价期日2020年8月28日在规划利用条件下、设定土地开发程度为红线外“七通”、宗地内场地，设定用途为的划拨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23" spans="1:48">
      <c r="A23" s="2594" t="s">
        <v>2657</v>
      </c>
      <c r="B23" s="2595" t="str">
        <f>'预评函-2'!K2</f>
        <v>估价期日：2020年8月28日</v>
      </c>
    </row>
    <row r="24" spans="1:48">
      <c r="A24" s="2594" t="s">
        <v>2658</v>
      </c>
      <c r="B24" s="2595" t="str">
        <f>'预评函-2'!R2</f>
        <v>估价期日的国有建设用地使用权性质：划拨</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t="str">
        <f>'预评函-2'!M5</f>
        <v>——</v>
      </c>
    </row>
    <row r="42" spans="1:2">
      <c r="A42" s="2594" t="s">
        <v>2720</v>
      </c>
      <c r="B42" s="2595" t="str">
        <f>'预评函-2'!N3</f>
        <v>（分摊）划拨国有建设用地使用权面积/㎡</v>
      </c>
    </row>
    <row r="43" spans="1:2">
      <c r="A43" s="2594" t="s">
        <v>2702</v>
      </c>
      <c r="B43" s="2595">
        <f>'预评函-2'!N5</f>
        <v>23300</v>
      </c>
    </row>
    <row r="44" spans="1:2">
      <c r="A44" s="2594" t="s">
        <v>2721</v>
      </c>
      <c r="B44" s="2595" t="str">
        <f>'预评函-2'!O3</f>
        <v>规划建筑面积/㎡</v>
      </c>
    </row>
    <row r="45" spans="1:2">
      <c r="A45" s="2594" t="s">
        <v>2703</v>
      </c>
      <c r="B45" s="2595">
        <f>'预评函-2'!O5</f>
        <v>23300</v>
      </c>
    </row>
    <row r="46" spans="1:2">
      <c r="A46" s="2594" t="s">
        <v>2704</v>
      </c>
      <c r="B46" s="2595">
        <f ca="1">'预评函-2'!P5</f>
        <v>6218</v>
      </c>
    </row>
    <row r="47" spans="1:2">
      <c r="A47" s="2594" t="s">
        <v>2705</v>
      </c>
      <c r="B47" s="2595">
        <f ca="1">'预评函-2'!Q5</f>
        <v>6218</v>
      </c>
    </row>
    <row r="48" spans="1:2">
      <c r="A48" s="2594" t="s">
        <v>2706</v>
      </c>
      <c r="B48" s="2595">
        <f ca="1">'预评函-2'!R5</f>
        <v>14488</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E45" sqref="E45"/>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79" t="str">
        <f>IF(B10="北京市","北京市",C10)&amp;F10&amp;B16&amp;"国有建设用地使用权"&amp;B9&amp;"预评估"</f>
        <v>北京市划拨国有建设用地使用权市场价格预评估</v>
      </c>
      <c r="C1" s="3380"/>
      <c r="D1" s="3380"/>
      <c r="E1" s="3380"/>
      <c r="F1" s="3380"/>
      <c r="G1" s="3380"/>
      <c r="H1" s="3380"/>
      <c r="I1" s="3381"/>
      <c r="J1" s="3073"/>
      <c r="K1" s="2309" t="str">
        <f>IF(B10="北京市","北京市",C10)&amp;F10&amp;B16&amp;"国有建设用地使用权"&amp;B9</f>
        <v>北京市划拨国有建设用地使用权市场价格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北京市划拨国有建设用地使用权</v>
      </c>
      <c r="L2" s="3052"/>
      <c r="M2" s="3052"/>
      <c r="N2" s="3053"/>
      <c r="O2" s="3054"/>
      <c r="P2" s="3053"/>
      <c r="Q2" s="3053"/>
      <c r="R2" s="3053"/>
      <c r="S2" s="3053"/>
      <c r="T2" s="3053"/>
      <c r="U2" s="3053"/>
    </row>
    <row r="3" spans="1:21">
      <c r="A3" s="1588" t="s">
        <v>1928</v>
      </c>
      <c r="B3" s="1589"/>
      <c r="C3" s="2996" t="s">
        <v>1984</v>
      </c>
      <c r="D3" s="1589">
        <v>44071</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2867</v>
      </c>
      <c r="C4" s="1758">
        <f>SUMIF(土地估价师,B4,估价师及机构信息!E3:E16)</f>
        <v>0</v>
      </c>
      <c r="D4" s="1755" t="s">
        <v>2867</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2998</v>
      </c>
      <c r="C8" s="1598"/>
      <c r="D8" s="3385"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2999</v>
      </c>
      <c r="C9" s="1601"/>
      <c r="D9" s="3386"/>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3000</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82"/>
      <c r="C12" s="3383"/>
      <c r="D12" s="3384"/>
      <c r="E12" s="1620" t="s">
        <v>2050</v>
      </c>
      <c r="F12" s="3400" t="s">
        <v>2868</v>
      </c>
      <c r="G12" s="3401"/>
      <c r="H12" s="3401"/>
      <c r="I12" s="3402"/>
      <c r="J12" s="3073"/>
      <c r="K12" s="3056"/>
      <c r="L12" s="3052"/>
      <c r="M12" s="3052"/>
      <c r="N12" s="3053"/>
      <c r="O12" s="3054"/>
      <c r="P12" s="3053"/>
      <c r="Q12" s="3053"/>
      <c r="R12" s="3053"/>
      <c r="S12" s="3053"/>
      <c r="T12" s="3053"/>
      <c r="U12" s="3053"/>
    </row>
    <row r="13" spans="1:21">
      <c r="A13" s="1611" t="s">
        <v>2048</v>
      </c>
      <c r="B13" s="3382"/>
      <c r="C13" s="3383"/>
      <c r="D13" s="3384"/>
      <c r="E13" s="1620" t="s">
        <v>2050</v>
      </c>
      <c r="F13" s="3400" t="s">
        <v>2869</v>
      </c>
      <c r="G13" s="3401"/>
      <c r="H13" s="3401"/>
      <c r="I13" s="3402"/>
      <c r="J13" s="3073"/>
      <c r="K13" s="3056"/>
      <c r="L13" s="3052"/>
      <c r="M13" s="3052"/>
      <c r="N13" s="3053"/>
      <c r="O13" s="3054"/>
      <c r="P13" s="3053"/>
      <c r="Q13" s="3053"/>
      <c r="R13" s="3053"/>
      <c r="S13" s="3053"/>
      <c r="T13" s="3053"/>
      <c r="U13" s="3053"/>
    </row>
    <row r="14" spans="1:21">
      <c r="A14" s="1588" t="s">
        <v>2051</v>
      </c>
      <c r="B14" s="1620"/>
      <c r="C14" s="1757"/>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c r="A16" s="3001" t="s">
        <v>1936</v>
      </c>
      <c r="B16" s="1606" t="s">
        <v>3001</v>
      </c>
      <c r="C16" s="1620" t="s">
        <v>1937</v>
      </c>
      <c r="D16" s="2487" t="s">
        <v>1938</v>
      </c>
      <c r="E16" s="1642"/>
      <c r="F16" s="1642" t="s">
        <v>1668</v>
      </c>
      <c r="G16" s="1642"/>
      <c r="H16" s="1642"/>
      <c r="I16" s="1610" t="s">
        <v>1943</v>
      </c>
      <c r="J16" s="3073"/>
      <c r="K16" s="2310" t="str">
        <f>IF(D17="","",D16&amp;TEXT(D17,"yyyy年m月d日;;"))</f>
        <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
      </c>
    </row>
    <row r="17" spans="1:21">
      <c r="A17" s="1679"/>
      <c r="B17" s="1607"/>
      <c r="C17" s="3002" t="s">
        <v>1944</v>
      </c>
      <c r="D17" s="3277"/>
      <c r="E17" s="3277"/>
      <c r="F17" s="3277"/>
      <c r="G17" s="3277"/>
      <c r="H17" s="3277"/>
      <c r="I17" s="3277"/>
      <c r="J17" s="3073"/>
      <c r="K17" s="3051" t="str">
        <f>CONCATENATE(K16,L16,M16,N16,O16,P16,Q16,R16,S16,T16,,U16)</f>
        <v/>
      </c>
      <c r="L17" s="3052"/>
      <c r="M17" s="3052"/>
      <c r="N17" s="3053"/>
      <c r="O17" s="3054"/>
      <c r="P17" s="3053"/>
      <c r="Q17" s="3053"/>
      <c r="R17" s="3053"/>
      <c r="S17" s="3053"/>
      <c r="T17" s="3053"/>
      <c r="U17" s="3053"/>
    </row>
    <row r="18" spans="1:21">
      <c r="A18" s="1679"/>
      <c r="B18" s="1607"/>
      <c r="C18" s="3002" t="s">
        <v>1945</v>
      </c>
      <c r="D18" s="1608"/>
      <c r="E18" s="1608"/>
      <c r="F18" s="1608">
        <v>50</v>
      </c>
      <c r="G18" s="1608"/>
      <c r="H18" s="1608"/>
      <c r="I18" s="1608"/>
      <c r="J18" s="3073"/>
      <c r="K18" s="3056"/>
      <c r="L18" s="3052"/>
      <c r="M18" s="3052"/>
      <c r="N18" s="3053"/>
      <c r="O18" s="3054"/>
      <c r="P18" s="3053"/>
      <c r="Q18" s="3053"/>
      <c r="R18" s="3053"/>
      <c r="S18" s="3053"/>
      <c r="T18" s="3053"/>
      <c r="U18" s="3053"/>
    </row>
    <row r="19" spans="1:21">
      <c r="A19" s="1679"/>
      <c r="B19" s="1607"/>
      <c r="C19" s="1587" t="s">
        <v>1946</v>
      </c>
      <c r="D19" s="1674">
        <f>IF(B16="出让",IF(D17="","",ROUNDDOWN(MIN((D17-$D$3)/365,D18),2)),D18)</f>
        <v>0</v>
      </c>
      <c r="E19" s="1609">
        <f>IF(B16="出让",IF(E17="","",ROUNDDOWN(MIN((E17-$D$3)/365,E18),2)),E18)</f>
        <v>0</v>
      </c>
      <c r="F19" s="1609">
        <f>IF(B16="出让",IF(F17="","",ROUNDDOWN(MIN((F17-$D$3)/365,F18),2)),F18)</f>
        <v>50</v>
      </c>
      <c r="G19" s="1609">
        <f>IF(B16="出让",IF(G17="","",ROUNDDOWN(MIN((G17-$D$3)/365,G18),2)),G18)</f>
        <v>0</v>
      </c>
      <c r="H19" s="1609">
        <f>IF(B16="出让",IF(H17="","",ROUNDDOWN(MIN((H17-$D$3)/365,H18),2)),H18)</f>
        <v>0</v>
      </c>
      <c r="I19" s="1609">
        <f>IF(B16="出让",IF(I17="","",ROUNDDOWN(MIN((I17-$D$3)/365,I18),2)),I18)</f>
        <v>0</v>
      </c>
      <c r="J19" s="3073"/>
      <c r="K19" s="3056"/>
      <c r="L19" s="3052"/>
      <c r="M19" s="3052"/>
      <c r="N19" s="3053"/>
      <c r="O19" s="3054"/>
      <c r="P19" s="3053"/>
      <c r="Q19" s="3053"/>
      <c r="R19" s="3053"/>
      <c r="S19" s="3053"/>
      <c r="T19" s="3053"/>
      <c r="U19" s="3053"/>
    </row>
    <row r="20" spans="1:21">
      <c r="A20" s="1699"/>
      <c r="B20" s="1700"/>
      <c r="C20" s="1701" t="s">
        <v>2049</v>
      </c>
      <c r="D20" s="3397"/>
      <c r="E20" s="3398"/>
      <c r="F20" s="3398"/>
      <c r="G20" s="3398"/>
      <c r="H20" s="3398"/>
      <c r="I20" s="3399"/>
      <c r="J20" s="3073"/>
      <c r="K20" s="3056"/>
      <c r="L20" s="3052"/>
      <c r="M20" s="3052"/>
      <c r="N20" s="3053"/>
      <c r="O20" s="3054"/>
      <c r="P20" s="3053"/>
      <c r="Q20" s="3053"/>
      <c r="R20" s="3053"/>
      <c r="S20" s="3053"/>
      <c r="T20" s="3053"/>
      <c r="U20" s="3053"/>
    </row>
    <row r="21" spans="1:21">
      <c r="A21" s="1679" t="s">
        <v>1947</v>
      </c>
      <c r="B21" s="1680" t="s">
        <v>1948</v>
      </c>
      <c r="C21" s="1675">
        <f>'数据-汇总表'!E3</f>
        <v>23300</v>
      </c>
      <c r="D21" s="1676" t="s">
        <v>1949</v>
      </c>
      <c r="E21" s="3387" t="s">
        <v>1987</v>
      </c>
      <c r="F21" s="3388"/>
      <c r="G21" s="3388"/>
      <c r="H21" s="3388"/>
      <c r="I21" s="3389"/>
      <c r="J21" s="3073"/>
      <c r="K21" s="3056"/>
      <c r="L21" s="3052"/>
      <c r="M21" s="3052"/>
      <c r="N21" s="3053"/>
      <c r="O21" s="3054"/>
      <c r="P21" s="3053"/>
      <c r="Q21" s="3053"/>
      <c r="R21" s="3053"/>
      <c r="S21" s="3053"/>
      <c r="T21" s="3053"/>
      <c r="U21" s="3053"/>
    </row>
    <row r="22" spans="1:21">
      <c r="A22" s="2801" t="s">
        <v>943</v>
      </c>
      <c r="B22" s="1588" t="s">
        <v>1950</v>
      </c>
      <c r="C22" s="1610">
        <f>'数据-汇总表'!D3</f>
        <v>23300</v>
      </c>
      <c r="D22" s="1611" t="s">
        <v>1949</v>
      </c>
      <c r="E22" s="3387" t="s">
        <v>2870</v>
      </c>
      <c r="F22" s="3388"/>
      <c r="G22" s="3388"/>
      <c r="H22" s="3388"/>
      <c r="I22" s="3389"/>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90" t="s">
        <v>1955</v>
      </c>
      <c r="C24" s="3391"/>
      <c r="D24" s="3392" t="s">
        <v>1956</v>
      </c>
      <c r="E24" s="3393"/>
      <c r="F24" s="1628" t="s">
        <v>1957</v>
      </c>
      <c r="G24" s="3073"/>
      <c r="H24" s="3073"/>
      <c r="I24" s="3077"/>
      <c r="J24" s="3073"/>
      <c r="K24" s="3378"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78"/>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78"/>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64" t="s">
        <v>1990</v>
      </c>
      <c r="B31" s="1680" t="s">
        <v>1991</v>
      </c>
      <c r="C31" s="3403"/>
      <c r="D31" s="3404"/>
      <c r="E31" s="3073"/>
      <c r="F31" s="3073"/>
      <c r="G31" s="3073"/>
      <c r="H31" s="3073"/>
      <c r="I31" s="3077"/>
      <c r="J31" s="3073"/>
      <c r="K31" s="3059"/>
      <c r="L31" s="3053"/>
      <c r="M31" s="3053"/>
      <c r="N31" s="3053"/>
      <c r="O31" s="3053"/>
      <c r="P31" s="3053"/>
      <c r="Q31" s="3053"/>
      <c r="R31" s="3053"/>
      <c r="S31" s="3053"/>
      <c r="T31" s="3053"/>
      <c r="U31" s="3053"/>
    </row>
    <row r="32" spans="1:21">
      <c r="A32" s="3364"/>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64"/>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65"/>
      <c r="B34" s="1588" t="s">
        <v>1994</v>
      </c>
      <c r="C34" s="3366"/>
      <c r="D34" s="3367"/>
      <c r="E34" s="3073"/>
      <c r="F34" s="3073"/>
      <c r="G34" s="3073"/>
      <c r="H34" s="3073"/>
      <c r="I34" s="3077"/>
      <c r="J34" s="3073"/>
      <c r="K34" s="3059"/>
      <c r="L34" s="3053"/>
      <c r="M34" s="3053"/>
      <c r="N34" s="3053"/>
      <c r="O34" s="3053"/>
      <c r="P34" s="3053"/>
      <c r="Q34" s="3053"/>
      <c r="R34" s="3053"/>
      <c r="S34" s="3053"/>
      <c r="T34" s="3053"/>
      <c r="U34" s="3053"/>
    </row>
    <row r="35" spans="1:28">
      <c r="A35" s="3368" t="s">
        <v>839</v>
      </c>
      <c r="B35" s="1642"/>
      <c r="C35" s="1689" t="str">
        <f>IF(B35="场地平整","——","具体情况：")</f>
        <v>具体情况：</v>
      </c>
      <c r="D35" s="3370"/>
      <c r="E35" s="3371"/>
      <c r="F35" s="3371"/>
      <c r="G35" s="3371"/>
      <c r="H35" s="3371"/>
      <c r="I35" s="3372"/>
      <c r="J35" s="3073"/>
      <c r="K35" s="3060"/>
      <c r="L35" s="3052"/>
      <c r="M35" s="3052"/>
      <c r="N35" s="3053"/>
      <c r="O35" s="3054"/>
      <c r="P35" s="3053"/>
      <c r="Q35" s="3053"/>
      <c r="R35" s="3053"/>
      <c r="S35" s="3053"/>
      <c r="T35" s="3053"/>
      <c r="U35" s="3053"/>
    </row>
    <row r="36" spans="1:28">
      <c r="A36" s="3364"/>
      <c r="B36" s="3373" t="s">
        <v>2043</v>
      </c>
      <c r="C36" s="3374"/>
      <c r="D36" s="1705"/>
      <c r="E36" s="3375"/>
      <c r="F36" s="3375"/>
      <c r="G36" s="1611" t="str">
        <f>IF(B35="场地未平整","估价结果处理","")</f>
        <v/>
      </c>
      <c r="H36" s="3376"/>
      <c r="I36" s="3376"/>
      <c r="J36" s="3073"/>
      <c r="K36" s="3060"/>
      <c r="L36" s="3052"/>
      <c r="M36" s="3052"/>
      <c r="N36" s="3053"/>
      <c r="O36" s="3054"/>
      <c r="P36" s="3053"/>
      <c r="Q36" s="3053"/>
      <c r="R36" s="3053"/>
      <c r="S36" s="3053"/>
      <c r="T36" s="3053"/>
      <c r="U36" s="3053"/>
    </row>
    <row r="37" spans="1:28" ht="28.5">
      <c r="A37" s="3364"/>
      <c r="B37" s="3394"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64"/>
      <c r="B38" s="3395"/>
      <c r="C38" s="1596" t="s">
        <v>842</v>
      </c>
      <c r="D38" s="1704">
        <f>ROUNDDOWN(MIN(('数据-取费表'!$B$2-D37)/365,D34),1)</f>
        <v>120.7</v>
      </c>
      <c r="E38" s="1647" t="s">
        <v>843</v>
      </c>
      <c r="F38" s="3073"/>
      <c r="G38" s="3073"/>
      <c r="H38" s="3073"/>
      <c r="I38" s="3077"/>
      <c r="J38" s="3073"/>
      <c r="K38" s="3060"/>
      <c r="L38" s="3053"/>
      <c r="M38" s="3053"/>
      <c r="N38" s="3053"/>
      <c r="O38" s="3053"/>
      <c r="P38" s="3053"/>
      <c r="Q38" s="3053"/>
      <c r="R38" s="3053"/>
      <c r="S38" s="3053"/>
      <c r="T38" s="3053"/>
      <c r="U38" s="3053"/>
    </row>
    <row r="39" spans="1:28">
      <c r="A39" s="3365"/>
      <c r="B39" s="3396"/>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77" t="s">
        <v>1974</v>
      </c>
      <c r="T40" s="1651" t="str">
        <f>NUMBERSTRING(7-K40,1)&amp;"通"</f>
        <v>七通</v>
      </c>
      <c r="U40" s="3053"/>
    </row>
    <row r="41" spans="1:28">
      <c r="A41" s="1590"/>
      <c r="B41" s="3369" t="s">
        <v>1712</v>
      </c>
      <c r="C41" s="3369"/>
      <c r="D41" s="3369"/>
      <c r="E41" s="3369"/>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77"/>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t="s">
        <v>1404</v>
      </c>
      <c r="D43" s="1657"/>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t="s">
        <v>3277</v>
      </c>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23300</v>
      </c>
      <c r="B3" s="22">
        <f>IF(C3="否",G5-AT5,G5)</f>
        <v>23300</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23300</v>
      </c>
      <c r="H5" s="27">
        <f t="shared" ref="H5:AT5" si="0">SUM(H13:H641)</f>
        <v>23300</v>
      </c>
      <c r="I5" s="27">
        <f t="shared" si="0"/>
        <v>23300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23300</v>
      </c>
      <c r="BA5" s="29">
        <f t="shared" si="1"/>
        <v>23300</v>
      </c>
      <c r="BB5" s="29">
        <f t="shared" si="1"/>
        <v>23300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23300</v>
      </c>
      <c r="F6" s="27" t="s">
        <v>1</v>
      </c>
      <c r="G6" s="27" t="s">
        <v>2</v>
      </c>
      <c r="H6" s="33">
        <f>SUMIF(I$12:AB$12,"总值",I6:AB6)</f>
        <v>23300</v>
      </c>
      <c r="I6" s="27">
        <f t="shared" ref="I6:AB6" si="2">ROUND($A$3*I5/$B$3,2)</f>
        <v>23300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23300</v>
      </c>
      <c r="AZ6" s="27" t="s">
        <v>3</v>
      </c>
      <c r="BA6" s="27">
        <f>ROUND($AY$6*BA5/$AZ$5,2)</f>
        <v>23300</v>
      </c>
      <c r="BB6" s="27">
        <f>ROUND($AY$6*BB5/$AZ$5,2)</f>
        <v>23300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3009</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1668</v>
      </c>
      <c r="J10" s="51"/>
      <c r="K10" s="2733"/>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23300</v>
      </c>
      <c r="F13" s="81"/>
      <c r="G13" s="82">
        <f t="shared" ref="G13:G20" si="7">H13+AC13+AT13</f>
        <v>23300</v>
      </c>
      <c r="H13" s="33">
        <f t="shared" ref="H13:H20" si="8">SUMIF(I$12:AB$12,"总值",I13:AB13)</f>
        <v>23300</v>
      </c>
      <c r="I13" s="2730">
        <f>A3</f>
        <v>23300</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23300</v>
      </c>
      <c r="AZ13" s="27">
        <f t="shared" ref="AZ13:AZ20" si="12">BA13+BL13</f>
        <v>23300</v>
      </c>
      <c r="BA13" s="27">
        <f t="shared" ref="BA13:BA20" si="13">SUM(BB13:BK13)</f>
        <v>23300</v>
      </c>
      <c r="BB13" s="27">
        <f t="shared" ref="BB13:BB20" si="14">IF($D13="是",I13-J13,0)</f>
        <v>23300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05" t="s">
        <v>0</v>
      </c>
      <c r="B1" s="3405" t="s">
        <v>4</v>
      </c>
      <c r="C1" s="3405" t="s">
        <v>5</v>
      </c>
      <c r="D1" s="3406" t="s">
        <v>40</v>
      </c>
      <c r="E1" s="3406" t="s">
        <v>41</v>
      </c>
      <c r="F1" s="3406"/>
      <c r="G1" s="3406"/>
      <c r="H1" s="3406"/>
      <c r="I1" s="3406"/>
      <c r="J1" s="3406"/>
      <c r="K1" s="3406"/>
      <c r="L1" s="3406"/>
      <c r="M1" s="3406"/>
    </row>
    <row r="2" spans="1:13" ht="27" customHeight="1">
      <c r="A2" s="3405"/>
      <c r="B2" s="3405"/>
      <c r="C2" s="3405"/>
      <c r="D2" s="3406"/>
      <c r="E2" s="3406" t="s">
        <v>24</v>
      </c>
      <c r="F2" s="3406" t="s">
        <v>25</v>
      </c>
      <c r="G2" s="3406"/>
      <c r="H2" s="3406"/>
      <c r="I2" s="3406"/>
      <c r="J2" s="3406" t="s">
        <v>26</v>
      </c>
      <c r="K2" s="3406"/>
      <c r="L2" s="3406"/>
      <c r="M2" s="3406"/>
    </row>
    <row r="3" spans="1:13" ht="28.5">
      <c r="A3" s="3405"/>
      <c r="B3" s="3405"/>
      <c r="C3" s="3405"/>
      <c r="D3" s="3406"/>
      <c r="E3" s="340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06" t="s">
        <v>42</v>
      </c>
      <c r="B9" s="3406"/>
      <c r="C9" s="34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C20" sqref="C20"/>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16" t="s">
        <v>203</v>
      </c>
      <c r="B2" s="3416"/>
      <c r="C2" s="3416"/>
      <c r="D2" s="1888" t="s">
        <v>204</v>
      </c>
      <c r="E2" s="106" t="s">
        <v>205</v>
      </c>
      <c r="F2" s="3082"/>
      <c r="G2" s="1181"/>
      <c r="H2" s="1182"/>
      <c r="I2" s="1183" t="s">
        <v>849</v>
      </c>
      <c r="J2" s="3082"/>
      <c r="K2" s="3082"/>
      <c r="L2" s="3082"/>
      <c r="M2" s="3082"/>
      <c r="N2" s="3082"/>
      <c r="O2" s="3082"/>
      <c r="P2" s="3082"/>
    </row>
    <row r="3" spans="1:16" ht="15.75" thickBot="1">
      <c r="A3" s="3417" t="s">
        <v>206</v>
      </c>
      <c r="B3" s="3417"/>
      <c r="C3" s="3417"/>
      <c r="D3" s="107">
        <f>'数据-基础表'!AY6</f>
        <v>23300</v>
      </c>
      <c r="E3" s="107">
        <f>'数据-基础表'!AZ5</f>
        <v>23300</v>
      </c>
      <c r="F3" s="3082"/>
      <c r="G3" s="278" t="s">
        <v>850</v>
      </c>
      <c r="H3" s="273" t="s">
        <v>851</v>
      </c>
      <c r="I3" s="1889">
        <f>ROUND('数据-基础表'!B3/'数据-基础表'!A3,2)</f>
        <v>1</v>
      </c>
      <c r="J3" s="3082"/>
      <c r="K3" s="3082"/>
      <c r="L3" s="3082"/>
      <c r="M3" s="3082"/>
      <c r="N3" s="3082"/>
      <c r="O3" s="3082"/>
      <c r="P3" s="3082"/>
    </row>
    <row r="4" spans="1:16" ht="15">
      <c r="A4" s="3418"/>
      <c r="B4" s="3419"/>
      <c r="C4" s="3420"/>
      <c r="D4" s="108" t="s">
        <v>204</v>
      </c>
      <c r="E4" s="109" t="s">
        <v>205</v>
      </c>
      <c r="F4" s="3082"/>
      <c r="G4" s="1184"/>
      <c r="H4" s="273" t="s">
        <v>852</v>
      </c>
      <c r="I4" s="1889">
        <f>ROUND(SUMIF('数据-基础表'!I9:AS9,"地上",'数据-基础表'!I5:AS5)/'数据-基础表'!A3,2)</f>
        <v>1</v>
      </c>
      <c r="J4" s="3082"/>
      <c r="K4" s="3082"/>
      <c r="L4" s="3082"/>
      <c r="M4" s="3082"/>
      <c r="N4" s="3082"/>
      <c r="O4" s="3082"/>
      <c r="P4" s="3082"/>
    </row>
    <row r="5" spans="1:16">
      <c r="A5" s="110" t="s">
        <v>207</v>
      </c>
      <c r="B5" s="3421" t="s">
        <v>230</v>
      </c>
      <c r="C5" s="3421"/>
      <c r="D5" s="111">
        <f>ROUND($D$3*E5/$E$3,2)</f>
        <v>0</v>
      </c>
      <c r="E5" s="112">
        <f>SUMIF('数据-基础表'!$11:$11,"住宅",'数据-基础表'!$5:$5)</f>
        <v>0</v>
      </c>
      <c r="F5" s="3082"/>
      <c r="G5" s="278" t="s">
        <v>853</v>
      </c>
      <c r="H5" s="273" t="s">
        <v>851</v>
      </c>
      <c r="I5" s="1889">
        <f>ROUND(E31/D31,2)</f>
        <v>1</v>
      </c>
      <c r="J5" s="3082"/>
      <c r="K5" s="3082"/>
      <c r="L5" s="3082"/>
      <c r="M5" s="3082"/>
      <c r="N5" s="3082"/>
      <c r="O5" s="3082"/>
      <c r="P5" s="3082"/>
    </row>
    <row r="6" spans="1:16" ht="15" thickBot="1">
      <c r="A6" s="113"/>
      <c r="B6" s="3421" t="s">
        <v>208</v>
      </c>
      <c r="C6" s="3421"/>
      <c r="D6" s="111">
        <f>ROUND($D$3*E6/$E$3,2)</f>
        <v>23300</v>
      </c>
      <c r="E6" s="112">
        <f>E3-E5</f>
        <v>23300</v>
      </c>
      <c r="F6" s="3082"/>
      <c r="G6" s="1184"/>
      <c r="H6" s="273" t="s">
        <v>852</v>
      </c>
      <c r="I6" s="1889">
        <f>ROUND(F31/D31,2)</f>
        <v>1</v>
      </c>
      <c r="J6" s="3082"/>
      <c r="K6" s="3082"/>
      <c r="L6" s="3082"/>
      <c r="M6" s="3082"/>
      <c r="N6" s="3082"/>
      <c r="O6" s="3082"/>
      <c r="P6" s="3082"/>
    </row>
    <row r="7" spans="1:16" ht="15">
      <c r="A7" s="3413"/>
      <c r="B7" s="3414"/>
      <c r="C7" s="3415"/>
      <c r="D7" s="108" t="s">
        <v>204</v>
      </c>
      <c r="E7" s="114" t="s">
        <v>231</v>
      </c>
      <c r="F7" s="3082"/>
      <c r="G7" s="1139" t="s">
        <v>1636</v>
      </c>
      <c r="H7" s="1140"/>
      <c r="I7" s="1759">
        <v>4</v>
      </c>
      <c r="J7" s="3082"/>
      <c r="K7" s="3082"/>
      <c r="L7" s="3082"/>
      <c r="M7" s="3082"/>
      <c r="N7" s="3082"/>
      <c r="O7" s="3082"/>
      <c r="P7" s="3082"/>
    </row>
    <row r="8" spans="1:16">
      <c r="A8" s="110" t="s">
        <v>209</v>
      </c>
      <c r="B8" s="115" t="s">
        <v>210</v>
      </c>
      <c r="C8" s="111" t="s">
        <v>211</v>
      </c>
      <c r="D8" s="111">
        <f t="shared" ref="D8:D15" si="0">ROUND($D$3*E8/$E$3,2)</f>
        <v>23300</v>
      </c>
      <c r="E8" s="116">
        <f>SUMIF('数据-基础表'!BB10:BK10,"地上",'数据-基础表'!BB5:BK5)</f>
        <v>23300</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23300</v>
      </c>
      <c r="E16" s="120">
        <f>SUM(E8:E15)</f>
        <v>23300</v>
      </c>
      <c r="F16" s="3082"/>
      <c r="G16" s="3083"/>
      <c r="H16" s="956" t="s">
        <v>219</v>
      </c>
      <c r="I16" s="957"/>
      <c r="J16" s="1897"/>
      <c r="K16" s="3407" t="s">
        <v>2548</v>
      </c>
      <c r="L16" s="3408"/>
      <c r="M16" s="3408"/>
      <c r="N16" s="3408"/>
      <c r="O16" s="3408"/>
      <c r="P16" s="3409"/>
    </row>
    <row r="17" spans="1:19" ht="15">
      <c r="A17" s="121" t="s">
        <v>216</v>
      </c>
      <c r="B17" s="122" t="s">
        <v>217</v>
      </c>
      <c r="C17" s="2177" t="s">
        <v>2301</v>
      </c>
      <c r="D17" s="108" t="s">
        <v>204</v>
      </c>
      <c r="E17" s="124" t="s">
        <v>205</v>
      </c>
      <c r="F17" s="125"/>
      <c r="G17" s="1319"/>
      <c r="H17" s="958" t="s">
        <v>218</v>
      </c>
      <c r="I17" s="959" t="s">
        <v>2300</v>
      </c>
      <c r="J17" s="1897"/>
      <c r="K17" s="3410" t="s">
        <v>2549</v>
      </c>
      <c r="L17" s="3411"/>
      <c r="M17" s="3412"/>
      <c r="N17" s="3410" t="s">
        <v>2550</v>
      </c>
      <c r="O17" s="3411"/>
      <c r="P17" s="3412"/>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3013</v>
      </c>
      <c r="D19" s="111">
        <f t="shared" ref="D19:D26" si="1">ROUND($D$3*E19/$E$3,2)</f>
        <v>23300</v>
      </c>
      <c r="E19" s="134">
        <f t="shared" ref="E19:E26" si="2">SUM(F19:G19)</f>
        <v>23300</v>
      </c>
      <c r="F19" s="3084">
        <f>'数据-基础表'!I13</f>
        <v>23300</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23300</v>
      </c>
      <c r="S19" s="2180">
        <f t="shared" si="5"/>
        <v>23300</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23300</v>
      </c>
      <c r="E27" s="141">
        <f>IF(SUM(E19:E26)='数据-基础表'!BA5,SUM(E19:E26),IF(F27="地上面积有误","面积有误","地下面积有误"))</f>
        <v>23300</v>
      </c>
      <c r="F27" s="134">
        <f>IF(SUM(F19:F26)=E8,SUM(F19:F26),"地上面积有误")</f>
        <v>23300</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23300</v>
      </c>
      <c r="S27" s="273">
        <f>IF(SUM(S19:S26)=$E$3,SUM(S19:S26),SUM(S19:S26)&amp;"误差"&amp;ROUND(SUM(S19:S26)-E3,2))</f>
        <v>23300</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23300</v>
      </c>
      <c r="E31" s="1323">
        <f>E27+E30</f>
        <v>23300</v>
      </c>
      <c r="F31" s="1324">
        <f>F27+F30</f>
        <v>23300</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K6" activePane="bottomRight" state="frozen"/>
      <selection pane="topRight" activeCell="D1" sqref="D1"/>
      <selection pane="bottomLeft" activeCell="A4" sqref="A4"/>
      <selection pane="bottomRight" activeCell="U7" sqref="U7"/>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44071</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3014</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2973</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特殊用地</v>
      </c>
      <c r="B6" s="2216" t="str">
        <f>IF(A6=0,"","经营性")</f>
        <v>经营性</v>
      </c>
      <c r="C6" s="171" t="s">
        <v>1668</v>
      </c>
      <c r="D6" s="2187">
        <f>SUMIF(项目基本情况!D$15:I$15,C6,项目基本情况!D$18:I$18)</f>
        <v>50</v>
      </c>
      <c r="E6" s="2188">
        <f>IF(B6="","",SUMIF(项目基本情况!D$15:I$15,C6,项目基本情况!D$17:I$17))</f>
        <v>0</v>
      </c>
      <c r="F6" s="172">
        <f>SUMIF(项目基本情况!D$15:I$15,C6,项目基本情况!D$19:I$19)</f>
        <v>50</v>
      </c>
      <c r="G6" s="173">
        <f>IF(ISERROR(ROUND(POWER(1+H6,D6-F6)*(POWER(1+H6,F6)-1)/(POWER(1+H6,D6)-1),3)),0,ROUND(POWER(1+H6,D6-F6)*(POWER(1+H6,F6)-1)/(POWER(1+H6,D6)-1),3))</f>
        <v>1</v>
      </c>
      <c r="H6" s="2738">
        <v>3.5000000000000003E-2</v>
      </c>
      <c r="I6" s="2738">
        <v>0.04</v>
      </c>
      <c r="J6" s="174">
        <v>0.08</v>
      </c>
      <c r="K6" s="177">
        <f>SUMIF('数据-汇总表'!C$19:C$33,'数据-取费表'!A6,'数据-汇总表'!E$19:E$33)</f>
        <v>23300</v>
      </c>
      <c r="L6" s="2739">
        <v>1500</v>
      </c>
      <c r="M6" s="175">
        <f t="shared" ref="M6:M14" si="0">ROUND(K6*L6/10000,0)</f>
        <v>3495</v>
      </c>
      <c r="N6" s="2740">
        <v>1</v>
      </c>
      <c r="O6" s="175" t="str">
        <f>IF($N$5="成新度","——",ROUND(M6*N6,0))</f>
        <v>——</v>
      </c>
      <c r="P6" s="176" t="str">
        <f>IF($N$5="成新度","——",M6-O6)</f>
        <v>——</v>
      </c>
      <c r="Q6" s="2741">
        <v>0.05</v>
      </c>
      <c r="R6" s="177">
        <f>SUMIF('数据-汇总表'!C$19:C$33,A6,'数据-汇总表'!R$19:R$33)</f>
        <v>23300</v>
      </c>
      <c r="S6" s="132">
        <f>IF('数据-汇总表'!$I$17="按面积比例",SUMIF('数据-汇总表'!C$19:C$33,A6,'数据-汇总表'!K$19:K$33),SUMIF('数据-汇总表'!C$19:C$33,A6,'数据-汇总表'!N$19:N$33))</f>
        <v>0</v>
      </c>
      <c r="T6" s="2113" t="str">
        <f>IF($T$4="按面积比例",IF(ISERROR(ROUND($M$14*S6/S$16,0)),"0",ROUND($M$14*S6/S$16,0)),"需自行计算录入")</f>
        <v>0</v>
      </c>
      <c r="U6" s="178">
        <v>1.5</v>
      </c>
      <c r="V6" s="179">
        <v>0.02</v>
      </c>
      <c r="W6" s="179">
        <v>0.15</v>
      </c>
      <c r="X6" s="2200"/>
      <c r="Y6" s="180">
        <v>1</v>
      </c>
      <c r="Z6" s="181"/>
      <c r="AA6" s="174"/>
      <c r="AB6" s="174"/>
      <c r="AC6" s="2203"/>
      <c r="AD6" s="182"/>
      <c r="AE6" s="960">
        <f ca="1">IF(AN6="",0,SUMIF(INDIRECT("'"&amp;AN6&amp;"'"&amp;"!E:E"),$AE$5,INDIRECT("'"&amp;AN6&amp;"'"&amp;"!F:F")))</f>
        <v>50</v>
      </c>
      <c r="AF6" s="139"/>
      <c r="AG6" s="1196">
        <f>IF(AF6="",0,AE6-AF6)</f>
        <v>0</v>
      </c>
      <c r="AH6" s="3283">
        <f>K6</f>
        <v>23300</v>
      </c>
      <c r="AI6" s="185">
        <v>365</v>
      </c>
      <c r="AJ6" s="186"/>
      <c r="AK6" s="187">
        <v>1.4999999999999999E-2</v>
      </c>
      <c r="AL6" s="188">
        <v>1.5E-3</v>
      </c>
      <c r="AM6" s="2752">
        <v>0.01</v>
      </c>
      <c r="AN6" s="2246" t="s">
        <v>3015</v>
      </c>
      <c r="AO6" s="3092"/>
      <c r="AP6" s="1187">
        <f>ROUND(1-1/(1+H6)^F6,3)</f>
        <v>0.82099999999999995</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t="str">
        <f t="shared" ref="O7:O14" si="3">IF($N$5="成新度","——",ROUND(M7*N7,0))</f>
        <v>——</v>
      </c>
      <c r="P7" s="176" t="str">
        <f t="shared" ref="P7:P14" si="4">IF($N$5="成新度","——",M7-O7)</f>
        <v>——</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t="str">
        <f t="shared" si="3"/>
        <v>——</v>
      </c>
      <c r="P8" s="176" t="str">
        <f t="shared" si="4"/>
        <v>——</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t="str">
        <f t="shared" si="3"/>
        <v>——</v>
      </c>
      <c r="P14" s="176" t="str">
        <f t="shared" si="4"/>
        <v>——</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1</v>
      </c>
      <c r="H16" s="201">
        <f>ROUND(SUMPRODUCT(H6:H13,K6:K13)/SUMPRODUCT((H6:H13&gt;0)*(K6:K13)),3)</f>
        <v>3.5000000000000003E-2</v>
      </c>
      <c r="I16" s="202"/>
      <c r="J16" s="202"/>
      <c r="K16" s="203">
        <f>SUM(K6:K15)</f>
        <v>23300</v>
      </c>
      <c r="L16" s="204">
        <f>ROUND(M16*10000/SUM(K6:K14),0)</f>
        <v>1500</v>
      </c>
      <c r="M16" s="204">
        <f>SUM(M6:M14)</f>
        <v>3495</v>
      </c>
      <c r="N16" s="205">
        <f>ROUND(SUMPRODUCT(M6:M14,N6:N14)/M16,3)</f>
        <v>1</v>
      </c>
      <c r="O16" s="204">
        <f>SUM(O6:O14)</f>
        <v>0</v>
      </c>
      <c r="P16" s="204">
        <f>SUM(P6:P14)</f>
        <v>0</v>
      </c>
      <c r="Q16" s="206">
        <f>ROUND(SUMPRODUCT(Q6:Q13,K6:K13)/SUMPRODUCT((Q6:Q13&gt;0)*(K6:K13)),2)</f>
        <v>0.05</v>
      </c>
      <c r="R16" s="2190">
        <f>SUM(R6:R13)</f>
        <v>23300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0.82099999999999995</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0.5</v>
      </c>
      <c r="C19" s="3104" t="s">
        <v>2986</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1</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1</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1.5</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1.5</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2987</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200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2974</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2975</v>
      </c>
      <c r="D34" s="3108" t="s">
        <v>2983</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2976</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2977</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0.01</v>
      </c>
      <c r="C37" s="3107" t="s">
        <v>2978</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0.01</v>
      </c>
      <c r="C38" s="3107" t="s">
        <v>2978</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4.7500000000000001E-2</v>
      </c>
      <c r="C40" s="3107" t="s">
        <v>2979</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2984</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2980</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2981</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2988</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2980</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2982</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2872</v>
      </c>
      <c r="D53" s="3111" t="s">
        <v>2985</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4" type="noConversion"/>
  <conditionalFormatting sqref="T6:T15">
    <cfRule type="containsText" dxfId="178" priority="12" stopIfTrue="1" operator="containsText" text="自行计算">
      <formula>NOT(ISERROR(SEARCH("自行计算",T6)))</formula>
    </cfRule>
    <cfRule type="containsText" dxfId="177" priority="13" stopIfTrue="1" operator="containsText" text="自行计算">
      <formula>NOT(ISERROR(SEARCH("自行计算",T6)))</formula>
    </cfRule>
  </conditionalFormatting>
  <conditionalFormatting sqref="T6:T13">
    <cfRule type="containsText" dxfId="176" priority="10" stopIfTrue="1" operator="containsText" text="自行计算">
      <formula>NOT(ISERROR(SEARCH("自行计算",T6)))</formula>
    </cfRule>
    <cfRule type="containsText" dxfId="175" priority="11" stopIfTrue="1" operator="containsText" text="自行计算">
      <formula>NOT(ISERROR(SEARCH("自行计算",T6)))</formula>
    </cfRule>
  </conditionalFormatting>
  <conditionalFormatting sqref="T12:T13">
    <cfRule type="containsText" dxfId="174" priority="4" stopIfTrue="1" operator="containsText" text="自行计算">
      <formula>NOT(ISERROR(SEARCH("自行计算",T12)))</formula>
    </cfRule>
    <cfRule type="containsText" dxfId="173" priority="5" stopIfTrue="1" operator="containsText" text="自行计算">
      <formula>NOT(ISERROR(SEARCH("自行计算",T12)))</formula>
    </cfRule>
  </conditionalFormatting>
  <conditionalFormatting sqref="T12:T13">
    <cfRule type="containsText" dxfId="172" priority="2" stopIfTrue="1" operator="containsText" text="自行计算">
      <formula>NOT(ISERROR(SEARCH("自行计算",T12)))</formula>
    </cfRule>
    <cfRule type="containsText" dxfId="171" priority="3" stopIfTrue="1" operator="containsText" text="自行计算">
      <formula>NOT(ISERROR(SEARCH("自行计算",T12)))</formula>
    </cfRule>
  </conditionalFormatting>
  <conditionalFormatting sqref="T6:T15">
    <cfRule type="expression" dxfId="17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422" t="s">
        <v>1654</v>
      </c>
      <c r="B1" s="3423"/>
      <c r="C1" s="3423"/>
      <c r="D1" s="3423"/>
      <c r="E1" s="3423"/>
      <c r="F1" s="3423"/>
      <c r="G1" s="3423"/>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2889</v>
      </c>
      <c r="D3" s="3127"/>
      <c r="E3" s="3128" t="s">
        <v>1657</v>
      </c>
      <c r="F3" s="3129" t="s">
        <v>1645</v>
      </c>
      <c r="G3" s="3130" t="s">
        <v>2888</v>
      </c>
      <c r="H3" s="3123"/>
      <c r="I3" s="3123"/>
      <c r="J3" s="3123"/>
      <c r="K3" s="3123"/>
      <c r="L3" s="3123"/>
      <c r="M3" s="3123"/>
      <c r="N3" s="3123"/>
      <c r="O3" s="3123"/>
      <c r="P3" s="3123"/>
      <c r="Q3" s="3123"/>
      <c r="R3" s="3123"/>
    </row>
    <row r="4" spans="1:18" ht="40.5">
      <c r="A4" s="3128"/>
      <c r="B4" s="3131" t="s">
        <v>1658</v>
      </c>
      <c r="C4" s="3132" t="s">
        <v>2890</v>
      </c>
      <c r="D4" s="3127"/>
      <c r="E4" s="3133"/>
      <c r="F4" s="3134" t="s">
        <v>1659</v>
      </c>
      <c r="G4" s="3135" t="s">
        <v>2885</v>
      </c>
      <c r="H4" s="3123"/>
      <c r="I4" s="3123"/>
      <c r="J4" s="3123"/>
      <c r="K4" s="3123"/>
      <c r="L4" s="3123"/>
      <c r="M4" s="3123"/>
      <c r="N4" s="3123"/>
      <c r="O4" s="3123"/>
      <c r="P4" s="3123"/>
      <c r="Q4" s="3123"/>
      <c r="R4" s="3123"/>
    </row>
    <row r="5" spans="1:18" ht="41.25">
      <c r="A5" s="3128"/>
      <c r="B5" s="3131" t="s">
        <v>1660</v>
      </c>
      <c r="C5" s="3132" t="s">
        <v>2891</v>
      </c>
      <c r="D5" s="3127"/>
      <c r="E5" s="3133"/>
      <c r="F5" s="3131" t="s">
        <v>2528</v>
      </c>
      <c r="G5" s="3135" t="s">
        <v>2886</v>
      </c>
      <c r="H5" s="3123"/>
      <c r="I5" s="3123"/>
      <c r="J5" s="3123"/>
      <c r="K5" s="3123"/>
      <c r="L5" s="3123"/>
      <c r="M5" s="3123"/>
      <c r="N5" s="3123"/>
      <c r="O5" s="3123"/>
      <c r="P5" s="3123"/>
      <c r="Q5" s="3123"/>
      <c r="R5" s="3123"/>
    </row>
    <row r="6" spans="1:18" ht="40.5">
      <c r="A6" s="3128"/>
      <c r="B6" s="3131" t="s">
        <v>1646</v>
      </c>
      <c r="C6" s="3135" t="s">
        <v>2885</v>
      </c>
      <c r="D6" s="3127"/>
      <c r="E6" s="3133"/>
      <c r="F6" s="3131" t="s">
        <v>2529</v>
      </c>
      <c r="G6" s="3135" t="s">
        <v>2883</v>
      </c>
      <c r="H6" s="3123"/>
      <c r="I6" s="3123"/>
      <c r="J6" s="3123"/>
      <c r="K6" s="3123"/>
      <c r="L6" s="3123"/>
      <c r="M6" s="3123"/>
      <c r="N6" s="3123"/>
      <c r="O6" s="3123"/>
      <c r="P6" s="3123"/>
      <c r="Q6" s="3123"/>
      <c r="R6" s="3123"/>
    </row>
    <row r="7" spans="1:18" ht="27.75" thickBot="1">
      <c r="A7" s="3128"/>
      <c r="B7" s="3131" t="s">
        <v>2528</v>
      </c>
      <c r="C7" s="3135" t="s">
        <v>2886</v>
      </c>
      <c r="D7" s="3136"/>
      <c r="E7" s="3137"/>
      <c r="F7" s="3138" t="s">
        <v>1661</v>
      </c>
      <c r="G7" s="3139" t="s">
        <v>2887</v>
      </c>
      <c r="H7" s="3123"/>
      <c r="I7" s="3123"/>
      <c r="J7" s="3123"/>
      <c r="K7" s="3123"/>
      <c r="L7" s="3123"/>
      <c r="M7" s="3123"/>
      <c r="N7" s="3123"/>
      <c r="O7" s="3123"/>
      <c r="P7" s="3123"/>
      <c r="Q7" s="3123"/>
      <c r="R7" s="3123"/>
    </row>
    <row r="8" spans="1:18">
      <c r="A8" s="3128"/>
      <c r="B8" s="3131" t="s">
        <v>2529</v>
      </c>
      <c r="C8" s="3135" t="s">
        <v>2883</v>
      </c>
      <c r="D8" s="3136"/>
      <c r="E8" s="3136"/>
      <c r="F8" s="3140"/>
      <c r="G8" s="3140"/>
      <c r="H8" s="3123"/>
      <c r="I8" s="3123"/>
      <c r="J8" s="3123"/>
      <c r="K8" s="3123"/>
      <c r="L8" s="3123"/>
      <c r="M8" s="3123"/>
      <c r="N8" s="3123"/>
      <c r="O8" s="3123"/>
      <c r="P8" s="3123"/>
      <c r="Q8" s="3123"/>
      <c r="R8" s="3123"/>
    </row>
    <row r="9" spans="1:18" ht="27">
      <c r="A9" s="3128"/>
      <c r="B9" s="3131" t="s">
        <v>1647</v>
      </c>
      <c r="C9" s="3132" t="s">
        <v>2884</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3186" customWidth="1"/>
    <col min="2" max="16384" width="14.625" style="3186"/>
  </cols>
  <sheetData>
    <row r="1" spans="1:10" ht="16.5">
      <c r="A1" s="3185" t="s">
        <v>2823</v>
      </c>
      <c r="B1" s="3185">
        <f>SUM(B14:B23)</f>
        <v>23300</v>
      </c>
      <c r="C1" s="3194"/>
      <c r="D1" s="3194"/>
      <c r="E1" s="3194"/>
      <c r="F1" s="3194"/>
      <c r="G1" s="3195"/>
      <c r="H1" s="3195"/>
      <c r="I1" s="3195"/>
      <c r="J1" s="3195"/>
    </row>
    <row r="2" spans="1:10" ht="16.5">
      <c r="A2" s="3185" t="s">
        <v>2824</v>
      </c>
      <c r="B2" s="3185">
        <f>SUM(C14:C23)</f>
        <v>23300</v>
      </c>
      <c r="C2" s="3194"/>
      <c r="D2" s="3194"/>
      <c r="E2" s="3194"/>
      <c r="F2" s="3194"/>
      <c r="G2" s="3195"/>
      <c r="H2" s="3195"/>
      <c r="I2" s="3195"/>
      <c r="J2" s="3195"/>
    </row>
    <row r="3" spans="1:10" ht="16.5">
      <c r="A3" s="3185" t="s">
        <v>2825</v>
      </c>
      <c r="B3" s="3187">
        <f>项目基本情况!D3</f>
        <v>44071</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f ca="1">SUM(D14:D23)</f>
        <v>14488</v>
      </c>
      <c r="C5" s="3185">
        <f ca="1">ROUND(B5*10000/$B$1,0)</f>
        <v>6218</v>
      </c>
      <c r="D5" s="3185">
        <f ca="1">ROUND(B5*10000/$B$2,0)</f>
        <v>6218</v>
      </c>
      <c r="E5" s="3194"/>
      <c r="F5" s="3194"/>
      <c r="G5" s="3195"/>
      <c r="H5" s="3195"/>
      <c r="I5" s="3195"/>
      <c r="J5" s="3195"/>
    </row>
    <row r="6" spans="1:10" ht="16.5">
      <c r="A6" s="3185" t="s">
        <v>2831</v>
      </c>
      <c r="B6" s="3185">
        <f>SUM(G14:G23)</f>
        <v>0</v>
      </c>
      <c r="C6" s="3185">
        <f t="shared" ref="C6:C8" si="0">ROUND(B6*10000/$B$1,0)</f>
        <v>0</v>
      </c>
      <c r="D6" s="3185">
        <f t="shared" ref="D6:D8" si="1">ROUND(B6*10000/$B$2,0)</f>
        <v>0</v>
      </c>
      <c r="E6" s="3194"/>
      <c r="F6" s="3194"/>
      <c r="G6" s="3195"/>
      <c r="H6" s="3195"/>
      <c r="I6" s="3195"/>
      <c r="J6" s="3195"/>
    </row>
    <row r="7" spans="1:10" ht="16.5">
      <c r="A7" s="3185" t="s">
        <v>2832</v>
      </c>
      <c r="B7" s="3185">
        <f>SUM(H14:H23)</f>
        <v>0</v>
      </c>
      <c r="C7" s="3185">
        <f t="shared" si="0"/>
        <v>0</v>
      </c>
      <c r="D7" s="3185">
        <f t="shared" si="1"/>
        <v>0</v>
      </c>
      <c r="E7" s="3194"/>
      <c r="F7" s="3194"/>
      <c r="G7" s="3195"/>
      <c r="H7" s="3195"/>
      <c r="I7" s="3195"/>
      <c r="J7" s="3195"/>
    </row>
    <row r="8" spans="1:10" ht="16.5">
      <c r="A8" s="3185" t="s">
        <v>2833</v>
      </c>
      <c r="B8" s="3185">
        <f>SUM(I14:I23)</f>
        <v>0</v>
      </c>
      <c r="C8" s="3185">
        <f t="shared" si="0"/>
        <v>0</v>
      </c>
      <c r="D8" s="3185">
        <f t="shared" si="1"/>
        <v>0</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2852</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2851</v>
      </c>
      <c r="B13" s="3189" t="s">
        <v>2823</v>
      </c>
      <c r="C13" s="3189" t="s">
        <v>2824</v>
      </c>
      <c r="D13" s="3189" t="s">
        <v>2836</v>
      </c>
      <c r="E13" s="3185" t="s">
        <v>2850</v>
      </c>
      <c r="F13" s="3185" t="s">
        <v>2829</v>
      </c>
      <c r="G13" s="3189" t="s">
        <v>2837</v>
      </c>
      <c r="H13" s="3189" t="s">
        <v>2838</v>
      </c>
      <c r="I13" s="3189" t="s">
        <v>2839</v>
      </c>
      <c r="J13" s="3195"/>
    </row>
    <row r="14" spans="1:10" ht="16.5">
      <c r="A14" s="3190" t="s">
        <v>2849</v>
      </c>
      <c r="B14" s="3191">
        <f>结果表!L38</f>
        <v>23300</v>
      </c>
      <c r="C14" s="3191">
        <f>结果表!K38</f>
        <v>23300</v>
      </c>
      <c r="D14" s="3191">
        <f ca="1">结果表!C42</f>
        <v>14488</v>
      </c>
      <c r="E14" s="3191">
        <f ca="1">ROUND(D14*10000/B14,0)</f>
        <v>6218</v>
      </c>
      <c r="F14" s="3191">
        <f ca="1">ROUND(D14*10000/C14,0)</f>
        <v>6218</v>
      </c>
      <c r="G14" s="3191" t="str">
        <f>结果表!C44</f>
        <v>——</v>
      </c>
      <c r="H14" s="3191" t="str">
        <f>结果表!C45</f>
        <v>——</v>
      </c>
      <c r="I14" s="3191" t="str">
        <f>结果表!C46</f>
        <v>——</v>
      </c>
      <c r="J14" s="3195"/>
    </row>
    <row r="15" spans="1:10" ht="16.5">
      <c r="A15" s="3190" t="s">
        <v>2840</v>
      </c>
      <c r="B15" s="3192"/>
      <c r="C15" s="3192"/>
      <c r="D15" s="3192"/>
      <c r="E15" s="3191" t="e">
        <f t="shared" ref="E15:E23" si="2">ROUND(D15*10000/B15,0)</f>
        <v>#DIV/0!</v>
      </c>
      <c r="F15" s="3191" t="e">
        <f t="shared" ref="F15:F23" si="3">ROUND(D15*10000/C15,0)</f>
        <v>#DIV/0!</v>
      </c>
      <c r="G15" s="2757"/>
      <c r="H15" s="2757"/>
      <c r="I15" s="3192"/>
      <c r="J15" s="3195"/>
    </row>
    <row r="16" spans="1:10" ht="16.5">
      <c r="A16" s="3190" t="s">
        <v>2841</v>
      </c>
      <c r="B16" s="3192"/>
      <c r="C16" s="3192"/>
      <c r="D16" s="3192"/>
      <c r="E16" s="3191" t="e">
        <f t="shared" si="2"/>
        <v>#DIV/0!</v>
      </c>
      <c r="F16" s="3191" t="e">
        <f t="shared" si="3"/>
        <v>#DIV/0!</v>
      </c>
      <c r="G16" s="2757"/>
      <c r="H16" s="2757"/>
      <c r="I16" s="3192"/>
      <c r="J16" s="3195"/>
    </row>
    <row r="17" spans="1:10" ht="16.5">
      <c r="A17" s="3190" t="s">
        <v>2842</v>
      </c>
      <c r="B17" s="3192"/>
      <c r="C17" s="3192"/>
      <c r="D17" s="3192"/>
      <c r="E17" s="3191" t="e">
        <f t="shared" si="2"/>
        <v>#DIV/0!</v>
      </c>
      <c r="F17" s="3191" t="e">
        <f t="shared" si="3"/>
        <v>#DIV/0!</v>
      </c>
      <c r="G17" s="2757"/>
      <c r="H17" s="2757"/>
      <c r="I17" s="3192"/>
      <c r="J17" s="3195"/>
    </row>
    <row r="18" spans="1:10" ht="16.5">
      <c r="A18" s="3190" t="s">
        <v>2843</v>
      </c>
      <c r="B18" s="3192"/>
      <c r="C18" s="3192"/>
      <c r="D18" s="3192"/>
      <c r="E18" s="3191" t="e">
        <f t="shared" si="2"/>
        <v>#DIV/0!</v>
      </c>
      <c r="F18" s="3191" t="e">
        <f t="shared" si="3"/>
        <v>#DIV/0!</v>
      </c>
      <c r="G18" s="3192"/>
      <c r="H18" s="3192"/>
      <c r="I18" s="3192"/>
      <c r="J18" s="3195"/>
    </row>
    <row r="19" spans="1:10" ht="16.5">
      <c r="A19" s="3190" t="s">
        <v>2844</v>
      </c>
      <c r="B19" s="3192"/>
      <c r="C19" s="3192"/>
      <c r="D19" s="3192"/>
      <c r="E19" s="3191" t="e">
        <f t="shared" si="2"/>
        <v>#DIV/0!</v>
      </c>
      <c r="F19" s="3191" t="e">
        <f t="shared" si="3"/>
        <v>#DIV/0!</v>
      </c>
      <c r="G19" s="3192"/>
      <c r="H19" s="3192"/>
      <c r="I19" s="3192"/>
      <c r="J19" s="3195"/>
    </row>
    <row r="20" spans="1:10" ht="16.5">
      <c r="A20" s="3190" t="s">
        <v>2845</v>
      </c>
      <c r="B20" s="3192"/>
      <c r="C20" s="3192"/>
      <c r="D20" s="3192"/>
      <c r="E20" s="3191" t="e">
        <f t="shared" si="2"/>
        <v>#DIV/0!</v>
      </c>
      <c r="F20" s="3191" t="e">
        <f t="shared" si="3"/>
        <v>#DIV/0!</v>
      </c>
      <c r="G20" s="3192"/>
      <c r="H20" s="3192"/>
      <c r="I20" s="3192"/>
      <c r="J20" s="3195"/>
    </row>
    <row r="21" spans="1:10" ht="16.5">
      <c r="A21" s="3190" t="s">
        <v>2846</v>
      </c>
      <c r="B21" s="3192"/>
      <c r="C21" s="3192"/>
      <c r="D21" s="3192"/>
      <c r="E21" s="3191" t="e">
        <f t="shared" si="2"/>
        <v>#DIV/0!</v>
      </c>
      <c r="F21" s="3191" t="e">
        <f t="shared" si="3"/>
        <v>#DIV/0!</v>
      </c>
      <c r="G21" s="3192"/>
      <c r="H21" s="3192"/>
      <c r="I21" s="3192"/>
      <c r="J21" s="3195"/>
    </row>
    <row r="22" spans="1:10" ht="16.5">
      <c r="A22" s="3190" t="s">
        <v>2847</v>
      </c>
      <c r="B22" s="3192"/>
      <c r="C22" s="3192"/>
      <c r="D22" s="3192"/>
      <c r="E22" s="3191" t="e">
        <f t="shared" si="2"/>
        <v>#DIV/0!</v>
      </c>
      <c r="F22" s="3191" t="e">
        <f t="shared" si="3"/>
        <v>#DIV/0!</v>
      </c>
      <c r="G22" s="3192"/>
      <c r="H22" s="3192"/>
      <c r="I22" s="3192"/>
      <c r="J22" s="3195"/>
    </row>
    <row r="23" spans="1:10" ht="16.5">
      <c r="A23" s="3190" t="s">
        <v>2848</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D8" sqref="D8:D9"/>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68" t="str">
        <f>项目基本情况!K2</f>
        <v>北京市划拨国有建设用地使用权</v>
      </c>
      <c r="B2" s="3469"/>
      <c r="C2" s="3470"/>
      <c r="D2" s="3470"/>
      <c r="E2" s="3470"/>
      <c r="F2" s="3470"/>
      <c r="G2" s="3469"/>
      <c r="H2" s="3469"/>
      <c r="I2" s="3471"/>
      <c r="J2" s="1912"/>
      <c r="K2" s="1911"/>
      <c r="L2" s="1911"/>
      <c r="M2" s="1911"/>
      <c r="N2" s="1911"/>
      <c r="O2" s="1911"/>
      <c r="P2" s="1911"/>
      <c r="Q2" s="1911"/>
      <c r="R2" s="1911"/>
      <c r="S2" s="1911"/>
      <c r="T2" s="1911"/>
      <c r="U2" s="1911"/>
      <c r="V2" s="1911"/>
    </row>
    <row r="3" spans="1:22" ht="14.25">
      <c r="A3" s="3461" t="s">
        <v>298</v>
      </c>
      <c r="B3" s="3462"/>
      <c r="C3" s="3462"/>
      <c r="D3" s="3462"/>
      <c r="E3" s="3462"/>
      <c r="F3" s="3462"/>
      <c r="G3" s="3462"/>
      <c r="H3" s="3462"/>
      <c r="I3" s="3462"/>
      <c r="J3" s="1912"/>
      <c r="K3" s="1911"/>
      <c r="L3" s="1911"/>
      <c r="M3" s="1911"/>
      <c r="N3" s="1911"/>
      <c r="O3" s="1911"/>
      <c r="P3" s="1911"/>
      <c r="Q3" s="1911"/>
      <c r="R3" s="1911"/>
      <c r="S3" s="1911"/>
      <c r="T3" s="1911"/>
      <c r="U3" s="1911"/>
      <c r="V3" s="1911"/>
    </row>
    <row r="4" spans="1:22" ht="14.25">
      <c r="A4" s="256" t="s">
        <v>299</v>
      </c>
      <c r="B4" s="257" t="s">
        <v>300</v>
      </c>
      <c r="C4" s="258" t="s">
        <v>3278</v>
      </c>
      <c r="D4" s="258" t="s">
        <v>3279</v>
      </c>
      <c r="E4" s="3427" t="s">
        <v>301</v>
      </c>
      <c r="F4" s="3428"/>
      <c r="G4" s="3428"/>
      <c r="H4" s="3428"/>
      <c r="I4" s="3463"/>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26" t="s">
        <v>302</v>
      </c>
      <c r="B5" s="3455">
        <v>25</v>
      </c>
      <c r="C5" s="3453">
        <v>1</v>
      </c>
      <c r="D5" s="3457">
        <v>1</v>
      </c>
      <c r="E5" s="259" t="s">
        <v>303</v>
      </c>
      <c r="F5" s="260"/>
      <c r="G5" s="260"/>
      <c r="H5" s="260"/>
      <c r="I5" s="261"/>
      <c r="J5" s="1912"/>
      <c r="K5" s="1911"/>
      <c r="L5" s="1911"/>
      <c r="M5" s="1911"/>
      <c r="N5" s="1911"/>
      <c r="O5" s="1911"/>
      <c r="P5" s="1911"/>
      <c r="Q5" s="1911"/>
      <c r="R5" s="1911"/>
      <c r="S5" s="1911"/>
      <c r="T5" s="1911"/>
      <c r="U5" s="1911"/>
      <c r="V5" s="1911"/>
    </row>
    <row r="6" spans="1:22" ht="14.25">
      <c r="A6" s="3426"/>
      <c r="B6" s="3455"/>
      <c r="C6" s="3456"/>
      <c r="D6" s="3457"/>
      <c r="E6" s="259" t="s">
        <v>304</v>
      </c>
      <c r="F6" s="260"/>
      <c r="G6" s="260"/>
      <c r="H6" s="260"/>
      <c r="I6" s="261"/>
      <c r="J6" s="1912"/>
      <c r="K6" s="1911"/>
      <c r="L6" s="1911"/>
      <c r="M6" s="1911"/>
      <c r="N6" s="1911"/>
      <c r="O6" s="1911"/>
      <c r="P6" s="1911"/>
      <c r="Q6" s="1911"/>
      <c r="R6" s="1911"/>
      <c r="S6" s="1911"/>
      <c r="T6" s="1911"/>
      <c r="U6" s="1911"/>
      <c r="V6" s="1911"/>
    </row>
    <row r="7" spans="1:22" ht="14.25">
      <c r="A7" s="3426"/>
      <c r="B7" s="3455"/>
      <c r="C7" s="3454"/>
      <c r="D7" s="3457"/>
      <c r="E7" s="259" t="s">
        <v>305</v>
      </c>
      <c r="F7" s="260"/>
      <c r="G7" s="260"/>
      <c r="H7" s="260"/>
      <c r="I7" s="261"/>
      <c r="J7" s="1912"/>
      <c r="K7" s="1911"/>
      <c r="L7" s="1911"/>
      <c r="M7" s="1911"/>
      <c r="N7" s="1911"/>
      <c r="O7" s="1911"/>
      <c r="P7" s="1911"/>
      <c r="Q7" s="1911"/>
      <c r="R7" s="1911"/>
      <c r="S7" s="1911"/>
      <c r="T7" s="1911"/>
      <c r="U7" s="1911"/>
      <c r="V7" s="1911"/>
    </row>
    <row r="8" spans="1:22" ht="14.25">
      <c r="A8" s="3426" t="s">
        <v>306</v>
      </c>
      <c r="B8" s="3455">
        <v>15</v>
      </c>
      <c r="C8" s="3453"/>
      <c r="D8" s="3457"/>
      <c r="E8" s="259" t="s">
        <v>307</v>
      </c>
      <c r="F8" s="260"/>
      <c r="G8" s="260"/>
      <c r="H8" s="260"/>
      <c r="I8" s="261"/>
      <c r="J8" s="1912"/>
      <c r="K8" s="1911"/>
      <c r="L8" s="1911"/>
      <c r="M8" s="1911"/>
      <c r="N8" s="1911"/>
      <c r="O8" s="1911"/>
      <c r="P8" s="1911"/>
      <c r="Q8" s="1911"/>
      <c r="R8" s="1911"/>
      <c r="S8" s="1911"/>
      <c r="T8" s="1911"/>
      <c r="U8" s="1911"/>
      <c r="V8" s="1911"/>
    </row>
    <row r="9" spans="1:22" ht="14.25">
      <c r="A9" s="3426"/>
      <c r="B9" s="3455"/>
      <c r="C9" s="3454"/>
      <c r="D9" s="3457"/>
      <c r="E9" s="259" t="s">
        <v>308</v>
      </c>
      <c r="F9" s="260"/>
      <c r="G9" s="260"/>
      <c r="H9" s="260"/>
      <c r="I9" s="261"/>
      <c r="J9" s="1912"/>
      <c r="K9" s="1911"/>
      <c r="L9" s="1911"/>
      <c r="M9" s="1911"/>
      <c r="N9" s="1911"/>
      <c r="O9" s="1911"/>
      <c r="P9" s="1911"/>
      <c r="Q9" s="1911"/>
      <c r="R9" s="1911"/>
      <c r="S9" s="1911"/>
      <c r="T9" s="1911"/>
      <c r="U9" s="1911"/>
      <c r="V9" s="1911"/>
    </row>
    <row r="10" spans="1:22" ht="14.25">
      <c r="A10" s="3426" t="s">
        <v>309</v>
      </c>
      <c r="B10" s="3455">
        <v>15</v>
      </c>
      <c r="C10" s="3453"/>
      <c r="D10" s="3457"/>
      <c r="E10" s="259" t="s">
        <v>310</v>
      </c>
      <c r="F10" s="260"/>
      <c r="G10" s="260"/>
      <c r="H10" s="260"/>
      <c r="I10" s="261"/>
      <c r="J10" s="1912"/>
      <c r="K10" s="1911"/>
      <c r="L10" s="1911"/>
      <c r="M10" s="1911"/>
      <c r="N10" s="1911"/>
      <c r="O10" s="1911"/>
      <c r="P10" s="1911"/>
      <c r="Q10" s="1911"/>
      <c r="R10" s="1911"/>
      <c r="S10" s="1911"/>
      <c r="T10" s="1911"/>
      <c r="U10" s="1911"/>
      <c r="V10" s="1911"/>
    </row>
    <row r="11" spans="1:22" ht="14.25">
      <c r="A11" s="3426"/>
      <c r="B11" s="3455"/>
      <c r="C11" s="3454"/>
      <c r="D11" s="3457"/>
      <c r="E11" s="259" t="s">
        <v>311</v>
      </c>
      <c r="F11" s="260"/>
      <c r="G11" s="260"/>
      <c r="H11" s="260"/>
      <c r="I11" s="261"/>
      <c r="J11" s="1912"/>
      <c r="K11" s="1911"/>
      <c r="L11" s="1911"/>
      <c r="M11" s="1911"/>
      <c r="N11" s="1911"/>
      <c r="O11" s="1911"/>
      <c r="P11" s="1911"/>
      <c r="Q11" s="1911"/>
      <c r="R11" s="1911"/>
      <c r="S11" s="1911"/>
      <c r="T11" s="1911"/>
      <c r="U11" s="1911"/>
      <c r="V11" s="1911"/>
    </row>
    <row r="12" spans="1:22" ht="14.25">
      <c r="A12" s="3426" t="s">
        <v>312</v>
      </c>
      <c r="B12" s="3455">
        <v>15</v>
      </c>
      <c r="C12" s="3453"/>
      <c r="D12" s="3457"/>
      <c r="E12" s="259" t="s">
        <v>313</v>
      </c>
      <c r="F12" s="260"/>
      <c r="G12" s="260"/>
      <c r="H12" s="260"/>
      <c r="I12" s="261"/>
      <c r="J12" s="1912"/>
      <c r="K12" s="1911"/>
      <c r="L12" s="1911"/>
      <c r="M12" s="1911"/>
      <c r="N12" s="1911"/>
      <c r="O12" s="1911"/>
      <c r="P12" s="1911"/>
      <c r="Q12" s="1911"/>
      <c r="R12" s="1911"/>
      <c r="S12" s="1911"/>
      <c r="T12" s="1911"/>
      <c r="U12" s="1911"/>
      <c r="V12" s="1911"/>
    </row>
    <row r="13" spans="1:22" ht="14.25">
      <c r="A13" s="3426"/>
      <c r="B13" s="3455"/>
      <c r="C13" s="3454"/>
      <c r="D13" s="3457"/>
      <c r="E13" s="259" t="s">
        <v>314</v>
      </c>
      <c r="F13" s="260"/>
      <c r="G13" s="260"/>
      <c r="H13" s="260"/>
      <c r="I13" s="261"/>
      <c r="J13" s="1912"/>
      <c r="K13" s="1911"/>
      <c r="L13" s="1911"/>
      <c r="M13" s="1911"/>
      <c r="N13" s="1911"/>
      <c r="O13" s="1911"/>
      <c r="P13" s="1911"/>
      <c r="Q13" s="1911"/>
      <c r="R13" s="1911"/>
      <c r="S13" s="1911"/>
      <c r="T13" s="1911"/>
      <c r="U13" s="1911"/>
      <c r="V13" s="1911"/>
    </row>
    <row r="14" spans="1:22" ht="14.25">
      <c r="A14" s="3426" t="s">
        <v>315</v>
      </c>
      <c r="B14" s="3455">
        <v>30</v>
      </c>
      <c r="C14" s="3453"/>
      <c r="D14" s="3457"/>
      <c r="E14" s="259" t="s">
        <v>316</v>
      </c>
      <c r="F14" s="260"/>
      <c r="G14" s="260"/>
      <c r="H14" s="260"/>
      <c r="I14" s="261"/>
      <c r="J14" s="1912"/>
      <c r="K14" s="1911"/>
      <c r="L14" s="1911"/>
      <c r="M14" s="1911"/>
      <c r="N14" s="1911"/>
      <c r="O14" s="1911"/>
      <c r="P14" s="1911"/>
      <c r="Q14" s="1911"/>
      <c r="R14" s="1911"/>
      <c r="S14" s="1911"/>
      <c r="T14" s="1911"/>
      <c r="U14" s="1911"/>
      <c r="V14" s="1911"/>
    </row>
    <row r="15" spans="1:22" ht="14.25">
      <c r="A15" s="3426"/>
      <c r="B15" s="3455"/>
      <c r="C15" s="3456"/>
      <c r="D15" s="3457"/>
      <c r="E15" s="259" t="s">
        <v>317</v>
      </c>
      <c r="F15" s="260"/>
      <c r="G15" s="260"/>
      <c r="H15" s="260"/>
      <c r="I15" s="261"/>
      <c r="J15" s="1912"/>
      <c r="K15" s="1911"/>
      <c r="L15" s="1911"/>
      <c r="M15" s="1911"/>
      <c r="N15" s="1911"/>
      <c r="O15" s="1911"/>
      <c r="P15" s="1911"/>
      <c r="Q15" s="1911"/>
      <c r="R15" s="1911"/>
      <c r="S15" s="1911"/>
      <c r="T15" s="1911"/>
      <c r="U15" s="1911"/>
      <c r="V15" s="1911"/>
    </row>
    <row r="16" spans="1:22" ht="14.25">
      <c r="A16" s="3426"/>
      <c r="B16" s="3455"/>
      <c r="C16" s="3454"/>
      <c r="D16" s="3457"/>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1</v>
      </c>
      <c r="D17" s="263">
        <f>SUM(D5:D16)</f>
        <v>1</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v>
      </c>
      <c r="D18" s="265">
        <f>1-C18</f>
        <v>0.5</v>
      </c>
      <c r="E18" s="3458" t="s">
        <v>2962</v>
      </c>
      <c r="F18" s="3459"/>
      <c r="G18" s="3459"/>
      <c r="H18" s="3459"/>
      <c r="I18" s="3459"/>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9896</v>
      </c>
      <c r="D19" s="269">
        <f ca="1">SUMIF(INDIRECT("'"&amp;D4&amp;"'"&amp;"!A:A"),结果表!B19,INDIRECT("'"&amp;D4&amp;"'"&amp;"!B:B"))</f>
        <v>19080.018435441139</v>
      </c>
      <c r="E19" s="266" t="s">
        <v>323</v>
      </c>
      <c r="F19" s="267" t="s">
        <v>322</v>
      </c>
      <c r="G19" s="270">
        <f ca="1">ROUND(C19*$C$18+D19*$D$18,0)</f>
        <v>14488</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4247</v>
      </c>
      <c r="D20" s="275">
        <f ca="1">SUMIF(INDIRECT("'"&amp;D4&amp;"'"&amp;"!A:A"),结果表!B20,INDIRECT("'"&amp;D4&amp;"'"&amp;"!B:B"))</f>
        <v>8189</v>
      </c>
      <c r="E20" s="272"/>
      <c r="F20" s="273" t="s">
        <v>325</v>
      </c>
      <c r="G20" s="276">
        <f ca="1">ROUND(C20*$C$18+D20*$D$18,0)</f>
        <v>6218</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4247</v>
      </c>
      <c r="D21" s="149">
        <f ca="1">SUMIF(INDIRECT("'"&amp;D4&amp;"'"&amp;"!A:A"),结果表!B21,INDIRECT("'"&amp;D4&amp;"'"&amp;"!B:B"))</f>
        <v>8189</v>
      </c>
      <c r="E21" s="272"/>
      <c r="F21" s="278" t="s">
        <v>327</v>
      </c>
      <c r="G21" s="280">
        <f ca="1">ROUND(C21*$C$18+D21*$D$18,0)</f>
        <v>6218</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0.92805360099445622</v>
      </c>
      <c r="E22" s="282"/>
      <c r="F22" s="283"/>
      <c r="G22" s="284">
        <f ca="1">ROUND(G19/('数据-汇总表'!D3/666.67),0)</f>
        <v>415</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32"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33"/>
      <c r="B25" s="1275" t="s">
        <v>331</v>
      </c>
      <c r="C25" s="288">
        <f>IF(B30=0,0,C30)</f>
        <v>0</v>
      </c>
      <c r="D25" s="289"/>
      <c r="E25" s="309"/>
      <c r="F25" s="309"/>
      <c r="G25" s="309"/>
      <c r="H25" s="309"/>
      <c r="I25" s="309"/>
      <c r="J25" s="1911"/>
      <c r="K25" s="1209" t="str">
        <f ca="1">项目基本情况!B16&amp;"国有建设用地使用权价格："&amp;O38&amp;"万元"</f>
        <v>划拨国有建设用地使用权价格：14488万元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大写金额：人民币壹亿肆仟肆佰捌拾捌万元整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单位面积地价：6218元/平方米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楼面地价：6218元/平方米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2963</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60" t="s">
        <v>2964</v>
      </c>
      <c r="B31" s="3460"/>
      <c r="C31" s="3460"/>
      <c r="D31" s="3460"/>
      <c r="E31" s="3460"/>
      <c r="F31" s="3460"/>
      <c r="G31" s="3460"/>
      <c r="H31" s="3460"/>
      <c r="I31" s="3460"/>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14488</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6218</v>
      </c>
      <c r="D33" s="1334" t="s">
        <v>1682</v>
      </c>
      <c r="E33" s="3432"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6218</v>
      </c>
      <c r="D34" s="1336" t="s">
        <v>1682</v>
      </c>
      <c r="E34" s="3476"/>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415</v>
      </c>
      <c r="D35" s="1339" t="s">
        <v>1684</v>
      </c>
      <c r="E35" s="3477"/>
      <c r="F35" s="299" t="s">
        <v>342</v>
      </c>
      <c r="G35" s="970"/>
      <c r="H35" s="969" t="s">
        <v>343</v>
      </c>
      <c r="I35" s="309"/>
      <c r="J35" s="1911"/>
      <c r="K35" s="3450" t="s">
        <v>350</v>
      </c>
      <c r="L35" s="3450" t="s">
        <v>351</v>
      </c>
      <c r="M35" s="1218" t="s">
        <v>352</v>
      </c>
      <c r="N35" s="3450" t="s">
        <v>353</v>
      </c>
      <c r="O35" s="3450" t="s">
        <v>354</v>
      </c>
      <c r="P35" s="1911"/>
      <c r="V35" s="1911"/>
    </row>
    <row r="36" spans="1:26" ht="16.5" customHeight="1">
      <c r="A36" s="301" t="s">
        <v>344</v>
      </c>
      <c r="B36" s="302" t="s">
        <v>333</v>
      </c>
      <c r="C36" s="303" t="s">
        <v>345</v>
      </c>
      <c r="D36" s="303" t="s">
        <v>346</v>
      </c>
      <c r="E36" s="304" t="s">
        <v>347</v>
      </c>
      <c r="F36" s="309"/>
      <c r="G36" s="309"/>
      <c r="H36" s="309"/>
      <c r="I36" s="309"/>
      <c r="J36" s="1913"/>
      <c r="K36" s="3451"/>
      <c r="L36" s="3451"/>
      <c r="M36" s="1220" t="s">
        <v>355</v>
      </c>
      <c r="N36" s="3451"/>
      <c r="O36" s="3451"/>
      <c r="P36" s="1911"/>
      <c r="V36" s="1911"/>
    </row>
    <row r="37" spans="1:26" ht="16.5" customHeight="1" thickBot="1">
      <c r="A37" s="1214" t="s">
        <v>348</v>
      </c>
      <c r="B37" s="305"/>
      <c r="C37" s="292"/>
      <c r="D37" s="292"/>
      <c r="E37" s="293"/>
      <c r="F37" s="309"/>
      <c r="G37" s="309"/>
      <c r="H37" s="309"/>
      <c r="I37" s="309"/>
      <c r="J37" s="1913"/>
      <c r="K37" s="3452"/>
      <c r="L37" s="3452"/>
      <c r="M37" s="1221"/>
      <c r="N37" s="3452"/>
      <c r="O37" s="3452"/>
      <c r="P37" s="1911"/>
      <c r="V37" s="1911"/>
    </row>
    <row r="38" spans="1:26" ht="16.5" customHeight="1" thickBot="1">
      <c r="A38" s="1214" t="s">
        <v>349</v>
      </c>
      <c r="B38" s="305"/>
      <c r="C38" s="292"/>
      <c r="D38" s="292"/>
      <c r="E38" s="293"/>
      <c r="F38" s="309"/>
      <c r="G38" s="309"/>
      <c r="H38" s="309"/>
      <c r="I38" s="309"/>
      <c r="J38" s="1913"/>
      <c r="K38" s="1222">
        <f>'数据-汇总表'!D3</f>
        <v>23300</v>
      </c>
      <c r="L38" s="1223">
        <f>'数据-汇总表'!E3</f>
        <v>23300</v>
      </c>
      <c r="M38" s="1223">
        <f ca="1">C34</f>
        <v>6218</v>
      </c>
      <c r="N38" s="1223">
        <f ca="1">C33</f>
        <v>6218</v>
      </c>
      <c r="O38" s="1224">
        <f ca="1">C32</f>
        <v>14488</v>
      </c>
      <c r="P38" s="1911"/>
      <c r="V38" s="1911"/>
    </row>
    <row r="39" spans="1:26" ht="16.5" customHeight="1" thickBot="1">
      <c r="A39" s="1219"/>
      <c r="B39" s="306"/>
      <c r="C39" s="307"/>
      <c r="D39" s="307"/>
      <c r="E39" s="308"/>
      <c r="F39" s="309"/>
      <c r="G39" s="309"/>
      <c r="H39" s="309"/>
      <c r="I39" s="309"/>
      <c r="J39" s="1913"/>
      <c r="K39" s="3490" t="str">
        <f>MID(A44,3,LEN(A44)-2)</f>
        <v/>
      </c>
      <c r="L39" s="3491"/>
      <c r="M39" s="3491"/>
      <c r="N39" s="3492"/>
      <c r="O39" s="1341" t="str">
        <f>C44</f>
        <v>——</v>
      </c>
      <c r="P39" s="1911"/>
      <c r="V39" s="1911"/>
    </row>
    <row r="40" spans="1:26" ht="19.5" thickBot="1">
      <c r="A40" s="104" t="s">
        <v>864</v>
      </c>
      <c r="B40" s="309"/>
      <c r="C40" s="309"/>
      <c r="D40" s="309"/>
      <c r="E40" s="309"/>
      <c r="F40" s="309"/>
      <c r="G40" s="309"/>
      <c r="H40" s="309"/>
      <c r="I40" s="309"/>
      <c r="J40" s="1913"/>
      <c r="K40" s="3490" t="str">
        <f t="shared" ref="K40:K41" si="0">MID(A45,3,LEN(A45)-2)</f>
        <v/>
      </c>
      <c r="L40" s="3491"/>
      <c r="M40" s="3491"/>
      <c r="N40" s="3492"/>
      <c r="O40" s="1341" t="str">
        <f>C45</f>
        <v>——</v>
      </c>
      <c r="P40" s="1911"/>
      <c r="V40" s="1911"/>
    </row>
    <row r="41" spans="1:26" ht="16.5" thickBot="1">
      <c r="A41" s="310" t="s">
        <v>356</v>
      </c>
      <c r="B41" s="311"/>
      <c r="C41" s="312" t="s">
        <v>357</v>
      </c>
      <c r="D41" s="313" t="s">
        <v>358</v>
      </c>
      <c r="E41" s="313" t="s">
        <v>359</v>
      </c>
      <c r="F41" s="314" t="s">
        <v>360</v>
      </c>
      <c r="G41" s="309"/>
      <c r="H41" s="309"/>
      <c r="I41" s="309"/>
      <c r="J41" s="1913"/>
      <c r="K41" s="3490" t="str">
        <f t="shared" si="0"/>
        <v/>
      </c>
      <c r="L41" s="3491"/>
      <c r="M41" s="3491"/>
      <c r="N41" s="3492"/>
      <c r="O41" s="1341" t="str">
        <f>C46</f>
        <v>——</v>
      </c>
      <c r="P41" s="1911"/>
      <c r="V41" s="1911"/>
    </row>
    <row r="42" spans="1:26" ht="29.25">
      <c r="A42" s="3434" t="s">
        <v>2056</v>
      </c>
      <c r="B42" s="3435"/>
      <c r="C42" s="262">
        <f ca="1">C32</f>
        <v>14488</v>
      </c>
      <c r="D42" s="315">
        <f ca="1">C33</f>
        <v>6218</v>
      </c>
      <c r="E42" s="315">
        <f ca="1">C34</f>
        <v>6218</v>
      </c>
      <c r="F42" s="316">
        <f ca="1">C35</f>
        <v>415</v>
      </c>
      <c r="G42" s="309"/>
      <c r="H42" s="309"/>
      <c r="I42" s="317"/>
      <c r="J42" s="1913"/>
      <c r="K42" s="1225" t="s">
        <v>361</v>
      </c>
      <c r="L42" s="1930" t="s">
        <v>362</v>
      </c>
      <c r="M42" s="1226" t="s">
        <v>363</v>
      </c>
      <c r="N42" s="1931" t="s">
        <v>364</v>
      </c>
      <c r="O42" s="1932" t="s">
        <v>365</v>
      </c>
      <c r="P42" s="1911"/>
      <c r="V42" s="1911"/>
    </row>
    <row r="43" spans="1:26" ht="18">
      <c r="A43" s="3445" t="s">
        <v>2711</v>
      </c>
      <c r="B43" s="3446"/>
      <c r="C43" s="262">
        <f>IF(H33="正常操作",G33+G34+G35,G34+G35)</f>
        <v>0</v>
      </c>
      <c r="D43" s="315" t="s">
        <v>43</v>
      </c>
      <c r="E43" s="315" t="s">
        <v>44</v>
      </c>
      <c r="F43" s="316" t="s">
        <v>44</v>
      </c>
      <c r="G43" s="2583" t="s">
        <v>943</v>
      </c>
      <c r="H43" s="309"/>
      <c r="I43" s="317"/>
      <c r="J43" s="1913"/>
      <c r="K43" s="1227" t="str">
        <f>C4</f>
        <v>成本逼近法</v>
      </c>
      <c r="L43" s="1228">
        <f ca="1">IF(L42="估价结果/万元",C19,C20)</f>
        <v>9896</v>
      </c>
      <c r="M43" s="1229">
        <f>C18</f>
        <v>0.5</v>
      </c>
      <c r="N43" s="1230">
        <f ca="1">IF(N42="测算结果/万元",G19,G20)</f>
        <v>14488</v>
      </c>
      <c r="O43" s="1231">
        <f ca="1">IF(O42="最终结果/万元",C32,C33)</f>
        <v>14488</v>
      </c>
      <c r="P43" s="1911"/>
      <c r="V43" s="1911"/>
    </row>
    <row r="44" spans="1:26" ht="18.75" thickBot="1">
      <c r="A44" s="3434" t="str">
        <f>IF(OR(项目基本情况!E8="抵押价格",项目基本情况!E8="已注销及未注销"),"3.抵押价格","——")</f>
        <v>——</v>
      </c>
      <c r="B44" s="3435"/>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剩余法-现房</v>
      </c>
      <c r="L44" s="1233">
        <f ca="1">IF(L42="估价结果/万元",D19,D20)</f>
        <v>19080.018435441139</v>
      </c>
      <c r="M44" s="1234">
        <f>D18</f>
        <v>0.5</v>
      </c>
      <c r="N44" s="1235"/>
      <c r="O44" s="1236"/>
      <c r="P44" s="1911"/>
      <c r="V44" s="1911"/>
    </row>
    <row r="45" spans="1:26" ht="15">
      <c r="A45" s="3440" t="str">
        <f>IF(项目基本情况!E8="已注销及未注销","4.抵押担保权已注销时的抵押价格",IF(项目基本情况!E8="已注销","3.抵押担保权已注销时的抵押价格","——"))</f>
        <v>——</v>
      </c>
      <c r="B45" s="3441"/>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36" t="str">
        <f>IF(项目基本情况!E9="抵押净值",IF(A45="——","4.抵押净值","5.抵押净值"),"——")</f>
        <v>——</v>
      </c>
      <c r="B46" s="3437"/>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84" t="s">
        <v>374</v>
      </c>
      <c r="B63" s="3485"/>
      <c r="C63" s="3486"/>
      <c r="D63" s="339">
        <f ca="1">ROUND(C42*F63,0)</f>
        <v>14488</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42" t="s">
        <v>378</v>
      </c>
      <c r="B64" s="3443"/>
      <c r="C64" s="3443"/>
      <c r="D64" s="3443"/>
      <c r="E64" s="3443"/>
      <c r="F64" s="3443"/>
      <c r="G64" s="3444"/>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438" t="s">
        <v>386</v>
      </c>
      <c r="B66" s="3439"/>
      <c r="C66" s="3439"/>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499" t="s">
        <v>385</v>
      </c>
      <c r="M66" s="3500"/>
      <c r="N66" s="2312"/>
      <c r="O66" s="2313"/>
      <c r="P66" s="2314"/>
      <c r="Q66" s="1911"/>
      <c r="R66" s="1911"/>
      <c r="S66" s="1911"/>
      <c r="T66" s="1911"/>
      <c r="U66" s="1911"/>
      <c r="V66" s="1911"/>
    </row>
    <row r="67" spans="1:22" ht="25.5" customHeight="1">
      <c r="A67" s="350" t="s">
        <v>389</v>
      </c>
      <c r="B67" s="3429" t="s">
        <v>390</v>
      </c>
      <c r="C67" s="3429"/>
      <c r="D67" s="351">
        <v>0</v>
      </c>
      <c r="E67" s="41" t="s">
        <v>391</v>
      </c>
      <c r="F67" s="62" t="s">
        <v>21</v>
      </c>
      <c r="G67" s="3487"/>
      <c r="H67" s="3006" t="s">
        <v>2965</v>
      </c>
      <c r="I67" s="3008"/>
      <c r="J67" s="1918"/>
      <c r="K67" s="1890">
        <v>2</v>
      </c>
      <c r="L67" s="3493" t="s">
        <v>388</v>
      </c>
      <c r="M67" s="3493"/>
      <c r="N67" s="1279">
        <f>'数据-取费表'!B2</f>
        <v>44071</v>
      </c>
      <c r="O67" s="1279"/>
      <c r="P67" s="1279"/>
      <c r="Q67" s="1911"/>
      <c r="R67" s="1911"/>
      <c r="S67" s="1911"/>
      <c r="T67" s="1911"/>
      <c r="U67" s="1911"/>
      <c r="V67" s="1911"/>
    </row>
    <row r="68" spans="1:22" ht="25.5" customHeight="1">
      <c r="A68" s="352"/>
      <c r="B68" s="3429" t="s">
        <v>393</v>
      </c>
      <c r="C68" s="3429"/>
      <c r="D68" s="353"/>
      <c r="E68" s="77"/>
      <c r="F68" s="354"/>
      <c r="G68" s="3488"/>
      <c r="H68" s="3007" t="s">
        <v>2966</v>
      </c>
      <c r="I68" s="3008"/>
      <c r="J68" s="1918"/>
      <c r="K68" s="1890">
        <v>3</v>
      </c>
      <c r="L68" s="3493" t="s">
        <v>392</v>
      </c>
      <c r="M68" s="3493"/>
      <c r="N68" s="1247">
        <f ca="1">C42</f>
        <v>14488</v>
      </c>
      <c r="O68" s="1247"/>
      <c r="P68" s="1247"/>
      <c r="Q68" s="1911"/>
      <c r="R68" s="1911"/>
      <c r="S68" s="1911"/>
      <c r="T68" s="1911"/>
      <c r="U68" s="1911"/>
      <c r="V68" s="1911"/>
    </row>
    <row r="69" spans="1:22" ht="23.45" customHeight="1">
      <c r="A69" s="355"/>
      <c r="B69" s="3429" t="s">
        <v>394</v>
      </c>
      <c r="C69" s="3429"/>
      <c r="D69" s="356"/>
      <c r="E69" s="73"/>
      <c r="F69" s="354"/>
      <c r="G69" s="3489"/>
      <c r="H69" s="3007" t="s">
        <v>2967</v>
      </c>
      <c r="I69" s="3008"/>
      <c r="J69" s="1918"/>
      <c r="K69" s="1248">
        <v>4</v>
      </c>
      <c r="L69" s="3503" t="s">
        <v>2862</v>
      </c>
      <c r="M69" s="3504"/>
      <c r="N69" s="1249" t="str">
        <f>C44</f>
        <v>——</v>
      </c>
      <c r="O69" s="1249"/>
      <c r="P69" s="1249"/>
      <c r="Q69" s="1911"/>
      <c r="R69" s="1911"/>
      <c r="S69" s="1911"/>
      <c r="T69" s="1911"/>
      <c r="U69" s="1911"/>
      <c r="V69" s="1911"/>
    </row>
    <row r="70" spans="1:22" ht="24" customHeight="1">
      <c r="A70" s="357" t="s">
        <v>395</v>
      </c>
      <c r="B70" s="3429" t="s">
        <v>396</v>
      </c>
      <c r="C70" s="3429"/>
      <c r="D70" s="356">
        <f ca="1">ROUND(D63*'数据-取费表'!B41/(1+'数据-取费表'!C42),0)</f>
        <v>759</v>
      </c>
      <c r="E70" s="17" t="s">
        <v>397</v>
      </c>
      <c r="F70" s="358">
        <f>'数据-取费表'!B41</f>
        <v>5.5000000000000007E-2</v>
      </c>
      <c r="G70" s="359"/>
      <c r="H70" s="309"/>
      <c r="I70" s="1246"/>
      <c r="J70" s="1918"/>
      <c r="K70" s="2765"/>
      <c r="L70" s="2766"/>
      <c r="M70" s="2766"/>
      <c r="N70" s="2767" t="s">
        <v>2866</v>
      </c>
      <c r="O70" s="2766"/>
      <c r="P70" s="2768"/>
      <c r="Q70" s="1911"/>
      <c r="R70" s="1911"/>
      <c r="S70" s="1911"/>
      <c r="T70" s="1911"/>
      <c r="U70" s="1911"/>
      <c r="V70" s="1911"/>
    </row>
    <row r="71" spans="1:22" ht="12" customHeight="1">
      <c r="A71" s="357" t="s">
        <v>403</v>
      </c>
      <c r="B71" s="3430" t="s">
        <v>2996</v>
      </c>
      <c r="C71" s="3431"/>
      <c r="D71" s="356">
        <f ca="1">ROUND(D63*'数据-取费表'!B41/(1+'数据-取费表'!C42),0)</f>
        <v>759</v>
      </c>
      <c r="E71" s="17" t="s">
        <v>397</v>
      </c>
      <c r="F71" s="358">
        <f>'数据-取费表'!B41</f>
        <v>5.5000000000000007E-2</v>
      </c>
      <c r="G71" s="359"/>
      <c r="H71" s="309"/>
      <c r="I71" s="1246"/>
      <c r="J71" s="1918"/>
      <c r="K71" s="2764" t="s">
        <v>398</v>
      </c>
      <c r="L71" s="3505" t="s">
        <v>399</v>
      </c>
      <c r="M71" s="3505"/>
      <c r="N71" s="2764" t="s">
        <v>400</v>
      </c>
      <c r="O71" s="2764" t="s">
        <v>401</v>
      </c>
      <c r="P71" s="2764" t="s">
        <v>402</v>
      </c>
      <c r="Q71" s="1911"/>
      <c r="R71" s="1911"/>
      <c r="S71" s="1911"/>
      <c r="T71" s="1911"/>
      <c r="U71" s="1911"/>
      <c r="V71" s="1911"/>
    </row>
    <row r="72" spans="1:22" ht="12" customHeight="1">
      <c r="A72" s="357" t="s">
        <v>405</v>
      </c>
      <c r="B72" s="3430" t="s">
        <v>2997</v>
      </c>
      <c r="C72" s="3431"/>
      <c r="D72" s="356">
        <f ca="1">C86</f>
        <v>759</v>
      </c>
      <c r="E72" s="73" t="s">
        <v>406</v>
      </c>
      <c r="F72" s="358">
        <f>'数据-取费表'!B41</f>
        <v>5.5000000000000007E-2</v>
      </c>
      <c r="G72" s="359"/>
      <c r="H72" s="1252"/>
      <c r="I72" s="1246"/>
      <c r="J72" s="1918"/>
      <c r="K72" s="1890">
        <v>1</v>
      </c>
      <c r="L72" s="3480" t="s">
        <v>404</v>
      </c>
      <c r="M72" s="3480"/>
      <c r="N72" s="1250" t="b">
        <f>D66</f>
        <v>0</v>
      </c>
      <c r="O72" s="1773" t="str">
        <f>E66</f>
        <v>销售额×税（费）率</v>
      </c>
      <c r="P72" s="1251">
        <f>F66</f>
        <v>5.5000000000000007E-2</v>
      </c>
      <c r="Q72" s="1911"/>
      <c r="R72" s="1911"/>
      <c r="S72" s="1911"/>
      <c r="T72" s="1911"/>
      <c r="U72" s="1911"/>
      <c r="V72" s="1911"/>
    </row>
    <row r="73" spans="1:22" ht="24" customHeight="1">
      <c r="A73" s="3475" t="s">
        <v>408</v>
      </c>
      <c r="B73" s="3439"/>
      <c r="C73" s="3439"/>
      <c r="D73" s="360">
        <f ca="1">IF(H73="个人住宅",0,ROUND(D63*I73,0))</f>
        <v>7</v>
      </c>
      <c r="E73" s="17" t="s">
        <v>409</v>
      </c>
      <c r="F73" s="358" t="str">
        <f>IF(H73="正常",I73,"免征")</f>
        <v>免征</v>
      </c>
      <c r="G73" s="359"/>
      <c r="H73" s="189"/>
      <c r="I73" s="358">
        <f>'数据-取费表'!B49</f>
        <v>5.0000000000000001E-4</v>
      </c>
      <c r="J73" s="1918"/>
      <c r="K73" s="1890">
        <v>2</v>
      </c>
      <c r="L73" s="3480" t="s">
        <v>407</v>
      </c>
      <c r="M73" s="3480"/>
      <c r="N73" s="1250">
        <f t="shared" ref="N73:P74" ca="1" si="1">D73</f>
        <v>7</v>
      </c>
      <c r="O73" s="1773" t="str">
        <f t="shared" si="1"/>
        <v>销售额×税（费）率</v>
      </c>
      <c r="P73" s="1251" t="str">
        <f t="shared" si="1"/>
        <v>免征</v>
      </c>
      <c r="Q73" s="1911"/>
      <c r="R73" s="1911"/>
      <c r="S73" s="1911"/>
      <c r="T73" s="1911"/>
      <c r="U73" s="1911"/>
      <c r="V73" s="1911"/>
    </row>
    <row r="74" spans="1:22" ht="24.75">
      <c r="A74" s="3475" t="s">
        <v>411</v>
      </c>
      <c r="B74" s="3439"/>
      <c r="C74" s="3439"/>
      <c r="D74" s="360">
        <f ca="1">IF(H74="个人住宅",D75,D76)</f>
        <v>8213</v>
      </c>
      <c r="E74" s="17" t="s">
        <v>412</v>
      </c>
      <c r="F74" s="358" t="str">
        <f>IF(H74="正常",F76,"免征")</f>
        <v>免征</v>
      </c>
      <c r="G74" s="971" t="s">
        <v>413</v>
      </c>
      <c r="H74" s="361"/>
      <c r="I74" s="42"/>
      <c r="J74" s="1918"/>
      <c r="K74" s="1890">
        <v>3</v>
      </c>
      <c r="L74" s="3480" t="s">
        <v>410</v>
      </c>
      <c r="M74" s="3480"/>
      <c r="N74" s="1250">
        <f t="shared" ca="1" si="1"/>
        <v>8213</v>
      </c>
      <c r="O74" s="1773" t="str">
        <f t="shared" si="1"/>
        <v>增值额×税（费）率</v>
      </c>
      <c r="P74" s="1253" t="str">
        <f t="shared" si="1"/>
        <v>免征</v>
      </c>
      <c r="Q74" s="1911"/>
      <c r="R74" s="1911"/>
      <c r="S74" s="1911"/>
      <c r="T74" s="1911"/>
      <c r="U74" s="1911"/>
      <c r="V74" s="1911"/>
    </row>
    <row r="75" spans="1:22" ht="12.75">
      <c r="A75" s="357" t="s">
        <v>414</v>
      </c>
      <c r="B75" s="3427" t="s">
        <v>415</v>
      </c>
      <c r="C75" s="3463"/>
      <c r="D75" s="362">
        <v>0</v>
      </c>
      <c r="E75" s="41" t="s">
        <v>416</v>
      </c>
      <c r="F75" s="363"/>
      <c r="G75" s="359"/>
      <c r="H75" s="42"/>
      <c r="I75" s="42"/>
      <c r="J75" s="1918"/>
      <c r="K75" s="2758">
        <f>IF(H77="非个人房产","",4)</f>
        <v>4</v>
      </c>
      <c r="L75" s="3480" t="str">
        <f>IF(H77="非个人房产","——","个人所得税")</f>
        <v>个人所得税</v>
      </c>
      <c r="M75" s="3480"/>
      <c r="N75" s="1254">
        <f>D77</f>
        <v>0</v>
      </c>
      <c r="O75" s="1786" t="str">
        <f>E77</f>
        <v>差额计税</v>
      </c>
      <c r="P75" s="1255">
        <f>F77</f>
        <v>0.01</v>
      </c>
      <c r="Q75" s="1911"/>
      <c r="R75" s="1911"/>
      <c r="S75" s="1911"/>
      <c r="T75" s="1911"/>
      <c r="U75" s="1911"/>
      <c r="V75" s="1911"/>
    </row>
    <row r="76" spans="1:22" ht="24.75">
      <c r="A76" s="357" t="s">
        <v>395</v>
      </c>
      <c r="B76" s="3427" t="s">
        <v>418</v>
      </c>
      <c r="C76" s="3428"/>
      <c r="D76" s="360">
        <f ca="1">IF(H76="转让取得",C99,C115)</f>
        <v>8213</v>
      </c>
      <c r="E76" s="17" t="s">
        <v>419</v>
      </c>
      <c r="F76" s="53" t="s">
        <v>21</v>
      </c>
      <c r="G76" s="359"/>
      <c r="H76" s="361"/>
      <c r="I76" s="42"/>
      <c r="J76" s="1918"/>
      <c r="K76" s="2758" t="str">
        <f>IF(项目基本情况!K6="上海银行",IF(K75="",4,K75+1),"")</f>
        <v/>
      </c>
      <c r="L76" s="3495" t="str">
        <f>IF(项目基本情况!K6="上海银行","其他处置费用","")</f>
        <v/>
      </c>
      <c r="M76" s="3496"/>
      <c r="N76" s="1250" t="str">
        <f>IF(项目基本情况!K6="上海银行",N89,"")</f>
        <v/>
      </c>
      <c r="O76" s="3497" t="str">
        <f>IF(项目基本情况!K6="上海银行","包含处置中涉及的律师、诉讼、拍卖、评估等费用","")</f>
        <v/>
      </c>
      <c r="P76" s="3498"/>
      <c r="Q76" s="1911"/>
      <c r="R76" s="1911"/>
      <c r="S76" s="1911"/>
      <c r="T76" s="1911"/>
      <c r="U76" s="1911"/>
      <c r="V76" s="1911"/>
    </row>
    <row r="77" spans="1:22" ht="24.75" thickBot="1">
      <c r="A77" s="3482" t="s">
        <v>421</v>
      </c>
      <c r="B77" s="3483"/>
      <c r="C77" s="3483"/>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2968</v>
      </c>
      <c r="J77" s="1918"/>
      <c r="K77" s="3481">
        <f>IF(AND(K75="",K76=""),4,IF(项目基本情况!K6="上海银行",K76+1,K75+1))</f>
        <v>5</v>
      </c>
      <c r="L77" s="3480" t="s">
        <v>2863</v>
      </c>
      <c r="M77" s="2763" t="s">
        <v>417</v>
      </c>
      <c r="N77" s="1256"/>
      <c r="O77" s="1257">
        <f ca="1">SUMIF(N72:N76,"&lt;9e307")</f>
        <v>8220</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481"/>
      <c r="L78" s="3480"/>
      <c r="M78" s="2763" t="s">
        <v>420</v>
      </c>
      <c r="N78" s="1256"/>
      <c r="O78" s="1257" t="str">
        <f ca="1">NUMBERSTRING(INT(O77*10000),2)&amp;"元整"</f>
        <v>捌仟贰佰贰拾万元整</v>
      </c>
      <c r="P78" s="1258"/>
      <c r="Q78" s="1911"/>
      <c r="R78" s="1911"/>
      <c r="S78" s="1911"/>
      <c r="T78" s="1911"/>
      <c r="U78" s="1911"/>
      <c r="V78" s="1911"/>
    </row>
    <row r="79" spans="1:22" ht="13.5" thickBot="1">
      <c r="A79" s="3447" t="s">
        <v>422</v>
      </c>
      <c r="B79" s="3447"/>
      <c r="C79" s="3447"/>
      <c r="D79" s="3447"/>
      <c r="E79" s="3447"/>
      <c r="F79" s="42"/>
      <c r="G79" s="42"/>
      <c r="H79" s="991"/>
      <c r="I79" s="309"/>
      <c r="J79" s="1918"/>
      <c r="K79" s="3501">
        <f>K77+1</f>
        <v>6</v>
      </c>
      <c r="L79" s="3480" t="s">
        <v>2864</v>
      </c>
      <c r="M79" s="2763" t="s">
        <v>417</v>
      </c>
      <c r="N79" s="1256"/>
      <c r="O79" s="1257" t="e">
        <f ca="1">N69-O77</f>
        <v>#VALUE!</v>
      </c>
      <c r="P79" s="1258"/>
      <c r="Q79" s="1911"/>
      <c r="R79" s="1911"/>
      <c r="S79" s="1911"/>
      <c r="T79" s="1911"/>
      <c r="U79" s="1911"/>
      <c r="V79" s="1911"/>
    </row>
    <row r="80" spans="1:22" ht="12.75">
      <c r="A80" s="3448" t="s">
        <v>423</v>
      </c>
      <c r="B80" s="3449"/>
      <c r="C80" s="982"/>
      <c r="D80" s="982" t="s">
        <v>424</v>
      </c>
      <c r="E80" s="364" t="s">
        <v>425</v>
      </c>
      <c r="F80" s="42"/>
      <c r="G80" s="42"/>
      <c r="H80" s="991"/>
      <c r="I80" s="309"/>
      <c r="J80" s="1911"/>
      <c r="K80" s="3502"/>
      <c r="L80" s="3480"/>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13798</v>
      </c>
      <c r="D81" s="367"/>
      <c r="E81" s="368"/>
      <c r="F81" s="42"/>
      <c r="G81" s="42"/>
      <c r="H81" s="991"/>
      <c r="I81" s="309"/>
      <c r="J81" s="1911"/>
      <c r="K81" s="2758">
        <f>K79+1</f>
        <v>7</v>
      </c>
      <c r="L81" s="3478" t="s">
        <v>2865</v>
      </c>
      <c r="M81" s="3479"/>
      <c r="N81" s="1260"/>
      <c r="O81" s="1261" t="e">
        <f ca="1">ROUND(O79*10000/'数据-汇总表'!E3,0)</f>
        <v>#VALUE!</v>
      </c>
      <c r="P81" s="1262"/>
      <c r="Q81" s="1911"/>
      <c r="R81" s="1911"/>
      <c r="S81" s="1911"/>
      <c r="T81" s="1911"/>
      <c r="U81" s="1911"/>
      <c r="V81" s="1911"/>
    </row>
    <row r="82" spans="1:26" ht="13.5" thickTop="1">
      <c r="A82" s="369" t="s">
        <v>1815</v>
      </c>
      <c r="B82" s="370" t="s">
        <v>427</v>
      </c>
      <c r="C82" s="371">
        <f ca="1">D63</f>
        <v>14488</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494" t="s">
        <v>2853</v>
      </c>
      <c r="L83" s="2769" t="s">
        <v>2854</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2908</v>
      </c>
      <c r="F84" s="42"/>
      <c r="G84" s="42"/>
      <c r="H84" s="991"/>
      <c r="I84" s="309"/>
      <c r="J84" s="1911"/>
      <c r="K84" s="3494"/>
      <c r="L84" s="2769" t="s">
        <v>2855</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2856</v>
      </c>
      <c r="P84" s="1911"/>
      <c r="Q84" s="1911"/>
      <c r="R84" s="1911"/>
      <c r="S84" s="1911"/>
      <c r="T84" s="1911"/>
      <c r="U84" s="1911"/>
      <c r="V84" s="1911"/>
    </row>
    <row r="85" spans="1:26" ht="12.75">
      <c r="A85" s="375" t="s">
        <v>1818</v>
      </c>
      <c r="B85" s="376" t="s">
        <v>430</v>
      </c>
      <c r="C85" s="379">
        <f ca="1">C81-C84</f>
        <v>13798</v>
      </c>
      <c r="D85" s="372" t="s">
        <v>19</v>
      </c>
      <c r="E85" s="373"/>
      <c r="F85" s="42"/>
      <c r="G85" s="42"/>
      <c r="H85" s="991"/>
      <c r="I85" s="309"/>
      <c r="J85" s="1911"/>
      <c r="K85" s="3494"/>
      <c r="L85" s="2769" t="s">
        <v>2857</v>
      </c>
      <c r="M85" s="2759" t="e">
        <f>IF(N69&gt;1000,N69*0.1%,IF(AND(N69&gt;500,N69&lt;=1000),N69*0.5%,IF(AND(N69&gt;50,N69&lt;=500),N69*1%,IF(AND(N69&gt;1,N69&lt;=50),N69*1.5%))))</f>
        <v>#VALUE!</v>
      </c>
      <c r="N85" s="53" t="e">
        <f t="shared" si="2"/>
        <v>#VALUE!</v>
      </c>
      <c r="O85" s="1911" t="s">
        <v>2856</v>
      </c>
      <c r="P85" s="1911"/>
      <c r="Q85" s="1911"/>
      <c r="R85" s="1911"/>
      <c r="S85" s="1911"/>
      <c r="T85" s="1911"/>
      <c r="U85" s="1911"/>
      <c r="V85" s="1911"/>
    </row>
    <row r="86" spans="1:26" ht="13.5" thickBot="1">
      <c r="A86" s="380" t="s">
        <v>1819</v>
      </c>
      <c r="B86" s="381" t="s">
        <v>431</v>
      </c>
      <c r="C86" s="382">
        <f ca="1">IF(C85&lt;=0,0,ROUND(C85*D86,0))</f>
        <v>759</v>
      </c>
      <c r="D86" s="383">
        <f>'数据-取费表'!B41</f>
        <v>5.5000000000000007E-2</v>
      </c>
      <c r="E86" s="384"/>
      <c r="F86" s="42"/>
      <c r="G86" s="42"/>
      <c r="H86" s="991"/>
      <c r="I86" s="309"/>
      <c r="J86" s="1911"/>
      <c r="K86" s="3494"/>
      <c r="L86" s="2769" t="s">
        <v>2858</v>
      </c>
      <c r="M86" s="2759" t="e">
        <f>N69*0.5%</f>
        <v>#VALUE!</v>
      </c>
      <c r="N86" s="53" t="e">
        <f>IF(M86&gt;0.5,0.5,ROUND(M86,0))</f>
        <v>#VALUE!</v>
      </c>
      <c r="O86" s="1911" t="s">
        <v>2859</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94"/>
      <c r="L87" s="2769" t="s">
        <v>2860</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473" t="s">
        <v>432</v>
      </c>
      <c r="B88" s="3474"/>
      <c r="C88" s="3474"/>
      <c r="D88" s="3474"/>
      <c r="E88" s="3474"/>
      <c r="F88" s="3474"/>
      <c r="G88" s="3474"/>
      <c r="H88" s="3474"/>
      <c r="I88" s="1269"/>
      <c r="J88" s="1919"/>
      <c r="K88" s="3494"/>
      <c r="L88" s="2769" t="s">
        <v>2861</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448" t="s">
        <v>423</v>
      </c>
      <c r="B89" s="3449"/>
      <c r="C89" s="982"/>
      <c r="D89" s="982" t="s">
        <v>424</v>
      </c>
      <c r="E89" s="385" t="s">
        <v>433</v>
      </c>
      <c r="F89" s="386"/>
      <c r="G89" s="386"/>
      <c r="H89" s="387"/>
      <c r="I89" s="1270"/>
      <c r="J89" s="1921"/>
      <c r="K89" s="3494"/>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13798</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69</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30" t="s">
        <v>441</v>
      </c>
      <c r="F94" s="3429"/>
      <c r="G94" s="3429"/>
      <c r="H94" s="3472"/>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69</v>
      </c>
      <c r="D96" s="400">
        <f>'数据-取费表'!B43</f>
        <v>5.000000000000001E-3</v>
      </c>
      <c r="E96" s="3464" t="s">
        <v>2413</v>
      </c>
      <c r="F96" s="3465"/>
      <c r="G96" s="3465"/>
      <c r="H96" s="3466"/>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13729</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f ca="1">IF(C97&lt;=0,0,C97/C91)</f>
        <v>198.97101449275362</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f ca="1">ROUND(IF(C97&lt;=0,0,IF(C98&gt;=200%,C97*60%-C91*35%,IF(C98&gt;=100%,C97*50%-C91*15%,IF(C98&gt;=50%,C97*40%-C91*5%,IF(C98&lt;50%,C97*30%,0))))),0)</f>
        <v>8213</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73" t="s">
        <v>448</v>
      </c>
      <c r="B101" s="3474"/>
      <c r="C101" s="3474"/>
      <c r="D101" s="3474"/>
      <c r="E101" s="3474"/>
      <c r="F101" s="3474"/>
      <c r="G101" s="3474"/>
      <c r="H101" s="3474"/>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48" t="s">
        <v>423</v>
      </c>
      <c r="B102" s="3449"/>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13798</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69</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2989</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424" t="s">
        <v>2959</v>
      </c>
      <c r="H108" s="3425"/>
      <c r="I108" s="2859"/>
      <c r="J108" s="1916"/>
      <c r="K108" s="3244" t="s">
        <v>2990</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67" t="s">
        <v>456</v>
      </c>
      <c r="F109" s="3465"/>
      <c r="G109" s="3465"/>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467" t="s">
        <v>458</v>
      </c>
      <c r="F110" s="3465"/>
      <c r="G110" s="3465"/>
      <c r="H110" s="3466"/>
      <c r="I110" s="11"/>
      <c r="J110" s="1916"/>
      <c r="K110" s="3245" t="s">
        <v>2991</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69</v>
      </c>
      <c r="D111" s="400">
        <f>'数据-取费表'!B43</f>
        <v>5.000000000000001E-3</v>
      </c>
      <c r="E111" s="3464" t="s">
        <v>2413</v>
      </c>
      <c r="F111" s="3465"/>
      <c r="G111" s="3465"/>
      <c r="H111" s="3466"/>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67" t="s">
        <v>2436</v>
      </c>
      <c r="F112" s="3465"/>
      <c r="G112" s="3465"/>
      <c r="H112" s="3466"/>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13729</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f ca="1">IF(C113&lt;=0,0,C113/C104)</f>
        <v>198.97101449275362</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f ca="1">ROUND(IF(C113&lt;=0,0,IF(C114&gt;=200%,C113*60%-C104*35%,IF(C114&gt;=100%,C113*50%-C104*15%,IF(C114&gt;=50%,C113*40%-C104*5%,IF(C114&lt;50%,C113*30%,0))))),0)</f>
        <v>8213</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169" priority="21" stopIfTrue="1" operator="equal">
      <formula>25</formula>
    </cfRule>
  </conditionalFormatting>
  <conditionalFormatting sqref="C8:C9">
    <cfRule type="cellIs" dxfId="168" priority="19" stopIfTrue="1" operator="equal">
      <formula>15</formula>
    </cfRule>
  </conditionalFormatting>
  <conditionalFormatting sqref="C14:C16">
    <cfRule type="cellIs" dxfId="167" priority="13" stopIfTrue="1" operator="equal">
      <formula>30</formula>
    </cfRule>
  </conditionalFormatting>
  <conditionalFormatting sqref="D5:D7">
    <cfRule type="cellIs" dxfId="166" priority="10" stopIfTrue="1" operator="equal">
      <formula>25</formula>
    </cfRule>
  </conditionalFormatting>
  <conditionalFormatting sqref="D8:D9">
    <cfRule type="cellIs" dxfId="165" priority="9" stopIfTrue="1" operator="equal">
      <formula>15</formula>
    </cfRule>
  </conditionalFormatting>
  <conditionalFormatting sqref="C10:D13">
    <cfRule type="cellIs" dxfId="164" priority="8" stopIfTrue="1" operator="equal">
      <formula>15</formula>
    </cfRule>
  </conditionalFormatting>
  <conditionalFormatting sqref="D14:D16">
    <cfRule type="cellIs" dxfId="163" priority="6" stopIfTrue="1" operator="equal">
      <formula>30</formula>
    </cfRule>
  </conditionalFormatting>
  <conditionalFormatting sqref="C108">
    <cfRule type="expression" dxfId="162" priority="3" stopIfTrue="1">
      <formula>$H$106&lt;&gt;"仅含出让金"</formula>
    </cfRule>
  </conditionalFormatting>
  <conditionalFormatting sqref="C109">
    <cfRule type="expression" dxfId="161" priority="2" stopIfTrue="1">
      <formula>$H$109="由企业提供"</formula>
    </cfRule>
  </conditionalFormatting>
  <conditionalFormatting sqref="I33">
    <cfRule type="expression" dxfId="16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f ca="1">C36</f>
        <v>-913</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-392</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-392</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-26</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0</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466</v>
      </c>
      <c r="D16" s="2561">
        <f ca="1">IF(B1="",'数据-汇总表'!E3,INDIRECT("'数据-取费表'!K"&amp;$K$1)+INDIRECT("'数据-取费表'!S"&amp;$K$1))</f>
        <v>23300</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0</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466</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23300</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466</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466</v>
      </c>
      <c r="D22" s="2561">
        <f ca="1">IF(B1="",'数据-汇总表'!E6,IF(INDIRECT("'数据-取费表'!c"&amp;$K$1)="住宅",INDIRECT("'数据-取费表'!s"&amp;$K$1),INDIRECT("'数据-取费表'!k"&amp;$K$1)+INDIRECT("'数据-取费表'!s"&amp;$K$1)))</f>
        <v>23300</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2813</v>
      </c>
      <c r="C23" s="2569">
        <f ca="1">ROUND((C18+C19+C20)*F23,0)</f>
        <v>9</v>
      </c>
      <c r="D23" s="462"/>
      <c r="E23" s="462"/>
      <c r="F23" s="2573">
        <f>'数据-取费表'!B37</f>
        <v>0.01</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2816</v>
      </c>
      <c r="C24" s="2569">
        <f>ROUND(C6*F24,0)</f>
        <v>0</v>
      </c>
      <c r="D24" s="469"/>
      <c r="E24" s="467"/>
      <c r="F24" s="2573">
        <f>'数据-取费表'!B38</f>
        <v>0.01</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2814</v>
      </c>
      <c r="C25" s="3276">
        <f>F25</f>
        <v>3.0499999999999999E-2</v>
      </c>
      <c r="D25" s="456" t="s">
        <v>2808</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2815</v>
      </c>
      <c r="C26" s="2574">
        <f ca="1">C28</f>
        <v>0</v>
      </c>
      <c r="D26" s="461">
        <f ca="1">C27</f>
        <v>0</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0</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2817</v>
      </c>
      <c r="C28" s="2577">
        <f ca="1">ROUND(IF('数据-取费表'!B22&lt;=1,(C18+C19+C20+C23+C24)*F26*'数据-取费表'!B24/2,(C18+C19+C20+C23+C24)*(POWER((1+F26),'数据-取费表'!B24/2)-1)),0)</f>
        <v>0</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0</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941</v>
      </c>
      <c r="D30" s="471">
        <f ca="1">C32</f>
        <v>3.0499999999999999E-2</v>
      </c>
      <c r="E30" s="463" t="s">
        <v>489</v>
      </c>
      <c r="F30" s="465"/>
      <c r="G30" s="2537" t="s">
        <v>2936</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941</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3.0499999999999999E-2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2812</v>
      </c>
      <c r="B33" s="2745" t="s">
        <v>2810</v>
      </c>
      <c r="C33" s="472">
        <f ca="1">C35</f>
        <v>47</v>
      </c>
      <c r="D33" s="461">
        <f ca="1">C34</f>
        <v>5.1499999999999997E-2</v>
      </c>
      <c r="E33" s="463" t="s">
        <v>489</v>
      </c>
      <c r="F33" s="473">
        <f ca="1">IF(B1="",'数据-取费表'!Q16,INDIRECT("'数据-取费表'!q"&amp;$K$1))</f>
        <v>0.05</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f ca="1">ROUND((1+C25)*F33,4)</f>
        <v>5.1499999999999997E-2</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2818</v>
      </c>
      <c r="C35" s="1557">
        <f ca="1">ROUND((C18+C19+C20+C23+C24)*F33,0)</f>
        <v>47</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f ca="1">ROUND((C6-C30-C33)/(1+D30+D33),0)</f>
        <v>-913</v>
      </c>
      <c r="D36" s="2543"/>
      <c r="E36" s="2543"/>
      <c r="F36" s="2543"/>
      <c r="G36" s="2542" t="s">
        <v>2819</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K14"/>
  <sheetViews>
    <sheetView workbookViewId="0">
      <selection activeCell="G6" sqref="G6"/>
    </sheetView>
  </sheetViews>
  <sheetFormatPr defaultRowHeight="13.5"/>
  <cols>
    <col min="1" max="3" width="9" style="3280"/>
    <col min="4" max="4" width="0" style="3280" hidden="1" customWidth="1"/>
    <col min="5" max="5" width="9" style="3280"/>
    <col min="6" max="6" width="0" style="3280" hidden="1" customWidth="1"/>
    <col min="7" max="7" width="27.125" style="3280" customWidth="1"/>
    <col min="8" max="16384" width="9" style="3280"/>
  </cols>
  <sheetData>
    <row r="5" spans="3:11">
      <c r="C5" s="3278" t="s">
        <v>3002</v>
      </c>
      <c r="D5" s="3279"/>
      <c r="E5" s="3278" t="s">
        <v>3003</v>
      </c>
      <c r="F5" s="3279"/>
      <c r="G5" s="3278" t="s">
        <v>3276</v>
      </c>
      <c r="H5" s="3278" t="s">
        <v>3004</v>
      </c>
      <c r="I5" s="3279"/>
      <c r="J5" s="3279"/>
      <c r="K5" s="3279"/>
    </row>
    <row r="6" spans="3:11">
      <c r="C6" s="3279">
        <f ca="1">基准地价!C29</f>
        <v>8729</v>
      </c>
      <c r="D6" s="3279"/>
      <c r="E6" s="3279">
        <f ca="1">'剩余法-现房'!B3</f>
        <v>8189</v>
      </c>
      <c r="F6" s="3279"/>
      <c r="G6" s="3279">
        <f ca="1">ROUND((C6+E6)/2*(1-0.25),0)</f>
        <v>6344</v>
      </c>
      <c r="H6" s="3279">
        <v>0.4</v>
      </c>
      <c r="I6" s="3279"/>
      <c r="J6" s="3278" t="s">
        <v>3005</v>
      </c>
      <c r="K6" s="3278" t="s">
        <v>3006</v>
      </c>
    </row>
    <row r="7" spans="3:11">
      <c r="C7" s="3279"/>
      <c r="D7" s="3279"/>
      <c r="E7" s="3279"/>
      <c r="F7" s="3279"/>
      <c r="G7" s="3278" t="s">
        <v>3007</v>
      </c>
      <c r="H7" s="3279"/>
      <c r="I7" s="3279"/>
      <c r="J7" s="3279">
        <f ca="1">ROUND(G6*H6+G8*H8,0)</f>
        <v>5086</v>
      </c>
      <c r="K7" s="3281">
        <f ca="1">J7*667/10000</f>
        <v>339.2362</v>
      </c>
    </row>
    <row r="8" spans="3:11">
      <c r="C8" s="3279"/>
      <c r="D8" s="3279"/>
      <c r="E8" s="3279"/>
      <c r="F8" s="3279"/>
      <c r="G8" s="3279">
        <f ca="1">成本逼近法!B3</f>
        <v>4247</v>
      </c>
      <c r="H8" s="3279">
        <v>0.6</v>
      </c>
      <c r="I8" s="3279"/>
      <c r="J8" s="3279"/>
      <c r="K8" s="3279"/>
    </row>
    <row r="11" spans="3:11">
      <c r="G11" s="3282" t="s">
        <v>3275</v>
      </c>
      <c r="J11" s="3280">
        <f ca="1">ROUND(G12*H6+G8*H8,0)</f>
        <v>5289</v>
      </c>
      <c r="K11" s="3280">
        <f ca="1">J11*667</f>
        <v>3527763</v>
      </c>
    </row>
    <row r="12" spans="3:11">
      <c r="G12" s="3280">
        <f ca="1">ROUND((C6+E6)/2*(1-0.19),0)</f>
        <v>6852</v>
      </c>
      <c r="H12" s="3280">
        <v>0.4</v>
      </c>
    </row>
    <row r="13" spans="3:11">
      <c r="G13" s="3282" t="s">
        <v>3008</v>
      </c>
    </row>
    <row r="14" spans="3:11">
      <c r="G14" s="3280">
        <f ca="1">G8</f>
        <v>4247</v>
      </c>
      <c r="H14" s="3280">
        <f>H8</f>
        <v>0.6</v>
      </c>
    </row>
  </sheetData>
  <phoneticPr fontId="229"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33" t="str">
        <f>项目基本情况!B1</f>
        <v>北京市划拨国有建设用地使用权市场价格预评估</v>
      </c>
      <c r="C37" s="3333"/>
      <c r="D37" s="3333"/>
      <c r="E37" s="3333"/>
      <c r="F37" s="3333"/>
      <c r="G37" s="3333"/>
      <c r="H37" s="3333"/>
      <c r="I37" s="3333"/>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topLeftCell="A5" zoomScale="90" zoomScaleNormal="80" zoomScaleSheetLayoutView="90" workbookViewId="0">
      <selection activeCell="C34" sqref="C34"/>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t="s">
        <v>3012</v>
      </c>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41" s="1924" customFormat="1" ht="18" customHeight="1">
      <c r="A2" s="417" t="s">
        <v>461</v>
      </c>
      <c r="B2" s="418">
        <f ca="1">C32</f>
        <v>19080.018435441139</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f ca="1">ROUND(B2*10000/IF(B1="",'数据-汇总表'!E3,INDIRECT("'数据-取费表'!K"&amp;$K$1)),0)</f>
        <v>8189</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8189</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546</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 ca="1">SUM(C10:K10)</f>
        <v>27801</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t="s">
        <v>3012</v>
      </c>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23300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f ca="1">不动产收益法!B2</f>
        <v>27801</v>
      </c>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3495</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105</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466</v>
      </c>
      <c r="D16" s="445">
        <f ca="1">IF(B1="",'数据-汇总表'!E3,INDIRECT("'数据-取费表'!K"&amp;$K$1)+INDIRECT("'数据-取费表'!S"&amp;$K$1))</f>
        <v>23300</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52</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4118</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41</v>
      </c>
      <c r="D19" s="456"/>
      <c r="E19" s="456"/>
      <c r="F19" s="460">
        <f>'数据-取费表'!B37</f>
        <v>0.01</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0.01</v>
      </c>
      <c r="D20" s="463" t="s">
        <v>499</v>
      </c>
      <c r="E20" s="463"/>
      <c r="F20" s="480">
        <f>'数据-取费表'!B38</f>
        <v>0.01</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98</v>
      </c>
      <c r="D21" s="461">
        <f ca="1">C23</f>
        <v>2.0000000000000001E-4</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98</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2.0000000000000001E-4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2811</v>
      </c>
      <c r="C24" s="472">
        <f ca="1">C25</f>
        <v>208</v>
      </c>
      <c r="D24" s="483">
        <f ca="1">C26</f>
        <v>5.0000000000000001E-4</v>
      </c>
      <c r="E24" s="463" t="s">
        <v>501</v>
      </c>
      <c r="F24" s="473">
        <f ca="1">IF(B1="",'数据-取费表'!Q16,INDIRECT("'数据-取费表'!q"&amp;$K$1))</f>
        <v>0.05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f ca="1">ROUND((C18+C19)*F24,0)</f>
        <v>208</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f ca="1">ROUND(F20*F24,4)</f>
        <v>5.0000000000000001E-4</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5.2400000000000002E-2</v>
      </c>
      <c r="D27" s="456" t="s">
        <v>2809</v>
      </c>
      <c r="E27" s="456"/>
      <c r="F27" s="460">
        <f>'数据-取费表'!B41</f>
        <v>5.5000000000000007E-2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f ca="1">ROUND((C18+C19+C21+C24)/(1-C20-D21-D24-C27),0)</f>
        <v>4766</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f ca="1">IF(B1="",'数据-取费表'!N16,INDIRECT("'数据-取费表'!N"&amp;$K$1))</f>
        <v>1</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4766</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 ca="1">ROUND(C6*F31/(1+'数据-取费表'!C42),0)</f>
        <v>1456</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19080.018435441139</v>
      </c>
      <c r="D32" s="477"/>
      <c r="E32" s="477"/>
      <c r="F32" s="477"/>
      <c r="G32" s="2336" t="s">
        <v>2937</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f ca="1">C32*10000/D16</f>
        <v>8188.8491139232356</v>
      </c>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60" zoomScaleNormal="95" workbookViewId="0">
      <selection activeCell="A17" sqref="A1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15" t="s">
        <v>516</v>
      </c>
      <c r="D6" s="3516"/>
      <c r="E6" s="3515" t="s">
        <v>517</v>
      </c>
      <c r="F6" s="3516"/>
      <c r="G6" s="3515" t="s">
        <v>518</v>
      </c>
      <c r="H6" s="3516"/>
      <c r="I6" s="3515" t="s">
        <v>519</v>
      </c>
      <c r="J6" s="3516"/>
      <c r="K6" s="508" t="s">
        <v>520</v>
      </c>
      <c r="L6" s="2015"/>
      <c r="M6" s="2014"/>
      <c r="N6" s="2014"/>
      <c r="O6" s="2016"/>
      <c r="P6" s="3517" t="s">
        <v>521</v>
      </c>
      <c r="Q6" s="3518"/>
      <c r="R6" s="3523" t="s">
        <v>517</v>
      </c>
      <c r="S6" s="3524"/>
      <c r="T6" s="3523" t="s">
        <v>518</v>
      </c>
      <c r="U6" s="3524"/>
      <c r="V6" s="3510" t="s">
        <v>519</v>
      </c>
      <c r="W6" s="3510"/>
      <c r="X6" s="1502"/>
      <c r="Y6" s="3523" t="s">
        <v>521</v>
      </c>
      <c r="Z6" s="3524"/>
      <c r="AA6" s="3512" t="s">
        <v>517</v>
      </c>
      <c r="AB6" s="3513" t="s">
        <v>518</v>
      </c>
      <c r="AC6" s="3512" t="s">
        <v>519</v>
      </c>
    </row>
    <row r="7" spans="1:30" ht="20.25">
      <c r="A7" s="509"/>
      <c r="B7" s="510"/>
      <c r="C7" s="3531" t="s">
        <v>2897</v>
      </c>
      <c r="D7" s="3532"/>
      <c r="E7" s="3531" t="s">
        <v>2898</v>
      </c>
      <c r="F7" s="3532"/>
      <c r="G7" s="3531" t="s">
        <v>2899</v>
      </c>
      <c r="H7" s="3532"/>
      <c r="I7" s="3531" t="s">
        <v>2900</v>
      </c>
      <c r="J7" s="3532"/>
      <c r="K7" s="508"/>
      <c r="L7" s="2015"/>
      <c r="M7" s="2014"/>
      <c r="N7" s="2014"/>
      <c r="O7" s="2016"/>
      <c r="P7" s="3519"/>
      <c r="Q7" s="3520"/>
      <c r="R7" s="3525"/>
      <c r="S7" s="3526"/>
      <c r="T7" s="3525"/>
      <c r="U7" s="3526"/>
      <c r="V7" s="3510"/>
      <c r="W7" s="3510"/>
      <c r="X7" s="1502"/>
      <c r="Y7" s="3525"/>
      <c r="Z7" s="3526"/>
      <c r="AA7" s="3513"/>
      <c r="AB7" s="3513"/>
      <c r="AC7" s="3513"/>
    </row>
    <row r="8" spans="1:30" ht="21" thickBot="1">
      <c r="A8" s="509"/>
      <c r="B8" s="510"/>
      <c r="C8" s="3533" t="s">
        <v>2901</v>
      </c>
      <c r="D8" s="3534"/>
      <c r="E8" s="3533" t="s">
        <v>2901</v>
      </c>
      <c r="F8" s="3534"/>
      <c r="G8" s="3529" t="s">
        <v>2901</v>
      </c>
      <c r="H8" s="3530"/>
      <c r="I8" s="3529" t="s">
        <v>2901</v>
      </c>
      <c r="J8" s="3530"/>
      <c r="K8" s="508" t="s">
        <v>522</v>
      </c>
      <c r="L8" s="2015"/>
      <c r="M8" s="2014"/>
      <c r="N8" s="2014"/>
      <c r="O8" s="2016"/>
      <c r="P8" s="3521"/>
      <c r="Q8" s="3522"/>
      <c r="R8" s="3525"/>
      <c r="S8" s="3526"/>
      <c r="T8" s="3527"/>
      <c r="U8" s="3528"/>
      <c r="V8" s="3510"/>
      <c r="W8" s="3510"/>
      <c r="X8" s="1502"/>
      <c r="Y8" s="3527"/>
      <c r="Z8" s="3528"/>
      <c r="AA8" s="3514"/>
      <c r="AB8" s="3514"/>
      <c r="AC8" s="3514"/>
    </row>
    <row r="9" spans="1:30" s="1203" customFormat="1" ht="21" thickBot="1">
      <c r="A9" s="2629"/>
      <c r="B9" s="2636" t="s">
        <v>523</v>
      </c>
      <c r="C9" s="2628">
        <f>'数据-取费表'!B2</f>
        <v>44071</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540" t="s">
        <v>524</v>
      </c>
      <c r="Q9" s="3542"/>
      <c r="R9" s="1503" t="s">
        <v>8</v>
      </c>
      <c r="S9" s="1504">
        <f t="shared" ref="S9:S17" si="0">F9</f>
        <v>0</v>
      </c>
      <c r="T9" s="1503" t="s">
        <v>8</v>
      </c>
      <c r="U9" s="1504">
        <f t="shared" ref="U9:U17" si="1">H9</f>
        <v>0</v>
      </c>
      <c r="V9" s="1503" t="s">
        <v>8</v>
      </c>
      <c r="W9" s="1504">
        <f t="shared" ref="W9:W17" si="2">J9</f>
        <v>0</v>
      </c>
      <c r="X9" s="1505"/>
      <c r="Y9" s="3540" t="s">
        <v>524</v>
      </c>
      <c r="Z9" s="3541"/>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540" t="s">
        <v>527</v>
      </c>
      <c r="Q10" s="3541"/>
      <c r="R10" s="1503" t="s">
        <v>8</v>
      </c>
      <c r="S10" s="1504">
        <f t="shared" si="0"/>
        <v>0</v>
      </c>
      <c r="T10" s="1503" t="s">
        <v>8</v>
      </c>
      <c r="U10" s="1504">
        <f t="shared" si="1"/>
        <v>0</v>
      </c>
      <c r="V10" s="1503" t="s">
        <v>8</v>
      </c>
      <c r="W10" s="1504">
        <f t="shared" si="2"/>
        <v>0</v>
      </c>
      <c r="X10" s="1505"/>
      <c r="Y10" s="3540" t="s">
        <v>527</v>
      </c>
      <c r="Z10" s="3541"/>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09" t="s">
        <v>529</v>
      </c>
      <c r="Q11" s="1134" t="str">
        <f t="shared" ref="Q11:Q17" si="6">B11</f>
        <v>用途</v>
      </c>
      <c r="R11" s="1503" t="s">
        <v>8</v>
      </c>
      <c r="S11" s="1504">
        <f t="shared" si="0"/>
        <v>100</v>
      </c>
      <c r="T11" s="1503" t="s">
        <v>8</v>
      </c>
      <c r="U11" s="1504">
        <f t="shared" si="1"/>
        <v>100</v>
      </c>
      <c r="V11" s="1503" t="s">
        <v>8</v>
      </c>
      <c r="W11" s="1504">
        <f t="shared" si="2"/>
        <v>100</v>
      </c>
      <c r="X11" s="1505"/>
      <c r="Y11" s="3455"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509"/>
      <c r="Q12" s="1134" t="str">
        <f t="shared" si="6"/>
        <v>土地使用年限（年）</v>
      </c>
      <c r="R12" s="1503" t="s">
        <v>8</v>
      </c>
      <c r="S12" s="1504">
        <f t="shared" si="0"/>
        <v>100</v>
      </c>
      <c r="T12" s="1503" t="s">
        <v>8</v>
      </c>
      <c r="U12" s="1504">
        <f t="shared" si="1"/>
        <v>100</v>
      </c>
      <c r="V12" s="1503" t="s">
        <v>8</v>
      </c>
      <c r="W12" s="1504">
        <f t="shared" si="2"/>
        <v>100</v>
      </c>
      <c r="X12" s="1505"/>
      <c r="Y12" s="3455"/>
      <c r="Z12" s="1133" t="str">
        <f t="shared" si="7"/>
        <v>土地使用年限（年）</v>
      </c>
      <c r="AA12" s="1506">
        <f t="shared" si="3"/>
        <v>1</v>
      </c>
      <c r="AB12" s="1506">
        <f t="shared" si="4"/>
        <v>1</v>
      </c>
      <c r="AC12" s="1506">
        <f t="shared" si="5"/>
        <v>1</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509"/>
      <c r="Q13" s="1134" t="str">
        <f t="shared" si="6"/>
        <v>容积率</v>
      </c>
      <c r="R13" s="1503" t="s">
        <v>8</v>
      </c>
      <c r="S13" s="1504" t="e">
        <f t="shared" si="0"/>
        <v>#N/A</v>
      </c>
      <c r="T13" s="1503" t="s">
        <v>8</v>
      </c>
      <c r="U13" s="1504" t="e">
        <f t="shared" si="1"/>
        <v>#N/A</v>
      </c>
      <c r="V13" s="1503" t="s">
        <v>8</v>
      </c>
      <c r="W13" s="1504" t="e">
        <f t="shared" si="2"/>
        <v>#N/A</v>
      </c>
      <c r="X13" s="1505"/>
      <c r="Y13" s="3455"/>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509"/>
      <c r="Q14" s="1134" t="str">
        <f t="shared" si="6"/>
        <v>配建</v>
      </c>
      <c r="R14" s="1503" t="s">
        <v>8</v>
      </c>
      <c r="S14" s="1504">
        <f t="shared" si="0"/>
        <v>100</v>
      </c>
      <c r="T14" s="1503" t="s">
        <v>8</v>
      </c>
      <c r="U14" s="1504">
        <f t="shared" si="1"/>
        <v>100</v>
      </c>
      <c r="V14" s="1503" t="s">
        <v>8</v>
      </c>
      <c r="W14" s="1504">
        <f t="shared" si="2"/>
        <v>100</v>
      </c>
      <c r="X14" s="1505"/>
      <c r="Y14" s="3455"/>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09"/>
      <c r="Q15" s="1134">
        <f t="shared" si="6"/>
        <v>111</v>
      </c>
      <c r="R15" s="1503" t="s">
        <v>8</v>
      </c>
      <c r="S15" s="1504">
        <f t="shared" si="0"/>
        <v>100</v>
      </c>
      <c r="T15" s="1503" t="s">
        <v>8</v>
      </c>
      <c r="U15" s="1504">
        <f t="shared" si="1"/>
        <v>100</v>
      </c>
      <c r="V15" s="1503" t="s">
        <v>8</v>
      </c>
      <c r="W15" s="1504">
        <f t="shared" si="2"/>
        <v>100</v>
      </c>
      <c r="X15" s="1505"/>
      <c r="Y15" s="3455"/>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09"/>
      <c r="Q16" s="1134">
        <f t="shared" si="6"/>
        <v>111</v>
      </c>
      <c r="R16" s="1503" t="s">
        <v>8</v>
      </c>
      <c r="S16" s="1504">
        <f t="shared" si="0"/>
        <v>100</v>
      </c>
      <c r="T16" s="1503" t="s">
        <v>8</v>
      </c>
      <c r="U16" s="1504">
        <f t="shared" si="1"/>
        <v>100</v>
      </c>
      <c r="V16" s="1503" t="s">
        <v>8</v>
      </c>
      <c r="W16" s="1504">
        <f t="shared" si="2"/>
        <v>100</v>
      </c>
      <c r="X16" s="1505"/>
      <c r="Y16" s="3455"/>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43" t="s">
        <v>534</v>
      </c>
      <c r="Q17" s="1507" t="str">
        <f t="shared" si="6"/>
        <v>居住社区成熟度</v>
      </c>
      <c r="R17" s="1508" t="s">
        <v>8</v>
      </c>
      <c r="S17" s="1509">
        <f t="shared" si="0"/>
        <v>100</v>
      </c>
      <c r="T17" s="1508" t="s">
        <v>8</v>
      </c>
      <c r="U17" s="1509">
        <f t="shared" si="1"/>
        <v>100</v>
      </c>
      <c r="V17" s="1508" t="s">
        <v>8</v>
      </c>
      <c r="W17" s="1509">
        <f t="shared" si="2"/>
        <v>100</v>
      </c>
      <c r="X17" s="1502"/>
      <c r="Y17" s="3543"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544"/>
      <c r="Q18" s="1507"/>
      <c r="R18" s="1508"/>
      <c r="S18" s="1509"/>
      <c r="T18" s="1508"/>
      <c r="U18" s="1509"/>
      <c r="V18" s="1508"/>
      <c r="W18" s="1509"/>
      <c r="X18" s="1502"/>
      <c r="Y18" s="3544"/>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44"/>
      <c r="Q19" s="1507" t="str">
        <f>B19</f>
        <v>商业繁华度</v>
      </c>
      <c r="R19" s="1508" t="s">
        <v>8</v>
      </c>
      <c r="S19" s="1509">
        <f>F19</f>
        <v>100</v>
      </c>
      <c r="T19" s="1508" t="s">
        <v>8</v>
      </c>
      <c r="U19" s="1509">
        <f>H19</f>
        <v>100</v>
      </c>
      <c r="V19" s="1508" t="s">
        <v>8</v>
      </c>
      <c r="W19" s="1509">
        <f>J19</f>
        <v>100</v>
      </c>
      <c r="X19" s="1502"/>
      <c r="Y19" s="3544"/>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544"/>
      <c r="Q20" s="1507"/>
      <c r="R20" s="1508"/>
      <c r="S20" s="1509"/>
      <c r="T20" s="1508"/>
      <c r="U20" s="1509"/>
      <c r="V20" s="1508"/>
      <c r="W20" s="1509"/>
      <c r="X20" s="1502"/>
      <c r="Y20" s="3544"/>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44"/>
      <c r="Q21" s="1507" t="str">
        <f>B21</f>
        <v>办公集聚程度</v>
      </c>
      <c r="R21" s="1508" t="s">
        <v>8</v>
      </c>
      <c r="S21" s="1509">
        <f>F21</f>
        <v>100</v>
      </c>
      <c r="T21" s="1508" t="s">
        <v>8</v>
      </c>
      <c r="U21" s="1509">
        <f>H21</f>
        <v>100</v>
      </c>
      <c r="V21" s="1508" t="s">
        <v>8</v>
      </c>
      <c r="W21" s="1509">
        <f>J21</f>
        <v>100</v>
      </c>
      <c r="X21" s="1502"/>
      <c r="Y21" s="3544"/>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544"/>
      <c r="Q22" s="1507"/>
      <c r="R22" s="1508"/>
      <c r="S22" s="1509"/>
      <c r="T22" s="1508"/>
      <c r="U22" s="1509"/>
      <c r="V22" s="1508"/>
      <c r="W22" s="1509"/>
      <c r="X22" s="1502"/>
      <c r="Y22" s="3544"/>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44"/>
      <c r="Q23" s="1507" t="str">
        <f>B23</f>
        <v>交通便捷度</v>
      </c>
      <c r="R23" s="1508" t="s">
        <v>8</v>
      </c>
      <c r="S23" s="1509">
        <f>F23</f>
        <v>100</v>
      </c>
      <c r="T23" s="1508" t="s">
        <v>8</v>
      </c>
      <c r="U23" s="1509">
        <f>H23</f>
        <v>100</v>
      </c>
      <c r="V23" s="1508" t="s">
        <v>8</v>
      </c>
      <c r="W23" s="1509">
        <f>J23</f>
        <v>100</v>
      </c>
      <c r="X23" s="1502"/>
      <c r="Y23" s="3544"/>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544"/>
      <c r="Q24" s="1507"/>
      <c r="R24" s="1508"/>
      <c r="S24" s="1509"/>
      <c r="T24" s="1508"/>
      <c r="U24" s="1509"/>
      <c r="V24" s="1508"/>
      <c r="W24" s="1509"/>
      <c r="X24" s="1502"/>
      <c r="Y24" s="3544"/>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44"/>
      <c r="Q25" s="1507" t="str">
        <f t="shared" ref="Q25:Q39" si="8">B25</f>
        <v>区域土地利用方向</v>
      </c>
      <c r="R25" s="1508" t="s">
        <v>8</v>
      </c>
      <c r="S25" s="1509">
        <f>F25</f>
        <v>100</v>
      </c>
      <c r="T25" s="1508" t="s">
        <v>8</v>
      </c>
      <c r="U25" s="1509">
        <f>H25</f>
        <v>100</v>
      </c>
      <c r="V25" s="1508" t="s">
        <v>8</v>
      </c>
      <c r="W25" s="1509">
        <f>J25</f>
        <v>100</v>
      </c>
      <c r="X25" s="1502"/>
      <c r="Y25" s="3544"/>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544"/>
      <c r="Q26" s="1507"/>
      <c r="R26" s="1508"/>
      <c r="S26" s="1509"/>
      <c r="T26" s="1508"/>
      <c r="U26" s="1509"/>
      <c r="V26" s="1508"/>
      <c r="W26" s="1509"/>
      <c r="X26" s="1502"/>
      <c r="Y26" s="3544"/>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44"/>
      <c r="Q27" s="1507" t="str">
        <f t="shared" si="8"/>
        <v>自然及人文环境状况</v>
      </c>
      <c r="R27" s="1508" t="s">
        <v>8</v>
      </c>
      <c r="S27" s="1509">
        <f>F27</f>
        <v>100</v>
      </c>
      <c r="T27" s="1508" t="s">
        <v>8</v>
      </c>
      <c r="U27" s="1509">
        <f>H27</f>
        <v>100</v>
      </c>
      <c r="V27" s="1508" t="s">
        <v>8</v>
      </c>
      <c r="W27" s="1509">
        <f>J27</f>
        <v>100</v>
      </c>
      <c r="X27" s="1502"/>
      <c r="Y27" s="3544"/>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544"/>
      <c r="Q28" s="1507"/>
      <c r="R28" s="1508"/>
      <c r="S28" s="1509"/>
      <c r="T28" s="1508"/>
      <c r="U28" s="1509"/>
      <c r="V28" s="1508"/>
      <c r="W28" s="1509"/>
      <c r="X28" s="1502"/>
      <c r="Y28" s="3544"/>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44"/>
      <c r="Q29" s="1134" t="str">
        <f t="shared" si="8"/>
        <v>公共配套设施</v>
      </c>
      <c r="R29" s="1503" t="s">
        <v>8</v>
      </c>
      <c r="S29" s="1504">
        <f>F29</f>
        <v>100</v>
      </c>
      <c r="T29" s="1503" t="s">
        <v>8</v>
      </c>
      <c r="U29" s="1504">
        <f>H29</f>
        <v>100</v>
      </c>
      <c r="V29" s="1503" t="s">
        <v>8</v>
      </c>
      <c r="W29" s="1504">
        <f>J29</f>
        <v>100</v>
      </c>
      <c r="X29" s="1505"/>
      <c r="Y29" s="3544"/>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544"/>
      <c r="Q30" s="1134"/>
      <c r="R30" s="1503"/>
      <c r="S30" s="1504"/>
      <c r="T30" s="1503"/>
      <c r="U30" s="1504"/>
      <c r="V30" s="1503"/>
      <c r="W30" s="1504"/>
      <c r="X30" s="1505"/>
      <c r="Y30" s="3544"/>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44"/>
      <c r="Q31" s="2428" t="str">
        <f t="shared" ref="Q31" si="9">B31</f>
        <v>基础设施水平</v>
      </c>
      <c r="R31" s="1503" t="s">
        <v>8</v>
      </c>
      <c r="S31" s="1504">
        <f>F31</f>
        <v>100</v>
      </c>
      <c r="T31" s="1503" t="s">
        <v>8</v>
      </c>
      <c r="U31" s="1504">
        <f>H31</f>
        <v>100</v>
      </c>
      <c r="V31" s="1503" t="s">
        <v>8</v>
      </c>
      <c r="W31" s="1504">
        <f>J31</f>
        <v>100</v>
      </c>
      <c r="X31" s="1505"/>
      <c r="Y31" s="3544"/>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544"/>
      <c r="Q32" s="2428"/>
      <c r="R32" s="1503"/>
      <c r="S32" s="1504"/>
      <c r="T32" s="1503"/>
      <c r="U32" s="1504"/>
      <c r="V32" s="1503"/>
      <c r="W32" s="1504"/>
      <c r="X32" s="1505"/>
      <c r="Y32" s="3544"/>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44"/>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44"/>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44"/>
      <c r="Q34" s="1507" t="str">
        <f t="shared" si="8"/>
        <v>毗邻道路的类型与等级</v>
      </c>
      <c r="R34" s="1508" t="s">
        <v>8</v>
      </c>
      <c r="S34" s="1509">
        <f t="shared" si="10"/>
        <v>100</v>
      </c>
      <c r="T34" s="1508" t="s">
        <v>8</v>
      </c>
      <c r="U34" s="1509">
        <f t="shared" si="11"/>
        <v>100</v>
      </c>
      <c r="V34" s="1508" t="s">
        <v>8</v>
      </c>
      <c r="W34" s="1509">
        <f t="shared" si="12"/>
        <v>100</v>
      </c>
      <c r="X34" s="1502"/>
      <c r="Y34" s="3544"/>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544"/>
      <c r="Q35" s="1507"/>
      <c r="R35" s="1508"/>
      <c r="S35" s="1509"/>
      <c r="T35" s="1508"/>
      <c r="U35" s="1509"/>
      <c r="V35" s="1508"/>
      <c r="W35" s="1509"/>
      <c r="X35" s="1502"/>
      <c r="Y35" s="3544"/>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44"/>
      <c r="Q36" s="1507" t="str">
        <f t="shared" si="8"/>
        <v>土地级别</v>
      </c>
      <c r="R36" s="1508" t="s">
        <v>8</v>
      </c>
      <c r="S36" s="1509">
        <f t="shared" si="10"/>
        <v>100</v>
      </c>
      <c r="T36" s="1508" t="s">
        <v>8</v>
      </c>
      <c r="U36" s="1509">
        <f t="shared" si="11"/>
        <v>100</v>
      </c>
      <c r="V36" s="1508" t="s">
        <v>8</v>
      </c>
      <c r="W36" s="1509">
        <f t="shared" si="12"/>
        <v>100</v>
      </c>
      <c r="X36" s="1502"/>
      <c r="Y36" s="3544"/>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44"/>
      <c r="Q37" s="1507">
        <f t="shared" si="8"/>
        <v>111</v>
      </c>
      <c r="R37" s="1508" t="s">
        <v>8</v>
      </c>
      <c r="S37" s="1509">
        <f t="shared" si="10"/>
        <v>100</v>
      </c>
      <c r="T37" s="1508" t="s">
        <v>8</v>
      </c>
      <c r="U37" s="1509">
        <f t="shared" si="11"/>
        <v>100</v>
      </c>
      <c r="V37" s="1508" t="s">
        <v>8</v>
      </c>
      <c r="W37" s="1509">
        <f t="shared" si="12"/>
        <v>100</v>
      </c>
      <c r="X37" s="1502"/>
      <c r="Y37" s="3544"/>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45" t="s">
        <v>544</v>
      </c>
      <c r="Q38" s="1507">
        <f t="shared" si="8"/>
        <v>111</v>
      </c>
      <c r="R38" s="1508" t="s">
        <v>8</v>
      </c>
      <c r="S38" s="1509">
        <f t="shared" si="10"/>
        <v>100</v>
      </c>
      <c r="T38" s="1508" t="s">
        <v>8</v>
      </c>
      <c r="U38" s="1509">
        <f t="shared" si="11"/>
        <v>100</v>
      </c>
      <c r="V38" s="1508" t="s">
        <v>8</v>
      </c>
      <c r="W38" s="1509">
        <f t="shared" si="12"/>
        <v>100</v>
      </c>
      <c r="X38" s="1502"/>
      <c r="Y38" s="3546"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46"/>
      <c r="Q39" s="1507">
        <f t="shared" si="8"/>
        <v>111</v>
      </c>
      <c r="R39" s="1512" t="s">
        <v>8</v>
      </c>
      <c r="S39" s="1513">
        <f t="shared" si="10"/>
        <v>100</v>
      </c>
      <c r="T39" s="1512" t="s">
        <v>8</v>
      </c>
      <c r="U39" s="1513">
        <f t="shared" si="11"/>
        <v>100</v>
      </c>
      <c r="V39" s="1512" t="s">
        <v>8</v>
      </c>
      <c r="W39" s="1513">
        <f t="shared" si="12"/>
        <v>100</v>
      </c>
      <c r="X39" s="1514"/>
      <c r="Y39" s="3546"/>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546"/>
      <c r="Q40" s="1507" t="str">
        <f>B40</f>
        <v>宗地面积</v>
      </c>
      <c r="R40" s="1508" t="s">
        <v>8</v>
      </c>
      <c r="S40" s="1509" t="e">
        <f t="shared" si="10"/>
        <v>#N/A</v>
      </c>
      <c r="T40" s="1508" t="s">
        <v>8</v>
      </c>
      <c r="U40" s="1509" t="e">
        <f t="shared" si="11"/>
        <v>#N/A</v>
      </c>
      <c r="V40" s="1508" t="s">
        <v>8</v>
      </c>
      <c r="W40" s="1509" t="e">
        <f t="shared" si="12"/>
        <v>#N/A</v>
      </c>
      <c r="X40" s="1502"/>
      <c r="Y40" s="3546"/>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46"/>
      <c r="Q41" s="1507" t="str">
        <f t="shared" ref="Q41:Q47" si="14">B41</f>
        <v>宗地形状</v>
      </c>
      <c r="R41" s="1508" t="s">
        <v>8</v>
      </c>
      <c r="S41" s="1509">
        <f t="shared" si="10"/>
        <v>100</v>
      </c>
      <c r="T41" s="1508" t="s">
        <v>8</v>
      </c>
      <c r="U41" s="1509">
        <f t="shared" si="11"/>
        <v>100</v>
      </c>
      <c r="V41" s="1508" t="s">
        <v>8</v>
      </c>
      <c r="W41" s="1509">
        <f t="shared" si="12"/>
        <v>100</v>
      </c>
      <c r="X41" s="1502"/>
      <c r="Y41" s="3546"/>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46"/>
      <c r="Q42" s="1507" t="str">
        <f t="shared" si="14"/>
        <v>临街宽度及深度</v>
      </c>
      <c r="R42" s="1508" t="s">
        <v>8</v>
      </c>
      <c r="S42" s="1509">
        <f t="shared" si="10"/>
        <v>100</v>
      </c>
      <c r="T42" s="1508" t="s">
        <v>8</v>
      </c>
      <c r="U42" s="1509">
        <f t="shared" si="11"/>
        <v>100</v>
      </c>
      <c r="V42" s="1508" t="s">
        <v>8</v>
      </c>
      <c r="W42" s="1509">
        <f t="shared" si="12"/>
        <v>100</v>
      </c>
      <c r="X42" s="1502"/>
      <c r="Y42" s="3546"/>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46"/>
      <c r="Q43" s="1507" t="str">
        <f t="shared" si="14"/>
        <v>宗地开发程度</v>
      </c>
      <c r="R43" s="1503" t="s">
        <v>8</v>
      </c>
      <c r="S43" s="1504">
        <f t="shared" si="10"/>
        <v>100</v>
      </c>
      <c r="T43" s="1503" t="s">
        <v>8</v>
      </c>
      <c r="U43" s="1504">
        <f t="shared" si="11"/>
        <v>100</v>
      </c>
      <c r="V43" s="1503" t="s">
        <v>8</v>
      </c>
      <c r="W43" s="1504">
        <f t="shared" si="12"/>
        <v>100</v>
      </c>
      <c r="X43" s="1505"/>
      <c r="Y43" s="3546"/>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46" t="s">
        <v>544</v>
      </c>
      <c r="Q44" s="1507" t="str">
        <f t="shared" si="14"/>
        <v>工程地质条件</v>
      </c>
      <c r="R44" s="1508" t="s">
        <v>8</v>
      </c>
      <c r="S44" s="1509">
        <f t="shared" si="10"/>
        <v>100</v>
      </c>
      <c r="T44" s="1508" t="s">
        <v>8</v>
      </c>
      <c r="U44" s="1509">
        <f t="shared" si="11"/>
        <v>100</v>
      </c>
      <c r="V44" s="1508" t="s">
        <v>8</v>
      </c>
      <c r="W44" s="1509">
        <f t="shared" si="12"/>
        <v>100</v>
      </c>
      <c r="X44" s="1502"/>
      <c r="Y44" s="3546"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46"/>
      <c r="Q45" s="1507">
        <f t="shared" si="14"/>
        <v>111</v>
      </c>
      <c r="R45" s="1508" t="s">
        <v>8</v>
      </c>
      <c r="S45" s="1509">
        <f t="shared" si="10"/>
        <v>100</v>
      </c>
      <c r="T45" s="1508" t="s">
        <v>8</v>
      </c>
      <c r="U45" s="1509">
        <f t="shared" si="11"/>
        <v>100</v>
      </c>
      <c r="V45" s="1508" t="s">
        <v>8</v>
      </c>
      <c r="W45" s="1509">
        <f t="shared" si="12"/>
        <v>100</v>
      </c>
      <c r="X45" s="1502"/>
      <c r="Y45" s="3546"/>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46"/>
      <c r="Q46" s="1507">
        <f t="shared" si="14"/>
        <v>111</v>
      </c>
      <c r="R46" s="1508" t="s">
        <v>8</v>
      </c>
      <c r="S46" s="1509">
        <f t="shared" si="10"/>
        <v>100</v>
      </c>
      <c r="T46" s="1508" t="s">
        <v>8</v>
      </c>
      <c r="U46" s="1509">
        <f t="shared" si="11"/>
        <v>100</v>
      </c>
      <c r="V46" s="1508" t="s">
        <v>8</v>
      </c>
      <c r="W46" s="1509">
        <f t="shared" si="12"/>
        <v>100</v>
      </c>
      <c r="X46" s="1502"/>
      <c r="Y46" s="3546"/>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46"/>
      <c r="Q47" s="1507">
        <f t="shared" si="14"/>
        <v>111</v>
      </c>
      <c r="R47" s="1512" t="s">
        <v>8</v>
      </c>
      <c r="S47" s="1513">
        <f t="shared" si="10"/>
        <v>100</v>
      </c>
      <c r="T47" s="1512" t="s">
        <v>8</v>
      </c>
      <c r="U47" s="1513">
        <f t="shared" si="11"/>
        <v>100</v>
      </c>
      <c r="V47" s="1512" t="s">
        <v>8</v>
      </c>
      <c r="W47" s="1513">
        <f t="shared" si="12"/>
        <v>100</v>
      </c>
      <c r="X47" s="1514"/>
      <c r="Y47" s="3546"/>
      <c r="Z47" s="1515">
        <f t="shared" si="13"/>
        <v>111</v>
      </c>
      <c r="AA47" s="1511">
        <f t="shared" si="3"/>
        <v>1</v>
      </c>
      <c r="AB47" s="1511">
        <f t="shared" si="4"/>
        <v>1</v>
      </c>
      <c r="AC47" s="1511">
        <f t="shared" si="5"/>
        <v>1</v>
      </c>
    </row>
    <row r="48" spans="1:29" ht="20.25">
      <c r="A48" s="601" t="s">
        <v>550</v>
      </c>
      <c r="B48" s="602" t="s">
        <v>2902</v>
      </c>
      <c r="C48" s="603" t="s">
        <v>1</v>
      </c>
      <c r="D48" s="604"/>
      <c r="E48" s="605"/>
      <c r="F48" s="606"/>
      <c r="G48" s="607"/>
      <c r="H48" s="608"/>
      <c r="I48" s="605"/>
      <c r="J48" s="608"/>
      <c r="K48" s="1294"/>
      <c r="L48" s="2026"/>
      <c r="M48" s="2014"/>
      <c r="N48" s="2014"/>
      <c r="O48" s="2027"/>
      <c r="P48" s="3509" t="str">
        <f>A48</f>
        <v>成交单价</v>
      </c>
      <c r="Q48" s="3509"/>
      <c r="R48" s="3510">
        <f>E48</f>
        <v>0</v>
      </c>
      <c r="S48" s="3510"/>
      <c r="T48" s="3510">
        <f>G48</f>
        <v>0</v>
      </c>
      <c r="U48" s="3510"/>
      <c r="V48" s="3510">
        <f>I48</f>
        <v>0</v>
      </c>
      <c r="W48" s="3510"/>
      <c r="X48" s="1497"/>
      <c r="Y48" s="1516"/>
      <c r="Z48" s="1497"/>
      <c r="AA48" s="1497"/>
      <c r="AB48" s="1497"/>
      <c r="AC48" s="1497"/>
    </row>
    <row r="49" spans="1:29" ht="21" thickBot="1">
      <c r="A49" s="609" t="s">
        <v>2674</v>
      </c>
      <c r="B49" s="610"/>
      <c r="C49" s="611" t="e">
        <f>R50</f>
        <v>#DIV/0!</v>
      </c>
      <c r="D49" s="3014" t="s">
        <v>2969</v>
      </c>
      <c r="E49" s="611" t="e">
        <f>R49</f>
        <v>#DIV/0!</v>
      </c>
      <c r="F49" s="3015"/>
      <c r="G49" s="612" t="e">
        <f>T49</f>
        <v>#DIV/0!</v>
      </c>
      <c r="H49" s="3015"/>
      <c r="I49" s="611" t="e">
        <f>V49</f>
        <v>#DIV/0!</v>
      </c>
      <c r="J49" s="3015"/>
      <c r="K49" s="3016">
        <f>F49+H49+J49</f>
        <v>0</v>
      </c>
      <c r="L49" s="2026"/>
      <c r="M49" s="2014"/>
      <c r="N49" s="2014"/>
      <c r="O49" s="2027"/>
      <c r="P49" s="3509" t="str">
        <f>A49</f>
        <v>比较价格（元/平方米）</v>
      </c>
      <c r="Q49" s="3509"/>
      <c r="R49" s="3511" t="e">
        <f>ROUND(PRODUCT(R48,AA9:AA47),0)</f>
        <v>#DIV/0!</v>
      </c>
      <c r="S49" s="3511"/>
      <c r="T49" s="3511" t="e">
        <f>ROUND(PRODUCT(T48,AB9:AB47),0)</f>
        <v>#DIV/0!</v>
      </c>
      <c r="U49" s="3511"/>
      <c r="V49" s="3511" t="e">
        <f>ROUND(PRODUCT(V48,AC9:AC47),0)</f>
        <v>#DIV/0!</v>
      </c>
      <c r="W49" s="3511"/>
      <c r="X49" s="1497"/>
      <c r="Y49" s="1497"/>
      <c r="Z49" s="1497"/>
      <c r="AA49" s="1497"/>
      <c r="AB49" s="1497"/>
      <c r="AC49" s="1497"/>
    </row>
    <row r="50" spans="1:29" ht="21" thickBot="1">
      <c r="A50" s="613" t="s">
        <v>2903</v>
      </c>
      <c r="B50" s="614"/>
      <c r="C50" s="615" t="e">
        <f>R50</f>
        <v>#DIV/0!</v>
      </c>
      <c r="D50" s="615"/>
      <c r="E50" s="615"/>
      <c r="F50" s="615"/>
      <c r="G50" s="615"/>
      <c r="H50" s="615"/>
      <c r="I50" s="615"/>
      <c r="J50" s="615"/>
      <c r="K50" s="1295"/>
      <c r="L50" s="2026"/>
      <c r="M50" s="2014"/>
      <c r="N50" s="2014"/>
      <c r="O50" s="2027"/>
      <c r="P50" s="3506" t="str">
        <f>A50</f>
        <v>估价对象XX用房的比较价格（楼面单价，元/平方米）</v>
      </c>
      <c r="Q50" s="3507"/>
      <c r="R50" s="3508" t="e">
        <f>ROUND(IF(D49="简单平均",AVERAGE(R49:W49),R49*F49+T49*H49+V49*J49),0)</f>
        <v>#DIV/0!</v>
      </c>
      <c r="S50" s="3508"/>
      <c r="T50" s="3508"/>
      <c r="U50" s="3508"/>
      <c r="V50" s="3508"/>
      <c r="W50" s="3508"/>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535" t="s">
        <v>2269</v>
      </c>
      <c r="H57" s="3536"/>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23300</v>
      </c>
      <c r="F58" s="628" t="e">
        <f t="shared" ref="F58:F67" si="15">ROUND(B58*E58/10000,0)</f>
        <v>#DIV/0!</v>
      </c>
      <c r="G58" s="3537"/>
      <c r="H58" s="3538"/>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v>
      </c>
      <c r="D59" s="2109">
        <v>0.25</v>
      </c>
      <c r="E59" s="631">
        <v>0</v>
      </c>
      <c r="F59" s="628" t="e">
        <f t="shared" si="15"/>
        <v>#DIV/0!</v>
      </c>
      <c r="G59" s="3539"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v>
      </c>
      <c r="D60" s="2109">
        <v>0.25</v>
      </c>
      <c r="E60" s="631">
        <v>0</v>
      </c>
      <c r="F60" s="628" t="e">
        <f t="shared" si="15"/>
        <v>#DIV/0!</v>
      </c>
      <c r="G60" s="3539"/>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v>
      </c>
      <c r="D61" s="2109">
        <v>0.25</v>
      </c>
      <c r="E61" s="631">
        <v>0</v>
      </c>
      <c r="F61" s="628" t="e">
        <f t="shared" si="15"/>
        <v>#DIV/0!</v>
      </c>
      <c r="G61" s="3539"/>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v>
      </c>
      <c r="D62" s="2109">
        <v>0.25</v>
      </c>
      <c r="E62" s="631">
        <v>0</v>
      </c>
      <c r="F62" s="628" t="e">
        <f t="shared" si="15"/>
        <v>#DIV/0!</v>
      </c>
      <c r="G62" s="3539"/>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0.2</v>
      </c>
      <c r="D63" s="2109">
        <v>0.25</v>
      </c>
      <c r="E63" s="633">
        <f>'数据-汇总表'!E11</f>
        <v>0</v>
      </c>
      <c r="F63" s="628" t="e">
        <f t="shared" si="15"/>
        <v>#DIV/0!</v>
      </c>
      <c r="G63" s="1859" t="s">
        <v>2271</v>
      </c>
      <c r="H63" s="1862" t="str">
        <f>项目基本情况!C43</f>
        <v>八级</v>
      </c>
      <c r="I63" s="1495">
        <f>SUMIF(修正!$A$45:$A$56,H63,修正!F45:F56)</f>
        <v>0.2</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0.2</v>
      </c>
      <c r="D64" s="2109">
        <v>0.25</v>
      </c>
      <c r="E64" s="633">
        <f>'数据-汇总表'!E12</f>
        <v>0</v>
      </c>
      <c r="F64" s="628" t="e">
        <f t="shared" si="15"/>
        <v>#DIV/0!</v>
      </c>
      <c r="G64" s="1860" t="s">
        <v>1668</v>
      </c>
      <c r="H64" s="1858" t="str">
        <f>IF(G64="商业",项目基本情况!B43,IF(G64="办公",项目基本情况!C43,IF(G64="住宅",项目基本情况!D43,项目基本情况!E43)))</f>
        <v>八级</v>
      </c>
      <c r="I64" s="1495">
        <f>SUMIF(修正!$A$45:$A$56,H64,修正!G45:G56)</f>
        <v>0.2</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v>
      </c>
      <c r="D66" s="2109">
        <v>0.25</v>
      </c>
      <c r="E66" s="633">
        <f>'数据-汇总表'!E14</f>
        <v>0</v>
      </c>
      <c r="F66" s="628" t="e">
        <f t="shared" si="15"/>
        <v>#DIV/0!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0.15</v>
      </c>
      <c r="D67" s="2109">
        <v>0.25</v>
      </c>
      <c r="E67" s="633">
        <f>'数据-汇总表'!E15</f>
        <v>0</v>
      </c>
      <c r="F67" s="628" t="e">
        <f t="shared" si="15"/>
        <v>#DIV/0!</v>
      </c>
      <c r="G67" s="1861" t="s">
        <v>2271</v>
      </c>
      <c r="H67" s="1863" t="str">
        <f>项目基本情况!C43</f>
        <v>八级</v>
      </c>
      <c r="I67" s="1495">
        <f>SUMIF(修正!$A$45:$A$56,H67,修正!H45:H56)</f>
        <v>0.15</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23300</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2020-8-1</v>
      </c>
      <c r="D70" s="2516">
        <f>EDATE(C70,-3)</f>
        <v>43952</v>
      </c>
      <c r="E70" s="2516">
        <f t="shared" ref="E70:N70" si="18">EDATE(D70,-3)</f>
        <v>43862</v>
      </c>
      <c r="F70" s="2516">
        <f t="shared" si="18"/>
        <v>43770</v>
      </c>
      <c r="G70" s="2516">
        <f t="shared" si="18"/>
        <v>43678</v>
      </c>
      <c r="H70" s="2516">
        <f t="shared" si="18"/>
        <v>43586</v>
      </c>
      <c r="I70" s="2516">
        <f t="shared" si="18"/>
        <v>43497</v>
      </c>
      <c r="J70" s="2516">
        <f t="shared" si="18"/>
        <v>43405</v>
      </c>
      <c r="K70" s="2516">
        <f t="shared" si="18"/>
        <v>43313</v>
      </c>
      <c r="L70" s="2516">
        <f t="shared" si="18"/>
        <v>43221</v>
      </c>
      <c r="M70" s="2516">
        <f t="shared" si="18"/>
        <v>43132</v>
      </c>
      <c r="N70" s="2516">
        <f t="shared" si="18"/>
        <v>43040</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2020-3</v>
      </c>
      <c r="D72" s="2518" t="str">
        <f>YEAR(D70)&amp;"-"&amp;ROUNDUP(MONTH(D70)/3,0)</f>
        <v>2020-2</v>
      </c>
      <c r="E72" s="2518" t="str">
        <f t="shared" ref="E72:N72" si="19">YEAR(E70)&amp;"-"&amp;ROUNDUP(MONTH(E70)/3,0)</f>
        <v>2020-1</v>
      </c>
      <c r="F72" s="2518" t="str">
        <f t="shared" si="19"/>
        <v>2019-4</v>
      </c>
      <c r="G72" s="2518" t="str">
        <f t="shared" si="19"/>
        <v>2019-3</v>
      </c>
      <c r="H72" s="2518" t="str">
        <f t="shared" si="19"/>
        <v>2019-2</v>
      </c>
      <c r="I72" s="2518" t="str">
        <f t="shared" si="19"/>
        <v>2019-1</v>
      </c>
      <c r="J72" s="2518" t="str">
        <f t="shared" si="19"/>
        <v>2018-4</v>
      </c>
      <c r="K72" s="2518" t="str">
        <f t="shared" si="19"/>
        <v>2018-3</v>
      </c>
      <c r="L72" s="2518" t="str">
        <f t="shared" si="19"/>
        <v>2018-2</v>
      </c>
      <c r="M72" s="2518" t="str">
        <f t="shared" si="19"/>
        <v>2018-1</v>
      </c>
      <c r="N72" s="2518" t="str">
        <f t="shared" si="19"/>
        <v>2017-4</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北京市平均增长率1.79%</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59" priority="17" stopIfTrue="1" operator="containsText" text="超过">
      <formula>NOT(ISERROR(SEARCH("超过",F53)))</formula>
    </cfRule>
  </conditionalFormatting>
  <conditionalFormatting sqref="J55">
    <cfRule type="containsText" dxfId="158" priority="16" stopIfTrue="1" operator="containsText" text="超过">
      <formula>NOT(ISERROR(SEARCH("超过",J55)))</formula>
    </cfRule>
  </conditionalFormatting>
  <conditionalFormatting sqref="H55">
    <cfRule type="containsText" dxfId="157" priority="15" stopIfTrue="1" operator="containsText" text="超过">
      <formula>NOT(ISERROR(SEARCH("超过",H55)))</formula>
    </cfRule>
  </conditionalFormatting>
  <conditionalFormatting sqref="F55">
    <cfRule type="containsText" dxfId="156" priority="14" stopIfTrue="1" operator="containsText" text="超过">
      <formula>NOT(ISERROR(SEARCH("超过",F55)))</formula>
    </cfRule>
  </conditionalFormatting>
  <conditionalFormatting sqref="F54 H54 J54">
    <cfRule type="containsText" dxfId="155" priority="13" stopIfTrue="1" operator="containsText" text="超过">
      <formula>NOT(ISERROR(SEARCH("超过",F54)))</formula>
    </cfRule>
  </conditionalFormatting>
  <conditionalFormatting sqref="E53">
    <cfRule type="expression" dxfId="154" priority="12" stopIfTrue="1">
      <formula>$F$53="超过30%"</formula>
    </cfRule>
  </conditionalFormatting>
  <conditionalFormatting sqref="G55">
    <cfRule type="expression" dxfId="153" priority="11" stopIfTrue="1">
      <formula>$H$55="超过30%"</formula>
    </cfRule>
  </conditionalFormatting>
  <conditionalFormatting sqref="E54">
    <cfRule type="expression" dxfId="152" priority="10" stopIfTrue="1">
      <formula>$F$54="超过20%"</formula>
    </cfRule>
  </conditionalFormatting>
  <conditionalFormatting sqref="E55">
    <cfRule type="expression" dxfId="151" priority="9" stopIfTrue="1">
      <formula>$F$55="超过30%"</formula>
    </cfRule>
  </conditionalFormatting>
  <conditionalFormatting sqref="G53">
    <cfRule type="expression" dxfId="150" priority="8" stopIfTrue="1">
      <formula>$H$55+$H$53="超过30%"</formula>
    </cfRule>
  </conditionalFormatting>
  <conditionalFormatting sqref="G54">
    <cfRule type="expression" dxfId="149" priority="7" stopIfTrue="1">
      <formula>$H$54="超过20%"</formula>
    </cfRule>
  </conditionalFormatting>
  <conditionalFormatting sqref="I53">
    <cfRule type="expression" dxfId="148" priority="6" stopIfTrue="1">
      <formula>$J$53="超过30%"</formula>
    </cfRule>
  </conditionalFormatting>
  <conditionalFormatting sqref="I54">
    <cfRule type="expression" dxfId="147" priority="5" stopIfTrue="1">
      <formula>$J$54="超过20%"</formula>
    </cfRule>
  </conditionalFormatting>
  <conditionalFormatting sqref="I55">
    <cfRule type="expression" dxfId="146" priority="4" stopIfTrue="1">
      <formula>$J$55="超过30%"</formula>
    </cfRule>
  </conditionalFormatting>
  <conditionalFormatting sqref="F49">
    <cfRule type="expression" dxfId="145" priority="3">
      <formula>$D$49="简单平均"</formula>
    </cfRule>
  </conditionalFormatting>
  <conditionalFormatting sqref="H49">
    <cfRule type="expression" dxfId="144" priority="2">
      <formula>$D$49="简单平均"</formula>
    </cfRule>
  </conditionalFormatting>
  <conditionalFormatting sqref="J49">
    <cfRule type="expression" dxfId="143" priority="1">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A17" sqref="A17"/>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515" t="s">
        <v>516</v>
      </c>
      <c r="D6" s="3516"/>
      <c r="E6" s="3549" t="s">
        <v>517</v>
      </c>
      <c r="F6" s="3550"/>
      <c r="G6" s="3515" t="s">
        <v>518</v>
      </c>
      <c r="H6" s="3516"/>
      <c r="I6" s="3515" t="s">
        <v>519</v>
      </c>
      <c r="J6" s="3516"/>
      <c r="K6" s="508" t="s">
        <v>520</v>
      </c>
      <c r="L6" s="2015"/>
      <c r="M6" s="2016"/>
      <c r="N6" s="2016"/>
      <c r="O6" s="2016"/>
      <c r="P6" s="3517" t="s">
        <v>521</v>
      </c>
      <c r="Q6" s="3518"/>
      <c r="R6" s="3523" t="s">
        <v>517</v>
      </c>
      <c r="S6" s="3524"/>
      <c r="T6" s="3523" t="s">
        <v>518</v>
      </c>
      <c r="U6" s="3524"/>
      <c r="V6" s="3510" t="s">
        <v>519</v>
      </c>
      <c r="W6" s="3510"/>
      <c r="X6" s="1502"/>
      <c r="Y6" s="3523" t="s">
        <v>521</v>
      </c>
      <c r="Z6" s="3524"/>
      <c r="AA6" s="3512" t="s">
        <v>517</v>
      </c>
      <c r="AB6" s="3513" t="s">
        <v>518</v>
      </c>
      <c r="AC6" s="3512" t="s">
        <v>519</v>
      </c>
    </row>
    <row r="7" spans="1:29" ht="15">
      <c r="A7" s="509"/>
      <c r="B7" s="510"/>
      <c r="C7" s="3531" t="s">
        <v>2897</v>
      </c>
      <c r="D7" s="3532"/>
      <c r="E7" s="3551" t="s">
        <v>2898</v>
      </c>
      <c r="F7" s="3552"/>
      <c r="G7" s="3531" t="s">
        <v>2899</v>
      </c>
      <c r="H7" s="3532"/>
      <c r="I7" s="3531" t="s">
        <v>2900</v>
      </c>
      <c r="J7" s="3532"/>
      <c r="K7" s="508"/>
      <c r="L7" s="2015"/>
      <c r="M7" s="2016"/>
      <c r="N7" s="2016"/>
      <c r="O7" s="2016"/>
      <c r="P7" s="3519"/>
      <c r="Q7" s="3520"/>
      <c r="R7" s="3525"/>
      <c r="S7" s="3526"/>
      <c r="T7" s="3525"/>
      <c r="U7" s="3526"/>
      <c r="V7" s="3510"/>
      <c r="W7" s="3510"/>
      <c r="X7" s="1502"/>
      <c r="Y7" s="3525"/>
      <c r="Z7" s="3526"/>
      <c r="AA7" s="3513"/>
      <c r="AB7" s="3513"/>
      <c r="AC7" s="3513"/>
    </row>
    <row r="8" spans="1:29" ht="15.75" thickBot="1">
      <c r="A8" s="511"/>
      <c r="B8" s="512"/>
      <c r="C8" s="3529" t="s">
        <v>2901</v>
      </c>
      <c r="D8" s="3530"/>
      <c r="E8" s="3547" t="s">
        <v>2901</v>
      </c>
      <c r="F8" s="3548"/>
      <c r="G8" s="3529" t="s">
        <v>2901</v>
      </c>
      <c r="H8" s="3530"/>
      <c r="I8" s="3529" t="s">
        <v>2901</v>
      </c>
      <c r="J8" s="3530"/>
      <c r="K8" s="508" t="s">
        <v>522</v>
      </c>
      <c r="L8" s="2015"/>
      <c r="M8" s="2016"/>
      <c r="N8" s="2016"/>
      <c r="O8" s="2016"/>
      <c r="P8" s="3521"/>
      <c r="Q8" s="3522"/>
      <c r="R8" s="3525"/>
      <c r="S8" s="3526"/>
      <c r="T8" s="3527"/>
      <c r="U8" s="3528"/>
      <c r="V8" s="3510"/>
      <c r="W8" s="3510"/>
      <c r="X8" s="1502"/>
      <c r="Y8" s="3527"/>
      <c r="Z8" s="3528"/>
      <c r="AA8" s="3514"/>
      <c r="AB8" s="3514"/>
      <c r="AC8" s="3514"/>
    </row>
    <row r="9" spans="1:29" s="1203" customFormat="1" ht="15.75" thickBot="1">
      <c r="A9" s="2629"/>
      <c r="B9" s="2636" t="s">
        <v>523</v>
      </c>
      <c r="C9" s="513">
        <f>'数据-取费表'!B2</f>
        <v>44071</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40" t="s">
        <v>524</v>
      </c>
      <c r="Q9" s="3542"/>
      <c r="R9" s="1503" t="s">
        <v>8</v>
      </c>
      <c r="S9" s="1504">
        <f t="shared" ref="S9:S17" si="0">F9</f>
        <v>0</v>
      </c>
      <c r="T9" s="1503" t="s">
        <v>8</v>
      </c>
      <c r="U9" s="1504">
        <f t="shared" ref="U9:U17" si="1">H9</f>
        <v>0</v>
      </c>
      <c r="V9" s="1503" t="s">
        <v>8</v>
      </c>
      <c r="W9" s="1504">
        <f t="shared" ref="W9:W17" si="2">J9</f>
        <v>0</v>
      </c>
      <c r="X9" s="1505"/>
      <c r="Y9" s="3540" t="s">
        <v>524</v>
      </c>
      <c r="Z9" s="3541"/>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40" t="s">
        <v>527</v>
      </c>
      <c r="Q10" s="3541"/>
      <c r="R10" s="1503" t="s">
        <v>8</v>
      </c>
      <c r="S10" s="1504">
        <f t="shared" si="0"/>
        <v>0</v>
      </c>
      <c r="T10" s="1503" t="s">
        <v>8</v>
      </c>
      <c r="U10" s="1504">
        <f t="shared" si="1"/>
        <v>0</v>
      </c>
      <c r="V10" s="1503" t="s">
        <v>8</v>
      </c>
      <c r="W10" s="1504">
        <f t="shared" si="2"/>
        <v>0</v>
      </c>
      <c r="X10" s="1505"/>
      <c r="Y10" s="3540" t="s">
        <v>527</v>
      </c>
      <c r="Z10" s="3541"/>
      <c r="AA10" s="1506" t="e">
        <f t="shared" ref="AA10:AA42" si="3">D10/F10</f>
        <v>#DIV/0!</v>
      </c>
      <c r="AB10" s="1506" t="e">
        <f t="shared" ref="AB10:AB42" si="4">D10/H10</f>
        <v>#DIV/0!</v>
      </c>
      <c r="AC10" s="1506"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09" t="s">
        <v>529</v>
      </c>
      <c r="Q11" s="1134" t="str">
        <f t="shared" ref="Q11:Q17" si="6">B11</f>
        <v>用途</v>
      </c>
      <c r="R11" s="1503" t="s">
        <v>8</v>
      </c>
      <c r="S11" s="1504">
        <f t="shared" si="0"/>
        <v>100</v>
      </c>
      <c r="T11" s="1503" t="s">
        <v>8</v>
      </c>
      <c r="U11" s="1504">
        <f t="shared" si="1"/>
        <v>100</v>
      </c>
      <c r="V11" s="1503" t="s">
        <v>8</v>
      </c>
      <c r="W11" s="1504">
        <f t="shared" si="2"/>
        <v>100</v>
      </c>
      <c r="X11" s="1505"/>
      <c r="Y11" s="3455" t="s">
        <v>530</v>
      </c>
      <c r="Z11" s="1133" t="str">
        <f t="shared" ref="Z11:Z17" si="7">Q11</f>
        <v>用途</v>
      </c>
      <c r="AA11" s="1506">
        <f t="shared" si="3"/>
        <v>1</v>
      </c>
      <c r="AB11" s="1506">
        <f t="shared" si="4"/>
        <v>1</v>
      </c>
      <c r="AC11" s="1506">
        <f t="shared" si="5"/>
        <v>1</v>
      </c>
    </row>
    <row r="12" spans="1:29" s="1292" customFormat="1" ht="27">
      <c r="A12" s="2632"/>
      <c r="B12" s="2637" t="s">
        <v>2738</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509"/>
      <c r="Q12" s="1134" t="str">
        <f t="shared" si="6"/>
        <v>土地使用年限（年）</v>
      </c>
      <c r="R12" s="1503" t="s">
        <v>8</v>
      </c>
      <c r="S12" s="1504">
        <f t="shared" si="0"/>
        <v>100</v>
      </c>
      <c r="T12" s="1503" t="s">
        <v>8</v>
      </c>
      <c r="U12" s="1504">
        <f t="shared" si="1"/>
        <v>100</v>
      </c>
      <c r="V12" s="1503" t="s">
        <v>8</v>
      </c>
      <c r="W12" s="1504">
        <f t="shared" si="2"/>
        <v>100</v>
      </c>
      <c r="X12" s="1505"/>
      <c r="Y12" s="3455"/>
      <c r="Z12" s="1133" t="str">
        <f t="shared" si="7"/>
        <v>土地使用年限（年）</v>
      </c>
      <c r="AA12" s="1506">
        <f t="shared" si="3"/>
        <v>1</v>
      </c>
      <c r="AB12" s="1506">
        <f t="shared" si="4"/>
        <v>1</v>
      </c>
      <c r="AC12" s="1506">
        <f t="shared" si="5"/>
        <v>1</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09"/>
      <c r="Q13" s="1134" t="str">
        <f t="shared" si="6"/>
        <v>容积率</v>
      </c>
      <c r="R13" s="1503" t="s">
        <v>8</v>
      </c>
      <c r="S13" s="1504" t="e">
        <f t="shared" si="0"/>
        <v>#N/A</v>
      </c>
      <c r="T13" s="1503" t="s">
        <v>8</v>
      </c>
      <c r="U13" s="1504" t="e">
        <f t="shared" si="1"/>
        <v>#N/A</v>
      </c>
      <c r="V13" s="1503" t="s">
        <v>8</v>
      </c>
      <c r="W13" s="1504" t="e">
        <f t="shared" si="2"/>
        <v>#N/A</v>
      </c>
      <c r="X13" s="1505"/>
      <c r="Y13" s="3455"/>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09"/>
      <c r="Q14" s="1134">
        <f t="shared" si="6"/>
        <v>111</v>
      </c>
      <c r="R14" s="1503" t="s">
        <v>8</v>
      </c>
      <c r="S14" s="1504">
        <f t="shared" si="0"/>
        <v>100</v>
      </c>
      <c r="T14" s="1503" t="s">
        <v>8</v>
      </c>
      <c r="U14" s="1504">
        <f t="shared" si="1"/>
        <v>100</v>
      </c>
      <c r="V14" s="1503" t="s">
        <v>8</v>
      </c>
      <c r="W14" s="1504">
        <f t="shared" si="2"/>
        <v>100</v>
      </c>
      <c r="X14" s="1505"/>
      <c r="Y14" s="3455"/>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09"/>
      <c r="Q15" s="1134">
        <f t="shared" si="6"/>
        <v>111</v>
      </c>
      <c r="R15" s="1503" t="s">
        <v>8</v>
      </c>
      <c r="S15" s="1504">
        <f t="shared" si="0"/>
        <v>100</v>
      </c>
      <c r="T15" s="1503" t="s">
        <v>8</v>
      </c>
      <c r="U15" s="1504">
        <f t="shared" si="1"/>
        <v>100</v>
      </c>
      <c r="V15" s="1503" t="s">
        <v>8</v>
      </c>
      <c r="W15" s="1504">
        <f t="shared" si="2"/>
        <v>100</v>
      </c>
      <c r="X15" s="1505"/>
      <c r="Y15" s="3455"/>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09"/>
      <c r="Q16" s="1134">
        <f t="shared" si="6"/>
        <v>111</v>
      </c>
      <c r="R16" s="1503" t="s">
        <v>8</v>
      </c>
      <c r="S16" s="1504">
        <f t="shared" si="0"/>
        <v>100</v>
      </c>
      <c r="T16" s="1503" t="s">
        <v>8</v>
      </c>
      <c r="U16" s="1504">
        <f t="shared" si="1"/>
        <v>100</v>
      </c>
      <c r="V16" s="1503" t="s">
        <v>8</v>
      </c>
      <c r="W16" s="1504">
        <f t="shared" si="2"/>
        <v>100</v>
      </c>
      <c r="X16" s="1505"/>
      <c r="Y16" s="3455"/>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43" t="s">
        <v>534</v>
      </c>
      <c r="Q17" s="1507" t="str">
        <f t="shared" si="6"/>
        <v>产业集聚程度</v>
      </c>
      <c r="R17" s="1508" t="s">
        <v>8</v>
      </c>
      <c r="S17" s="1509">
        <f t="shared" si="0"/>
        <v>100</v>
      </c>
      <c r="T17" s="1508" t="s">
        <v>8</v>
      </c>
      <c r="U17" s="1509">
        <f t="shared" si="1"/>
        <v>100</v>
      </c>
      <c r="V17" s="1508" t="s">
        <v>8</v>
      </c>
      <c r="W17" s="1509">
        <f t="shared" si="2"/>
        <v>100</v>
      </c>
      <c r="X17" s="1502"/>
      <c r="Y17" s="3543"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544"/>
      <c r="Q18" s="1507"/>
      <c r="R18" s="1508"/>
      <c r="S18" s="1509"/>
      <c r="T18" s="1508"/>
      <c r="U18" s="1509"/>
      <c r="V18" s="1508"/>
      <c r="W18" s="1509"/>
      <c r="X18" s="1502"/>
      <c r="Y18" s="3544"/>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44"/>
      <c r="Q19" s="1507" t="str">
        <f>B19</f>
        <v>交通便捷度</v>
      </c>
      <c r="R19" s="1508" t="s">
        <v>8</v>
      </c>
      <c r="S19" s="1509">
        <f>F19</f>
        <v>100</v>
      </c>
      <c r="T19" s="1508" t="s">
        <v>8</v>
      </c>
      <c r="U19" s="1509">
        <f>H19</f>
        <v>100</v>
      </c>
      <c r="V19" s="1508" t="s">
        <v>8</v>
      </c>
      <c r="W19" s="1509">
        <f>J19</f>
        <v>100</v>
      </c>
      <c r="X19" s="1502"/>
      <c r="Y19" s="3544"/>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544"/>
      <c r="Q20" s="1507"/>
      <c r="R20" s="1508"/>
      <c r="S20" s="1509"/>
      <c r="T20" s="1508"/>
      <c r="U20" s="1509"/>
      <c r="V20" s="1508"/>
      <c r="W20" s="1509"/>
      <c r="X20" s="1502"/>
      <c r="Y20" s="3544"/>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44"/>
      <c r="Q21" s="1507" t="str">
        <f t="shared" ref="Q21:Q35" si="8">B21</f>
        <v>区域土地利用方向</v>
      </c>
      <c r="R21" s="1508" t="s">
        <v>8</v>
      </c>
      <c r="S21" s="1509">
        <f>F21</f>
        <v>100</v>
      </c>
      <c r="T21" s="1508" t="s">
        <v>8</v>
      </c>
      <c r="U21" s="1509">
        <f>H21</f>
        <v>100</v>
      </c>
      <c r="V21" s="1508" t="s">
        <v>8</v>
      </c>
      <c r="W21" s="1509">
        <f>J21</f>
        <v>100</v>
      </c>
      <c r="X21" s="1502"/>
      <c r="Y21" s="3544"/>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544"/>
      <c r="Q22" s="1507"/>
      <c r="R22" s="1508"/>
      <c r="S22" s="1509"/>
      <c r="T22" s="1508"/>
      <c r="U22" s="1509"/>
      <c r="V22" s="1508"/>
      <c r="W22" s="1509"/>
      <c r="X22" s="1502"/>
      <c r="Y22" s="3544"/>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44"/>
      <c r="Q23" s="1507" t="str">
        <f t="shared" si="8"/>
        <v>环境状况</v>
      </c>
      <c r="R23" s="1508" t="s">
        <v>8</v>
      </c>
      <c r="S23" s="1509">
        <f>F23</f>
        <v>100</v>
      </c>
      <c r="T23" s="1508" t="s">
        <v>8</v>
      </c>
      <c r="U23" s="1509">
        <f>H23</f>
        <v>100</v>
      </c>
      <c r="V23" s="1508" t="s">
        <v>8</v>
      </c>
      <c r="W23" s="1509">
        <f>J23</f>
        <v>100</v>
      </c>
      <c r="X23" s="1502"/>
      <c r="Y23" s="3544"/>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544"/>
      <c r="Q24" s="1507"/>
      <c r="R24" s="1508"/>
      <c r="S24" s="1509"/>
      <c r="T24" s="1508"/>
      <c r="U24" s="1509"/>
      <c r="V24" s="1508"/>
      <c r="W24" s="1509"/>
      <c r="X24" s="1502"/>
      <c r="Y24" s="3544"/>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44"/>
      <c r="Q25" s="1134" t="str">
        <f t="shared" si="8"/>
        <v>公共配套设施</v>
      </c>
      <c r="R25" s="1503" t="s">
        <v>8</v>
      </c>
      <c r="S25" s="1504">
        <f>F25</f>
        <v>100</v>
      </c>
      <c r="T25" s="1503" t="s">
        <v>8</v>
      </c>
      <c r="U25" s="1504">
        <f>H25</f>
        <v>100</v>
      </c>
      <c r="V25" s="1503" t="s">
        <v>8</v>
      </c>
      <c r="W25" s="1504">
        <f>J25</f>
        <v>100</v>
      </c>
      <c r="X25" s="1505"/>
      <c r="Y25" s="3544"/>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544"/>
      <c r="Q26" s="1134"/>
      <c r="R26" s="1503"/>
      <c r="S26" s="1504"/>
      <c r="T26" s="1503"/>
      <c r="U26" s="1504"/>
      <c r="V26" s="1503"/>
      <c r="W26" s="1504"/>
      <c r="X26" s="1505"/>
      <c r="Y26" s="3544"/>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44"/>
      <c r="Q27" s="2428" t="str">
        <f t="shared" ref="Q27" si="9">B27</f>
        <v>基础设施水平</v>
      </c>
      <c r="R27" s="1503" t="s">
        <v>8</v>
      </c>
      <c r="S27" s="1504">
        <f>F27</f>
        <v>100</v>
      </c>
      <c r="T27" s="1503" t="s">
        <v>8</v>
      </c>
      <c r="U27" s="1504">
        <f>H27</f>
        <v>100</v>
      </c>
      <c r="V27" s="1503" t="s">
        <v>8</v>
      </c>
      <c r="W27" s="1504">
        <f>J27</f>
        <v>100</v>
      </c>
      <c r="X27" s="1505"/>
      <c r="Y27" s="3544"/>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544"/>
      <c r="Q28" s="2428"/>
      <c r="R28" s="1503"/>
      <c r="S28" s="1504"/>
      <c r="T28" s="1503"/>
      <c r="U28" s="1504"/>
      <c r="V28" s="1503"/>
      <c r="W28" s="1504"/>
      <c r="X28" s="1505"/>
      <c r="Y28" s="3544"/>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44"/>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44"/>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44"/>
      <c r="Q30" s="1507" t="str">
        <f t="shared" si="8"/>
        <v>毗邻道路的类型与等级</v>
      </c>
      <c r="R30" s="1508" t="s">
        <v>8</v>
      </c>
      <c r="S30" s="1509">
        <f t="shared" si="10"/>
        <v>100</v>
      </c>
      <c r="T30" s="1508" t="s">
        <v>8</v>
      </c>
      <c r="U30" s="1509">
        <f t="shared" si="11"/>
        <v>100</v>
      </c>
      <c r="V30" s="1508" t="s">
        <v>8</v>
      </c>
      <c r="W30" s="1509">
        <f t="shared" si="12"/>
        <v>100</v>
      </c>
      <c r="X30" s="1502"/>
      <c r="Y30" s="3544"/>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544"/>
      <c r="Q31" s="1507"/>
      <c r="R31" s="1508"/>
      <c r="S31" s="1509"/>
      <c r="T31" s="1508"/>
      <c r="U31" s="1509"/>
      <c r="V31" s="1508"/>
      <c r="W31" s="1509"/>
      <c r="X31" s="1502"/>
      <c r="Y31" s="3544"/>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44"/>
      <c r="Q32" s="1507" t="str">
        <f t="shared" si="8"/>
        <v>土地级别</v>
      </c>
      <c r="R32" s="1508" t="s">
        <v>8</v>
      </c>
      <c r="S32" s="1509">
        <f t="shared" si="10"/>
        <v>100</v>
      </c>
      <c r="T32" s="1508" t="s">
        <v>8</v>
      </c>
      <c r="U32" s="1509">
        <f t="shared" si="11"/>
        <v>100</v>
      </c>
      <c r="V32" s="1508" t="s">
        <v>8</v>
      </c>
      <c r="W32" s="1509">
        <f t="shared" si="12"/>
        <v>100</v>
      </c>
      <c r="X32" s="1502"/>
      <c r="Y32" s="3544"/>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44"/>
      <c r="Q33" s="1507">
        <f t="shared" si="8"/>
        <v>111</v>
      </c>
      <c r="R33" s="1508" t="s">
        <v>8</v>
      </c>
      <c r="S33" s="1509">
        <f t="shared" si="10"/>
        <v>100</v>
      </c>
      <c r="T33" s="1508" t="s">
        <v>8</v>
      </c>
      <c r="U33" s="1509">
        <f t="shared" si="11"/>
        <v>100</v>
      </c>
      <c r="V33" s="1508" t="s">
        <v>8</v>
      </c>
      <c r="W33" s="1509">
        <f t="shared" si="12"/>
        <v>100</v>
      </c>
      <c r="X33" s="1502"/>
      <c r="Y33" s="3544"/>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45" t="s">
        <v>544</v>
      </c>
      <c r="Q34" s="1507">
        <f t="shared" si="8"/>
        <v>111</v>
      </c>
      <c r="R34" s="1508" t="s">
        <v>8</v>
      </c>
      <c r="S34" s="1509">
        <f t="shared" si="10"/>
        <v>100</v>
      </c>
      <c r="T34" s="1508" t="s">
        <v>8</v>
      </c>
      <c r="U34" s="1509">
        <f t="shared" si="11"/>
        <v>100</v>
      </c>
      <c r="V34" s="1508" t="s">
        <v>8</v>
      </c>
      <c r="W34" s="1509">
        <f t="shared" si="12"/>
        <v>100</v>
      </c>
      <c r="X34" s="1502"/>
      <c r="Y34" s="3546"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46"/>
      <c r="Q35" s="1507">
        <f t="shared" si="8"/>
        <v>111</v>
      </c>
      <c r="R35" s="1512" t="s">
        <v>8</v>
      </c>
      <c r="S35" s="1513">
        <f t="shared" si="10"/>
        <v>100</v>
      </c>
      <c r="T35" s="1512" t="s">
        <v>8</v>
      </c>
      <c r="U35" s="1513">
        <f t="shared" si="11"/>
        <v>100</v>
      </c>
      <c r="V35" s="1512" t="s">
        <v>8</v>
      </c>
      <c r="W35" s="1513">
        <f t="shared" si="12"/>
        <v>100</v>
      </c>
      <c r="X35" s="1514"/>
      <c r="Y35" s="3546"/>
      <c r="Z35" s="1515">
        <f t="shared" si="13"/>
        <v>111</v>
      </c>
      <c r="AA35" s="1511">
        <f t="shared" si="3"/>
        <v>1</v>
      </c>
      <c r="AB35" s="1511">
        <f t="shared" si="4"/>
        <v>1</v>
      </c>
      <c r="AC35" s="1511">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46"/>
      <c r="Q36" s="1507" t="str">
        <f>B36</f>
        <v>宗地面积</v>
      </c>
      <c r="R36" s="1508" t="s">
        <v>8</v>
      </c>
      <c r="S36" s="1509" t="e">
        <f t="shared" si="10"/>
        <v>#N/A</v>
      </c>
      <c r="T36" s="1508" t="s">
        <v>8</v>
      </c>
      <c r="U36" s="1509" t="e">
        <f t="shared" si="11"/>
        <v>#N/A</v>
      </c>
      <c r="V36" s="1508" t="s">
        <v>8</v>
      </c>
      <c r="W36" s="1509" t="e">
        <f t="shared" si="12"/>
        <v>#N/A</v>
      </c>
      <c r="X36" s="1502"/>
      <c r="Y36" s="3546"/>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46"/>
      <c r="Q37" s="1507" t="str">
        <f t="shared" ref="Q37:Q42" si="14">B37</f>
        <v>宗地形状</v>
      </c>
      <c r="R37" s="1508" t="s">
        <v>8</v>
      </c>
      <c r="S37" s="1509">
        <f t="shared" si="10"/>
        <v>100</v>
      </c>
      <c r="T37" s="1508" t="s">
        <v>8</v>
      </c>
      <c r="U37" s="1509">
        <f t="shared" si="11"/>
        <v>100</v>
      </c>
      <c r="V37" s="1508" t="s">
        <v>8</v>
      </c>
      <c r="W37" s="1509">
        <f t="shared" si="12"/>
        <v>100</v>
      </c>
      <c r="X37" s="1502"/>
      <c r="Y37" s="3546"/>
      <c r="Z37" s="1510" t="str">
        <f t="shared" si="13"/>
        <v>宗地形状</v>
      </c>
      <c r="AA37" s="1511">
        <f t="shared" si="3"/>
        <v>1</v>
      </c>
      <c r="AB37" s="1511">
        <f t="shared" si="4"/>
        <v>1</v>
      </c>
      <c r="AC37" s="1511">
        <f t="shared" si="5"/>
        <v>1</v>
      </c>
    </row>
    <row r="38" spans="1:29" s="1203"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46"/>
      <c r="Q38" s="1507" t="str">
        <f t="shared" si="14"/>
        <v>宗地开发程度</v>
      </c>
      <c r="R38" s="1503" t="s">
        <v>8</v>
      </c>
      <c r="S38" s="1504">
        <f t="shared" si="10"/>
        <v>100</v>
      </c>
      <c r="T38" s="1503" t="s">
        <v>8</v>
      </c>
      <c r="U38" s="1504">
        <f t="shared" si="11"/>
        <v>100</v>
      </c>
      <c r="V38" s="1503" t="s">
        <v>8</v>
      </c>
      <c r="W38" s="1504">
        <f t="shared" si="12"/>
        <v>100</v>
      </c>
      <c r="X38" s="1505"/>
      <c r="Y38" s="3546"/>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46" t="s">
        <v>595</v>
      </c>
      <c r="Q39" s="1507" t="str">
        <f t="shared" si="14"/>
        <v>工程地质条件</v>
      </c>
      <c r="R39" s="1508" t="s">
        <v>8</v>
      </c>
      <c r="S39" s="1509">
        <f t="shared" si="10"/>
        <v>100</v>
      </c>
      <c r="T39" s="1508" t="s">
        <v>8</v>
      </c>
      <c r="U39" s="1509">
        <f t="shared" si="11"/>
        <v>100</v>
      </c>
      <c r="V39" s="1508" t="s">
        <v>8</v>
      </c>
      <c r="W39" s="1509">
        <f t="shared" si="12"/>
        <v>100</v>
      </c>
      <c r="X39" s="1502"/>
      <c r="Y39" s="3546"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46"/>
      <c r="Q40" s="1507">
        <f t="shared" si="14"/>
        <v>111</v>
      </c>
      <c r="R40" s="1508" t="s">
        <v>8</v>
      </c>
      <c r="S40" s="1509">
        <f t="shared" si="10"/>
        <v>100</v>
      </c>
      <c r="T40" s="1508" t="s">
        <v>8</v>
      </c>
      <c r="U40" s="1509">
        <f t="shared" si="11"/>
        <v>100</v>
      </c>
      <c r="V40" s="1508" t="s">
        <v>8</v>
      </c>
      <c r="W40" s="1509">
        <f t="shared" si="12"/>
        <v>100</v>
      </c>
      <c r="X40" s="1502"/>
      <c r="Y40" s="3546"/>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46"/>
      <c r="Q41" s="1507">
        <f t="shared" si="14"/>
        <v>111</v>
      </c>
      <c r="R41" s="1508" t="s">
        <v>8</v>
      </c>
      <c r="S41" s="1509">
        <f t="shared" si="10"/>
        <v>100</v>
      </c>
      <c r="T41" s="1508" t="s">
        <v>8</v>
      </c>
      <c r="U41" s="1509">
        <f t="shared" si="11"/>
        <v>100</v>
      </c>
      <c r="V41" s="1508" t="s">
        <v>8</v>
      </c>
      <c r="W41" s="1509">
        <f t="shared" si="12"/>
        <v>100</v>
      </c>
      <c r="X41" s="1502"/>
      <c r="Y41" s="3546"/>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46"/>
      <c r="Q42" s="1507">
        <f t="shared" si="14"/>
        <v>111</v>
      </c>
      <c r="R42" s="1512" t="s">
        <v>8</v>
      </c>
      <c r="S42" s="1513">
        <f t="shared" si="10"/>
        <v>100</v>
      </c>
      <c r="T42" s="1512" t="s">
        <v>8</v>
      </c>
      <c r="U42" s="1513">
        <f t="shared" si="11"/>
        <v>100</v>
      </c>
      <c r="V42" s="1512" t="s">
        <v>8</v>
      </c>
      <c r="W42" s="1513">
        <f t="shared" si="12"/>
        <v>100</v>
      </c>
      <c r="X42" s="1514"/>
      <c r="Y42" s="3546"/>
      <c r="Z42" s="1515">
        <f t="shared" si="13"/>
        <v>111</v>
      </c>
      <c r="AA42" s="1511">
        <f t="shared" si="3"/>
        <v>1</v>
      </c>
      <c r="AB42" s="1511">
        <f t="shared" si="4"/>
        <v>1</v>
      </c>
      <c r="AC42" s="1511">
        <f t="shared" si="5"/>
        <v>1</v>
      </c>
    </row>
    <row r="43" spans="1:29" ht="15">
      <c r="A43" s="601" t="s">
        <v>550</v>
      </c>
      <c r="B43" s="602" t="s">
        <v>2902</v>
      </c>
      <c r="C43" s="603" t="s">
        <v>1</v>
      </c>
      <c r="D43" s="604"/>
      <c r="E43" s="605"/>
      <c r="F43" s="606"/>
      <c r="G43" s="607"/>
      <c r="H43" s="608"/>
      <c r="I43" s="605"/>
      <c r="J43" s="608"/>
      <c r="K43" s="1294"/>
      <c r="L43" s="2026"/>
      <c r="M43" s="2016"/>
      <c r="N43" s="2016"/>
      <c r="O43" s="2027"/>
      <c r="P43" s="3509" t="str">
        <f>A43</f>
        <v>成交单价</v>
      </c>
      <c r="Q43" s="3509"/>
      <c r="R43" s="3510">
        <f>E43</f>
        <v>0</v>
      </c>
      <c r="S43" s="3510"/>
      <c r="T43" s="3510">
        <f>G43</f>
        <v>0</v>
      </c>
      <c r="U43" s="3510"/>
      <c r="V43" s="3510">
        <f>I43</f>
        <v>0</v>
      </c>
      <c r="W43" s="3510"/>
      <c r="X43" s="1497"/>
      <c r="Y43" s="1516"/>
      <c r="Z43" s="1497"/>
      <c r="AA43" s="1497"/>
      <c r="AB43" s="1497"/>
      <c r="AC43" s="1497"/>
    </row>
    <row r="44" spans="1:29" ht="15.75" thickBot="1">
      <c r="A44" s="609" t="s">
        <v>2674</v>
      </c>
      <c r="B44" s="610"/>
      <c r="C44" s="611" t="e">
        <f>R45</f>
        <v>#DIV/0!</v>
      </c>
      <c r="D44" s="3014" t="s">
        <v>2969</v>
      </c>
      <c r="E44" s="611" t="e">
        <f>R44</f>
        <v>#DIV/0!</v>
      </c>
      <c r="F44" s="3015"/>
      <c r="G44" s="612" t="e">
        <f>T44</f>
        <v>#DIV/0!</v>
      </c>
      <c r="H44" s="3015"/>
      <c r="I44" s="611" t="e">
        <f>V44</f>
        <v>#DIV/0!</v>
      </c>
      <c r="J44" s="3015"/>
      <c r="K44" s="3016">
        <f>F44+H44+J44</f>
        <v>0</v>
      </c>
      <c r="L44" s="2026"/>
      <c r="M44" s="2016"/>
      <c r="N44" s="2016"/>
      <c r="O44" s="2027"/>
      <c r="P44" s="3509" t="str">
        <f>A44</f>
        <v>比较价格（元/平方米）</v>
      </c>
      <c r="Q44" s="3509"/>
      <c r="R44" s="3511" t="e">
        <f>ROUND(PRODUCT(R43,AA9:AA42),0)</f>
        <v>#DIV/0!</v>
      </c>
      <c r="S44" s="3511"/>
      <c r="T44" s="3511" t="e">
        <f>ROUND(PRODUCT(T43,AB9:AB42),0)</f>
        <v>#DIV/0!</v>
      </c>
      <c r="U44" s="3511"/>
      <c r="V44" s="3511" t="e">
        <f>ROUND(PRODUCT(V43,AC9:AC42),0)</f>
        <v>#DIV/0!</v>
      </c>
      <c r="W44" s="3511"/>
      <c r="X44" s="1497"/>
      <c r="Y44" s="1497"/>
      <c r="Z44" s="1497"/>
      <c r="AA44" s="1497"/>
      <c r="AB44" s="1497"/>
      <c r="AC44" s="1497"/>
    </row>
    <row r="45" spans="1:29" ht="15.75" thickBot="1">
      <c r="A45" s="613" t="s">
        <v>2903</v>
      </c>
      <c r="B45" s="614"/>
      <c r="C45" s="615" t="e">
        <f>R45</f>
        <v>#DIV/0!</v>
      </c>
      <c r="D45" s="615"/>
      <c r="E45" s="615"/>
      <c r="F45" s="615"/>
      <c r="G45" s="615"/>
      <c r="H45" s="615"/>
      <c r="I45" s="615"/>
      <c r="J45" s="615"/>
      <c r="K45" s="1295"/>
      <c r="L45" s="2026"/>
      <c r="M45" s="2016"/>
      <c r="N45" s="2016"/>
      <c r="O45" s="2027"/>
      <c r="P45" s="3506" t="str">
        <f>A45</f>
        <v>估价对象XX用房的比较价格（楼面单价，元/平方米）</v>
      </c>
      <c r="Q45" s="3507"/>
      <c r="R45" s="3558" t="e">
        <f>ROUND(IF(D44="简单平均",AVERAGE(R44:W44),R44*F44+T44*H44+V44*J44),0)</f>
        <v>#DIV/0!</v>
      </c>
      <c r="S45" s="3558"/>
      <c r="T45" s="3558"/>
      <c r="U45" s="3558"/>
      <c r="V45" s="3558"/>
      <c r="W45" s="3558"/>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3553" t="s">
        <v>2272</v>
      </c>
      <c r="H52" s="3554"/>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23300</v>
      </c>
      <c r="F53" s="1864" t="e">
        <f t="shared" ref="F53:F62" si="15">ROUND(B53*E53/10000,0)</f>
        <v>#DIV/0!</v>
      </c>
      <c r="G53" s="3555"/>
      <c r="H53" s="3556"/>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3557"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3557"/>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3557"/>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3557"/>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t="e">
        <f t="shared" si="17"/>
        <v>#DIV/0!</v>
      </c>
      <c r="C58" s="372">
        <f t="shared" si="16"/>
        <v>0.2</v>
      </c>
      <c r="D58" s="2109">
        <v>0.25</v>
      </c>
      <c r="E58" s="633">
        <f>'数据-汇总表'!E11</f>
        <v>0</v>
      </c>
      <c r="F58" s="1864" t="e">
        <f t="shared" si="15"/>
        <v>#DIV/0!</v>
      </c>
      <c r="G58" s="1870" t="s">
        <v>2274</v>
      </c>
      <c r="H58" s="1869" t="str">
        <f>项目基本情况!C43</f>
        <v>八级</v>
      </c>
      <c r="I58" s="1867">
        <f>SUMIF(修正!$A$45:$A$56,H58,修正!F45:F56)</f>
        <v>0.2</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0.2</v>
      </c>
      <c r="D59" s="2109">
        <v>0.25</v>
      </c>
      <c r="E59" s="633">
        <f>'数据-汇总表'!E12</f>
        <v>0</v>
      </c>
      <c r="F59" s="1864" t="e">
        <f t="shared" si="15"/>
        <v>#DIV/0!</v>
      </c>
      <c r="G59" s="1860" t="s">
        <v>1668</v>
      </c>
      <c r="H59" s="1868" t="str">
        <f>IF(G59="商业",项目基本情况!B43,IF(G59="办公",项目基本情况!C43,IF(G59="住宅",项目基本情况!D43,项目基本情况!E43)))</f>
        <v>八级</v>
      </c>
      <c r="I59" s="1867">
        <f>SUMIF(修正!$A$45:$A$56,H59,修正!G45:G56)</f>
        <v>0.2</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0.15</v>
      </c>
      <c r="D62" s="2109">
        <v>0.25</v>
      </c>
      <c r="E62" s="633">
        <f>'数据-汇总表'!E15</f>
        <v>0</v>
      </c>
      <c r="F62" s="1864" t="e">
        <f t="shared" si="15"/>
        <v>#DIV/0!</v>
      </c>
      <c r="G62" s="1871" t="s">
        <v>2274</v>
      </c>
      <c r="H62" s="1872" t="str">
        <f>项目基本情况!C43</f>
        <v>八级</v>
      </c>
      <c r="I62" s="1867">
        <f>SUMIF(修正!$A$45:$A$56,H62,修正!H45:H56)</f>
        <v>0.15</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23300</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2020-8-1</v>
      </c>
      <c r="D65" s="2516">
        <f>EDATE(C65,-3)</f>
        <v>43952</v>
      </c>
      <c r="E65" s="2516">
        <f t="shared" ref="E65:N65" si="18">EDATE(D65,-3)</f>
        <v>43862</v>
      </c>
      <c r="F65" s="2516">
        <f t="shared" si="18"/>
        <v>43770</v>
      </c>
      <c r="G65" s="2516">
        <f t="shared" si="18"/>
        <v>43678</v>
      </c>
      <c r="H65" s="2516">
        <f t="shared" si="18"/>
        <v>43586</v>
      </c>
      <c r="I65" s="2516">
        <f t="shared" si="18"/>
        <v>43497</v>
      </c>
      <c r="J65" s="2516">
        <f t="shared" si="18"/>
        <v>43405</v>
      </c>
      <c r="K65" s="2516">
        <f t="shared" si="18"/>
        <v>43313</v>
      </c>
      <c r="L65" s="2516">
        <f t="shared" si="18"/>
        <v>43221</v>
      </c>
      <c r="M65" s="2516">
        <f t="shared" si="18"/>
        <v>43132</v>
      </c>
      <c r="N65" s="2516">
        <f t="shared" si="18"/>
        <v>43040</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2020-3</v>
      </c>
      <c r="D67" s="2518" t="str">
        <f t="shared" ref="D67:N67" si="19">YEAR(D65)&amp;"-"&amp;ROUNDUP(MONTH(D65)/3,0)</f>
        <v>2020-2</v>
      </c>
      <c r="E67" s="2518" t="str">
        <f t="shared" si="19"/>
        <v>2020-1</v>
      </c>
      <c r="F67" s="2518" t="str">
        <f t="shared" si="19"/>
        <v>2019-4</v>
      </c>
      <c r="G67" s="2518" t="str">
        <f t="shared" si="19"/>
        <v>2019-3</v>
      </c>
      <c r="H67" s="2518" t="str">
        <f t="shared" si="19"/>
        <v>2019-2</v>
      </c>
      <c r="I67" s="2518" t="str">
        <f t="shared" si="19"/>
        <v>2019-1</v>
      </c>
      <c r="J67" s="2518" t="str">
        <f t="shared" si="19"/>
        <v>2018-4</v>
      </c>
      <c r="K67" s="2518" t="str">
        <f t="shared" si="19"/>
        <v>2018-3</v>
      </c>
      <c r="L67" s="2518" t="str">
        <f t="shared" si="19"/>
        <v>2018-2</v>
      </c>
      <c r="M67" s="2518" t="str">
        <f t="shared" si="19"/>
        <v>2018-1</v>
      </c>
      <c r="N67" s="2518" t="str">
        <f t="shared" si="19"/>
        <v>2017-4</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北京市平均增长率1.27%</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c r="D114" s="1327"/>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42" priority="17" stopIfTrue="1" operator="containsText" text="超过">
      <formula>NOT(ISERROR(SEARCH("超过",F48)))</formula>
    </cfRule>
  </conditionalFormatting>
  <conditionalFormatting sqref="J50">
    <cfRule type="containsText" dxfId="141" priority="16" stopIfTrue="1" operator="containsText" text="超过">
      <formula>NOT(ISERROR(SEARCH("超过",J50)))</formula>
    </cfRule>
  </conditionalFormatting>
  <conditionalFormatting sqref="H50">
    <cfRule type="containsText" dxfId="140" priority="15" stopIfTrue="1" operator="containsText" text="超过">
      <formula>NOT(ISERROR(SEARCH("超过",H50)))</formula>
    </cfRule>
  </conditionalFormatting>
  <conditionalFormatting sqref="F50">
    <cfRule type="containsText" dxfId="139" priority="14" stopIfTrue="1" operator="containsText" text="超过">
      <formula>NOT(ISERROR(SEARCH("超过",F50)))</formula>
    </cfRule>
  </conditionalFormatting>
  <conditionalFormatting sqref="F49 H49 J49">
    <cfRule type="containsText" dxfId="138" priority="13" stopIfTrue="1" operator="containsText" text="超过">
      <formula>NOT(ISERROR(SEARCH("超过",F49)))</formula>
    </cfRule>
  </conditionalFormatting>
  <conditionalFormatting sqref="E48">
    <cfRule type="expression" dxfId="137" priority="12" stopIfTrue="1">
      <formula>$F$48="超过30%"</formula>
    </cfRule>
  </conditionalFormatting>
  <conditionalFormatting sqref="G50">
    <cfRule type="expression" dxfId="136" priority="11" stopIfTrue="1">
      <formula>$H$50="超过30%"</formula>
    </cfRule>
  </conditionalFormatting>
  <conditionalFormatting sqref="E50">
    <cfRule type="expression" dxfId="135" priority="9" stopIfTrue="1">
      <formula>$F$50="超过30%"</formula>
    </cfRule>
  </conditionalFormatting>
  <conditionalFormatting sqref="G48">
    <cfRule type="expression" dxfId="134" priority="8" stopIfTrue="1">
      <formula>$H$48="超过30%"</formula>
    </cfRule>
  </conditionalFormatting>
  <conditionalFormatting sqref="G49">
    <cfRule type="expression" dxfId="133" priority="7" stopIfTrue="1">
      <formula>$H$49="超过20%"</formula>
    </cfRule>
  </conditionalFormatting>
  <conditionalFormatting sqref="I48">
    <cfRule type="expression" dxfId="132" priority="6" stopIfTrue="1">
      <formula>$J$48="超过30%"</formula>
    </cfRule>
  </conditionalFormatting>
  <conditionalFormatting sqref="I49">
    <cfRule type="expression" dxfId="131" priority="5" stopIfTrue="1">
      <formula>$J$49="超过20%"</formula>
    </cfRule>
  </conditionalFormatting>
  <conditionalFormatting sqref="I50">
    <cfRule type="expression" dxfId="130" priority="4" stopIfTrue="1">
      <formula>$J$50="超过30%"</formula>
    </cfRule>
  </conditionalFormatting>
  <conditionalFormatting sqref="E49">
    <cfRule type="expression" dxfId="129" priority="50" stopIfTrue="1">
      <formula>#REF!+$F$49="超过20%"</formula>
    </cfRule>
  </conditionalFormatting>
  <conditionalFormatting sqref="F44">
    <cfRule type="expression" dxfId="128" priority="3">
      <formula>$D$44="简单平均"</formula>
    </cfRule>
  </conditionalFormatting>
  <conditionalFormatting sqref="H44">
    <cfRule type="expression" dxfId="127" priority="2">
      <formula>$D$44="简单平均"</formula>
    </cfRule>
  </conditionalFormatting>
  <conditionalFormatting sqref="J44">
    <cfRule type="expression" dxfId="126" priority="1">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0" zoomScaleNormal="60" zoomScaleSheetLayoutView="100" workbookViewId="0">
      <selection activeCell="C26" sqref="C26"/>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7">
        <f>'数据-基础表'!A3</f>
        <v>23300</v>
      </c>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0</v>
      </c>
      <c r="C2" s="1356" t="s">
        <v>912</v>
      </c>
      <c r="D2" s="1357" t="s">
        <v>913</v>
      </c>
      <c r="E2" s="1358" t="s">
        <v>1668</v>
      </c>
      <c r="F2" s="1357" t="s">
        <v>915</v>
      </c>
      <c r="G2" s="1581" t="str">
        <f>IF(E2="商业",项目基本情况!B43,IF(E2="办公",项目基本情况!C43,IF(E2="住宅",项目基本情况!D43,项目基本情况!E43)))</f>
        <v>八级</v>
      </c>
      <c r="H2" s="1357" t="s">
        <v>917</v>
      </c>
      <c r="I2" s="1582" t="str">
        <f>IF(E2="商业",项目基本情况!B44,IF(E2="办公",项目基本情况!C44,IF(E2="住宅",项目基本情况!D44,项目基本情况!E44)))</f>
        <v>Ⅷ-兴1</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13688</v>
      </c>
      <c r="U2" s="2643"/>
      <c r="V2" s="2654">
        <f ca="1">ROUND(T2*U2/10000,0)</f>
        <v>0</v>
      </c>
      <c r="W2" s="2070"/>
      <c r="X2" s="2070"/>
      <c r="Y2" s="2070"/>
      <c r="Z2" s="2070"/>
      <c r="AA2" s="2070"/>
      <c r="AB2" s="2070"/>
      <c r="AC2" s="2071"/>
    </row>
    <row r="3" spans="1:39" ht="15.75">
      <c r="A3" s="1360" t="s">
        <v>1678</v>
      </c>
      <c r="B3" s="1025" t="e">
        <f ca="1">ROUND(B2*10000/D1,0)</f>
        <v>#DIV/0!</v>
      </c>
      <c r="C3" s="1356" t="s">
        <v>918</v>
      </c>
      <c r="D3" s="1357" t="s">
        <v>919</v>
      </c>
      <c r="E3" s="1361" t="s">
        <v>3010</v>
      </c>
      <c r="F3" s="1362" t="s">
        <v>3011</v>
      </c>
      <c r="G3" s="1026">
        <f>IF(F3="宗地容积率",'数据-汇总表'!I4,IF(F3="估价对象容积率",'数据-汇总表'!I6,'数据-汇总表'!I7))</f>
        <v>1</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9021</v>
      </c>
      <c r="U3" s="2643"/>
      <c r="V3" s="2654">
        <f t="shared" ref="V3:V16" ca="1" si="1">ROUND(T3*U3/10000,0)</f>
        <v>0</v>
      </c>
      <c r="W3" s="2070"/>
      <c r="X3" s="2070"/>
      <c r="Y3" s="2070"/>
      <c r="Z3" s="2070"/>
      <c r="AA3" s="2070"/>
      <c r="AB3" s="2070"/>
      <c r="AC3" s="2071"/>
    </row>
    <row r="4" spans="1:39" ht="28.5">
      <c r="A4" s="1805" t="s">
        <v>2268</v>
      </c>
      <c r="B4" s="2308">
        <f ca="1">ROUND(B2*10000/F1,0)</f>
        <v>0</v>
      </c>
      <c r="C4" s="1808" t="s">
        <v>2243</v>
      </c>
      <c r="D4" s="1808">
        <f ca="1">ROUND(B2/(F1/666.67),0)</f>
        <v>0</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7099</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5680</v>
      </c>
      <c r="D5" s="2793">
        <f>ROUND(C6+C16,0)</f>
        <v>5680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5304</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5680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3989</v>
      </c>
      <c r="U6" s="2643"/>
      <c r="V6" s="2654">
        <f t="shared" ca="1" si="1"/>
        <v>0</v>
      </c>
      <c r="W6" s="2070"/>
      <c r="X6" s="2070"/>
      <c r="Y6" s="2070"/>
      <c r="Z6" s="2070"/>
      <c r="AA6" s="2070"/>
      <c r="AB6" s="2070"/>
      <c r="AC6" s="2072"/>
      <c r="AD6" s="1368"/>
      <c r="AE6" s="1368"/>
      <c r="AF6" s="1368"/>
      <c r="AG6" s="1368"/>
      <c r="AH6" s="1368"/>
      <c r="AI6" s="1368"/>
      <c r="AJ6" s="1369"/>
    </row>
    <row r="7" spans="1:39" ht="24">
      <c r="A7" s="3573"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3189</v>
      </c>
      <c r="U7" s="2643"/>
      <c r="V7" s="2654">
        <f t="shared" ca="1" si="1"/>
        <v>0</v>
      </c>
      <c r="W7" s="2652" t="s">
        <v>2745</v>
      </c>
      <c r="X7" s="2644" t="str">
        <f>G2</f>
        <v>八级</v>
      </c>
      <c r="Y7" s="2644" t="s">
        <v>2746</v>
      </c>
      <c r="Z7" s="2645">
        <f>G3</f>
        <v>1</v>
      </c>
      <c r="AA7" s="2073"/>
      <c r="AB7" s="2073"/>
      <c r="AC7" s="2074"/>
      <c r="AD7" s="2646"/>
      <c r="AE7" s="2646"/>
      <c r="AF7" s="2646"/>
      <c r="AG7" s="2646"/>
      <c r="AH7" s="2646"/>
      <c r="AI7" s="2646"/>
      <c r="AJ7" s="2647"/>
    </row>
    <row r="8" spans="1:39" ht="15">
      <c r="A8" s="3574"/>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5680</v>
      </c>
      <c r="N8" s="1801">
        <f>SUMPRODUCT((因素修正幅度!B206:B244=I2)*(因素修正幅度!C3:F3=E2)*(因素修正幅度!C206:F244))</f>
        <v>0.15</v>
      </c>
      <c r="O8" s="3235"/>
      <c r="P8" s="2070"/>
      <c r="Q8" s="2070"/>
      <c r="R8" s="2654">
        <v>7</v>
      </c>
      <c r="S8" s="2643"/>
      <c r="T8" s="2654">
        <f t="shared" ca="1" si="0"/>
        <v>0</v>
      </c>
      <c r="U8" s="2643"/>
      <c r="V8" s="2654">
        <f t="shared" ca="1" si="1"/>
        <v>0</v>
      </c>
      <c r="W8" s="3560" t="s">
        <v>2763</v>
      </c>
      <c r="X8" s="3561"/>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74"/>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559"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74"/>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59"/>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74"/>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3559" t="s">
        <v>2761</v>
      </c>
      <c r="X11" s="1035" t="s">
        <v>2746</v>
      </c>
      <c r="Y11" s="1582">
        <f>$G$3</f>
        <v>1</v>
      </c>
      <c r="Z11" s="1582">
        <f t="shared" ref="Z11:AJ11" si="3">$G$3</f>
        <v>1</v>
      </c>
      <c r="AA11" s="1582">
        <f t="shared" si="3"/>
        <v>1</v>
      </c>
      <c r="AB11" s="1582">
        <f t="shared" si="3"/>
        <v>1</v>
      </c>
      <c r="AC11" s="1582">
        <f t="shared" si="3"/>
        <v>1</v>
      </c>
      <c r="AD11" s="1582">
        <f t="shared" si="3"/>
        <v>1</v>
      </c>
      <c r="AE11" s="1582">
        <f t="shared" si="3"/>
        <v>1</v>
      </c>
      <c r="AF11" s="1582">
        <f t="shared" si="3"/>
        <v>1</v>
      </c>
      <c r="AG11" s="1582">
        <f t="shared" si="3"/>
        <v>1</v>
      </c>
      <c r="AH11" s="1582">
        <f t="shared" si="3"/>
        <v>1</v>
      </c>
      <c r="AI11" s="1582">
        <f t="shared" si="3"/>
        <v>1</v>
      </c>
      <c r="AJ11" s="1582">
        <f t="shared" si="3"/>
        <v>1</v>
      </c>
    </row>
    <row r="12" spans="1:39" ht="25.5" thickBot="1">
      <c r="A12" s="3573"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59"/>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75"/>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559"/>
      <c r="X13" s="2651"/>
      <c r="Y13" s="2650">
        <f>(-0.163*(Y12^2)-0.59*Y12+7617)*(10^(-4))/Y11</f>
        <v>0.76170000000000004</v>
      </c>
      <c r="Z13" s="2650">
        <f t="shared" ref="Z13:AJ13" si="5">(-0.163*(Z12^2)-0.59*Z12+7617)*(10^(-4))/Z11</f>
        <v>0.76170000000000004</v>
      </c>
      <c r="AA13" s="2650">
        <f t="shared" si="5"/>
        <v>0.76170000000000004</v>
      </c>
      <c r="AB13" s="2650">
        <f t="shared" si="5"/>
        <v>0.76170000000000004</v>
      </c>
      <c r="AC13" s="2650">
        <f t="shared" si="5"/>
        <v>0.76170000000000004</v>
      </c>
      <c r="AD13" s="2650">
        <f t="shared" si="5"/>
        <v>0.76170000000000004</v>
      </c>
      <c r="AE13" s="2650">
        <f t="shared" si="5"/>
        <v>0.76170000000000004</v>
      </c>
      <c r="AF13" s="2650">
        <f t="shared" si="5"/>
        <v>0.76170000000000004</v>
      </c>
      <c r="AG13" s="2650">
        <f t="shared" si="5"/>
        <v>0.76170000000000004</v>
      </c>
      <c r="AH13" s="2650">
        <f t="shared" si="5"/>
        <v>0.76170000000000004</v>
      </c>
      <c r="AI13" s="2650">
        <f t="shared" si="5"/>
        <v>0.76170000000000004</v>
      </c>
      <c r="AJ13" s="2650">
        <f t="shared" si="5"/>
        <v>0.76170000000000004</v>
      </c>
    </row>
    <row r="14" spans="1:39" ht="12.75" customHeight="1">
      <c r="A14" s="3575"/>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76"/>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73" t="s">
        <v>1829</v>
      </c>
      <c r="B16" s="1376" t="s">
        <v>941</v>
      </c>
      <c r="C16" s="1039">
        <f>ROUND(IF(F17="与级别开发程度一致",0,(G17-E17)/C17),0)</f>
        <v>0</v>
      </c>
      <c r="D16" s="3567" t="s">
        <v>945</v>
      </c>
      <c r="E16" s="3568"/>
      <c r="F16" s="3567" t="s">
        <v>942</v>
      </c>
      <c r="G16" s="3568"/>
      <c r="H16" s="1408"/>
      <c r="I16" s="1408"/>
      <c r="J16" s="1408"/>
      <c r="K16" s="1408"/>
      <c r="L16" s="1408"/>
      <c r="M16" s="1408"/>
      <c r="N16" s="1408"/>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77"/>
      <c r="B17" s="2854" t="s">
        <v>944</v>
      </c>
      <c r="C17" s="2855">
        <f>SUMPRODUCT((修正!A2:A5=E2)*(修正!B1:M1=G2)*(修正!B2:M5))</f>
        <v>2</v>
      </c>
      <c r="D17" s="2856" t="str">
        <f>IF(OR(G2="八级",G2="九级",G2="十级",G2="十一级",G2="十二级"),"五通一平","七通一平")</f>
        <v>五通一平</v>
      </c>
      <c r="E17" s="2846">
        <f>SUMPRODUCT((修正!B1:M1=G2)*(修正!B15:M15))</f>
        <v>155</v>
      </c>
      <c r="F17" s="2847" t="s">
        <v>3016</v>
      </c>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0.9</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ROUND(IF(H19="按公示增长率计算",SUMPRODUCT((地价!A3:A31=YEAR(G19)&amp;"-"&amp;ROUNDUP(MONTH(G19)/3,0))*(地价!X2:AB2=E2)*(地价!X3:AB31)),IF(H19="地价指数",M20/M19,(1+I19)^O19)),4)</f>
        <v>1.3788</v>
      </c>
      <c r="D19" s="1415" t="s">
        <v>948</v>
      </c>
      <c r="E19" s="1041">
        <v>41640</v>
      </c>
      <c r="F19" s="1415" t="s">
        <v>949</v>
      </c>
      <c r="G19" s="1042">
        <f>'数据-取费表'!B2</f>
        <v>44071</v>
      </c>
      <c r="H19" s="1416" t="s">
        <v>3017</v>
      </c>
      <c r="I19" s="2503" t="str">
        <f>IF(H19="季度增幅（自定义）",SUMIF(N21:N24,E2,O21:O24),"")</f>
        <v/>
      </c>
      <c r="J19" s="1412"/>
      <c r="K19" s="3234"/>
      <c r="L19" s="2753" t="s">
        <v>2820</v>
      </c>
      <c r="M19" s="2754">
        <f>ROUND(SUMIF(地价!B2:F2,E2,地价!B31:F31),0)</f>
        <v>258</v>
      </c>
      <c r="N19" s="2505" t="s">
        <v>1667</v>
      </c>
      <c r="O19" s="2504">
        <f>ROUNDDOWN(DATEDIF(E19,G19,"M")/3,0)</f>
        <v>26</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1</v>
      </c>
      <c r="D20" s="2500" t="s">
        <v>963</v>
      </c>
      <c r="E20" s="2783">
        <f ca="1">存贷款利率!I4/100</f>
        <v>4.3499999999999997E-2</v>
      </c>
      <c r="F20" s="2500" t="s">
        <v>964</v>
      </c>
      <c r="G20" s="2501">
        <f ca="1">SUMIF(M26:P26,E2,M28:P28)</f>
        <v>5.1999999999999998E-2</v>
      </c>
      <c r="H20" s="2500" t="s">
        <v>965</v>
      </c>
      <c r="I20" s="2496">
        <f>SUMIF('数据-取费表'!C6:C15,E2,'数据-取费表'!F6:F15)/COUNTIF('数据-取费表'!C6:C15,E2)</f>
        <v>50</v>
      </c>
      <c r="J20" s="2502">
        <f>IF(E2="住宅",70,IF(E2="商业",40,50))</f>
        <v>50</v>
      </c>
      <c r="K20" s="2844"/>
      <c r="L20" s="2755" t="s">
        <v>2821</v>
      </c>
      <c r="M20" s="2837">
        <f>ROUND(SUMPRODUCT((地价!A4:A31=YEAR(G19)&amp;"-"&amp;ROUNDUP(MONTH(G19)/3,0))*(地价!B2:F2=E2)*(地价!B4:F31)),0)</f>
        <v>347</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3018</v>
      </c>
      <c r="C21" s="1141">
        <f>IF(B21="容积率修正",IF(G3&lt;=10,D22,J22),C23)</f>
        <v>1.2383999999999999</v>
      </c>
      <c r="D21" s="1422"/>
      <c r="E21" s="1422"/>
      <c r="F21" s="1422"/>
      <c r="G21" s="1422"/>
      <c r="H21" s="1422"/>
      <c r="I21" s="1422"/>
      <c r="J21" s="1423"/>
      <c r="K21" s="3234"/>
      <c r="L21" s="1422"/>
      <c r="M21" s="1422"/>
      <c r="N21" s="1419" t="s">
        <v>966</v>
      </c>
      <c r="O21" s="1482"/>
      <c r="P21" s="2495">
        <f>SUMPRODUCT((地价!A3:A31=YEAR(G19)&amp;"-"&amp;ROUNDUP(MONTH(G19)/3,0))*(地价!AD2:AH2=N21)*(地价!AD3:AH31))</f>
        <v>1.2E-2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1.2383999999999999</v>
      </c>
      <c r="E22" s="1026">
        <f>ROUNDDOWN(G3,1)</f>
        <v>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1.2383999999999999</v>
      </c>
      <c r="G22" s="1026">
        <f>ROUNDUP(G3,1)</f>
        <v>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1.2383999999999999</v>
      </c>
      <c r="I22" s="1043" t="s">
        <v>968</v>
      </c>
      <c r="J22" s="1043" t="str">
        <f>IF(G3&gt;10,D113,"——")</f>
        <v>——</v>
      </c>
      <c r="K22" s="3240"/>
      <c r="L22" s="1422"/>
      <c r="M22" s="1422"/>
      <c r="N22" s="1419" t="s">
        <v>969</v>
      </c>
      <c r="O22" s="1482"/>
      <c r="P22" s="2495">
        <f>SUMPRODUCT((地价!A3:A31=YEAR(G19)&amp;"-"&amp;ROUNDUP(MONTH(G19)/3,0))*(地价!AD2:AH2=N22)*(地价!AD3:AH31))</f>
        <v>1.2E-2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SUMPRODUCT((地价!A3:A31=YEAR(G19)&amp;"-"&amp;ROUNDUP(MONTH(G19)/3,0))*(地价!AD2:AH2=N23)*(地价!AD3:AH31))</f>
        <v>1.9699999999999999E-2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v>
      </c>
      <c r="D24" s="1475"/>
      <c r="E24" s="1476"/>
      <c r="F24" s="1476"/>
      <c r="G24" s="1476"/>
      <c r="H24" s="1476"/>
      <c r="I24" s="1476"/>
      <c r="J24" s="1476"/>
      <c r="K24" s="3241"/>
      <c r="L24" s="1422"/>
      <c r="M24" s="1422"/>
      <c r="N24" s="1419" t="s">
        <v>972</v>
      </c>
      <c r="O24" s="2836"/>
      <c r="P24" s="2495">
        <f>SUMPRODUCT((地价!A3:A31=YEAR(G19)&amp;"-"&amp;ROUNDUP(MONTH(G19)/3,0))*(地价!AD2:AH2=N24)*(地价!AD3:AH31))</f>
        <v>1.2699999999999999E-2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SUMPRODUCT((地价!A3:A31=YEAR(G19)&amp;"-"&amp;ROUNDUP(MONTH(G19)/3,0))*(地价!AD2:AH2=N25)*(地价!AD3:AH31))</f>
        <v>1.7899999999999999E-2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0</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8729</v>
      </c>
      <c r="D29" s="1444"/>
      <c r="E29" s="1763">
        <f ca="1">ROUND(C29*D29/10000,0)</f>
        <v>0</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2182</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69"/>
      <c r="B33" s="1464" t="s">
        <v>990</v>
      </c>
      <c r="C33" s="1046">
        <f ca="1">ROUND(D5*C19*C20*C24*F33,0)</f>
        <v>4699</v>
      </c>
      <c r="D33" s="1477"/>
      <c r="E33" s="1035">
        <f ca="1">ROUND(C33*D33/10000,0)</f>
        <v>0</v>
      </c>
      <c r="F33" s="1035">
        <f>SUMIF(修正!A45:A56,G2,修正!B45:B56)</f>
        <v>0.6</v>
      </c>
      <c r="G33" s="1035">
        <f t="shared" ref="G33" ca="1" si="6">ROUND(IF(E2="工业",C33*$M$39,C33*$M$38),0)</f>
        <v>1175</v>
      </c>
      <c r="H33" s="1035">
        <f>D33</f>
        <v>0</v>
      </c>
      <c r="I33" s="1035">
        <f ca="1">ROUND(G33*H33/10000,0)</f>
        <v>0</v>
      </c>
      <c r="J33" s="3569" t="s">
        <v>2992</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70"/>
      <c r="B34" s="1394" t="s">
        <v>991</v>
      </c>
      <c r="C34" s="1046">
        <f ca="1">ROUND(D5*C19*C20*C24*F34,0)</f>
        <v>2349</v>
      </c>
      <c r="D34" s="1477"/>
      <c r="E34" s="1035">
        <f t="shared" ref="E34:E39" ca="1" si="7">ROUND(C34*D34/10000,0)</f>
        <v>0</v>
      </c>
      <c r="F34" s="1035">
        <f>SUMIF(修正!A45:A56,G2,修正!C45:C56)</f>
        <v>0.3</v>
      </c>
      <c r="G34" s="1035">
        <f ca="1">ROUND(IF(E2="工业",C34*$M$39,C34*$M$38),0)</f>
        <v>587</v>
      </c>
      <c r="H34" s="1035">
        <f t="shared" ref="H34:H39" si="8">D34</f>
        <v>0</v>
      </c>
      <c r="I34" s="1035">
        <f t="shared" ref="I34:I39" ca="1" si="9">ROUND(G34*H34/10000,0)</f>
        <v>0</v>
      </c>
      <c r="J34" s="3570"/>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70"/>
      <c r="B35" s="1394" t="s">
        <v>992</v>
      </c>
      <c r="C35" s="1046">
        <f ca="1">ROUND(D5*C19*C20*C24*F35,0)</f>
        <v>1566</v>
      </c>
      <c r="D35" s="1477"/>
      <c r="E35" s="1035">
        <f t="shared" ca="1" si="7"/>
        <v>0</v>
      </c>
      <c r="F35" s="1035">
        <f>SUMIF(修正!A45:A56,G2,修正!D45:D56)</f>
        <v>0.2</v>
      </c>
      <c r="G35" s="1035">
        <f ca="1">ROUND(IF(E2="工业",C35*$M$39,C35*$M$38),0)</f>
        <v>392</v>
      </c>
      <c r="H35" s="1035">
        <f t="shared" si="8"/>
        <v>0</v>
      </c>
      <c r="I35" s="1035">
        <f t="shared" ca="1" si="9"/>
        <v>0</v>
      </c>
      <c r="J35" s="3570"/>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71"/>
      <c r="B36" s="1394" t="s">
        <v>993</v>
      </c>
      <c r="C36" s="1046">
        <f ca="1">ROUND(D5*C19*C20*C24*F36,0)</f>
        <v>1566</v>
      </c>
      <c r="D36" s="1477"/>
      <c r="E36" s="1035">
        <f t="shared" ca="1" si="7"/>
        <v>0</v>
      </c>
      <c r="F36" s="1035">
        <f>SUMIF(修正!A45:A56,G2,修正!E45:E56)</f>
        <v>0.2</v>
      </c>
      <c r="G36" s="1035">
        <f ca="1">ROUND(IF(E2="工业",C36*$M$39,C36*$M$38),0)</f>
        <v>392</v>
      </c>
      <c r="H36" s="1035">
        <f t="shared" si="8"/>
        <v>0</v>
      </c>
      <c r="I36" s="1035">
        <f t="shared" ca="1" si="9"/>
        <v>0</v>
      </c>
      <c r="J36" s="3571"/>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1566</v>
      </c>
      <c r="D37" s="1477"/>
      <c r="E37" s="1035">
        <f t="shared" ca="1" si="7"/>
        <v>0</v>
      </c>
      <c r="F37" s="1046">
        <f>SUMIF(修正!A45:A56,G2,修正!F45:F56)</f>
        <v>0.2</v>
      </c>
      <c r="G37" s="1035">
        <f ca="1">ROUND(IF(E2="工业",C37*$M$39,C37*$M$38),0)</f>
        <v>392</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0.15</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2949</v>
      </c>
      <c r="C41" s="828">
        <f ca="1">ROUND(POWER(1+E41,H41-G41)*(POWER(1+E41,G41)-1)/(POWER(1+E41,H41)-1),4)</f>
        <v>0</v>
      </c>
      <c r="D41" s="372" t="s">
        <v>2947</v>
      </c>
      <c r="E41" s="2832">
        <f ca="1">G20</f>
        <v>5.1999999999999998E-2</v>
      </c>
      <c r="F41" s="372" t="s">
        <v>2948</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2905</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2904</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f>IF(E2="办公",SUMIF(L1:L12,G2,N1:N12),"——")</f>
        <v>0.15</v>
      </c>
      <c r="G58" s="2270"/>
      <c r="H58" s="2315">
        <f>IFERROR(ROUNDDOWN($F$58*I58/2,4),"——")</f>
        <v>1.7999999999999999E-2</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f t="shared" ref="H59:H66" si="19">IFERROR($F$58*I59/2,"——")</f>
        <v>2.2499999999999999E-2</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5"/>
        <v>0</v>
      </c>
      <c r="E60" s="2294"/>
      <c r="F60" s="2292"/>
      <c r="G60" s="2270"/>
      <c r="H60" s="2271">
        <f t="shared" si="19"/>
        <v>6.0000000000000001E-3</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2906</v>
      </c>
      <c r="C61" s="1037"/>
      <c r="D61" s="2272">
        <f t="shared" si="15"/>
        <v>0</v>
      </c>
      <c r="E61" s="2294"/>
      <c r="F61" s="2292"/>
      <c r="G61" s="2270"/>
      <c r="H61" s="2271">
        <f t="shared" si="19"/>
        <v>3.0000000000000001E-3</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5"/>
        <v>0</v>
      </c>
      <c r="E62" s="2294"/>
      <c r="F62" s="2292"/>
      <c r="G62" s="2270"/>
      <c r="H62" s="2271">
        <f t="shared" si="19"/>
        <v>3.7499999999999999E-3</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2904</v>
      </c>
      <c r="C63" s="1037"/>
      <c r="D63" s="2272">
        <f t="shared" si="15"/>
        <v>0</v>
      </c>
      <c r="E63" s="2294"/>
      <c r="F63" s="2292"/>
      <c r="G63" s="2270"/>
      <c r="H63" s="2271">
        <f t="shared" si="19"/>
        <v>3.7499999999999999E-3</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5"/>
        <v>0</v>
      </c>
      <c r="E64" s="2294"/>
      <c r="F64" s="2292"/>
      <c r="G64" s="2270"/>
      <c r="H64" s="2271">
        <f t="shared" si="19"/>
        <v>4.4999999999999997E-3</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5"/>
        <v>0</v>
      </c>
      <c r="E65" s="2294"/>
      <c r="F65" s="2292"/>
      <c r="G65" s="2270"/>
      <c r="H65" s="2271">
        <f t="shared" si="19"/>
        <v>8.9999999999999993E-3</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5"/>
        <v>0</v>
      </c>
      <c r="E66" s="2298"/>
      <c r="F66" s="2292"/>
      <c r="G66" s="2270"/>
      <c r="H66" s="2271">
        <f t="shared" si="19"/>
        <v>4.4999999999999997E-3</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2904</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4"/>
      <c r="AD81" s="1353"/>
      <c r="AJ81" s="1352"/>
      <c r="AN81" s="1353"/>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4"/>
      <c r="AD82" s="1353"/>
      <c r="AJ82" s="1352"/>
      <c r="AN82" s="1353"/>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4"/>
      <c r="AD83" s="1353"/>
      <c r="AJ83" s="1352"/>
      <c r="AN83" s="1353"/>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4"/>
      <c r="AD84" s="1353"/>
      <c r="AJ84" s="1352"/>
      <c r="AN84" s="1353"/>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4"/>
      <c r="AD85" s="1353"/>
      <c r="AJ85" s="1352"/>
      <c r="AN85" s="1353"/>
    </row>
    <row r="86" spans="1:40" ht="24">
      <c r="A86" s="1050" t="s">
        <v>1016</v>
      </c>
      <c r="B86" s="2784" t="s">
        <v>2904</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4"/>
      <c r="AD86" s="1353"/>
      <c r="AJ86" s="1352"/>
      <c r="AN86" s="1353"/>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4"/>
      <c r="AD87" s="1353"/>
      <c r="AJ87" s="1352"/>
      <c r="AN87" s="1353"/>
    </row>
    <row r="90" spans="1:40">
      <c r="A90" s="3578" t="s">
        <v>1624</v>
      </c>
      <c r="B90" s="3578"/>
      <c r="C90" s="3578"/>
      <c r="D90" s="3578"/>
      <c r="E90" s="3578"/>
      <c r="F90" s="3578"/>
      <c r="G90" s="3578"/>
      <c r="H90" s="3578"/>
      <c r="I90" s="3578"/>
      <c r="J90" s="3578"/>
      <c r="K90" s="2305"/>
      <c r="L90" s="2305"/>
      <c r="M90" s="2305"/>
      <c r="N90" s="2305"/>
    </row>
    <row r="91" spans="1:40">
      <c r="A91" s="3579" t="s">
        <v>1434</v>
      </c>
      <c r="B91" s="3579" t="s">
        <v>1625</v>
      </c>
      <c r="C91" s="1123" t="s">
        <v>1626</v>
      </c>
      <c r="D91" s="1124"/>
      <c r="E91" s="1124"/>
      <c r="F91" s="1124"/>
      <c r="G91" s="1124"/>
      <c r="H91" s="1124"/>
      <c r="I91" s="1124"/>
      <c r="J91" s="1125"/>
      <c r="K91" s="1117"/>
      <c r="L91" s="1117"/>
      <c r="M91" s="1117"/>
      <c r="N91" s="1117"/>
    </row>
    <row r="92" spans="1:40">
      <c r="A92" s="3579"/>
      <c r="B92" s="3579"/>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62"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63"/>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63"/>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63"/>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63"/>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63"/>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63"/>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64"/>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62" t="s">
        <v>1628</v>
      </c>
      <c r="B101" s="1130" t="s">
        <v>897</v>
      </c>
      <c r="C101" s="1131">
        <f>$G$3</f>
        <v>1</v>
      </c>
      <c r="D101" s="1131">
        <f t="shared" ref="D101:N101" si="31">$G$3</f>
        <v>1</v>
      </c>
      <c r="E101" s="1131">
        <f t="shared" si="31"/>
        <v>1</v>
      </c>
      <c r="F101" s="1131">
        <f t="shared" si="31"/>
        <v>1</v>
      </c>
      <c r="G101" s="1131">
        <f t="shared" si="31"/>
        <v>1</v>
      </c>
      <c r="H101" s="1131">
        <f t="shared" si="31"/>
        <v>1</v>
      </c>
      <c r="I101" s="1131">
        <f t="shared" si="31"/>
        <v>1</v>
      </c>
      <c r="J101" s="1131">
        <f t="shared" si="31"/>
        <v>1</v>
      </c>
      <c r="K101" s="1131">
        <f t="shared" si="31"/>
        <v>1</v>
      </c>
      <c r="L101" s="1131">
        <f t="shared" si="31"/>
        <v>1</v>
      </c>
      <c r="M101" s="1131">
        <f t="shared" si="31"/>
        <v>1</v>
      </c>
      <c r="N101" s="1131">
        <f t="shared" si="31"/>
        <v>1</v>
      </c>
    </row>
    <row r="102" spans="1:14">
      <c r="A102" s="3563"/>
      <c r="B102" s="1126">
        <v>1</v>
      </c>
      <c r="C102" s="1127">
        <f>1.9362/C101</f>
        <v>1.9361999999999999</v>
      </c>
      <c r="D102" s="1127">
        <f>1.9362/D101</f>
        <v>1.9361999999999999</v>
      </c>
      <c r="E102" s="1127">
        <f>1.8629/E101</f>
        <v>1.8629</v>
      </c>
      <c r="F102" s="1127">
        <f>1.8629/F101</f>
        <v>1.8629</v>
      </c>
      <c r="G102" s="1127">
        <f>1.8629/G101</f>
        <v>1.8629</v>
      </c>
      <c r="H102" s="1127">
        <f>1.8629/H101</f>
        <v>1.8629</v>
      </c>
      <c r="I102" s="1127">
        <f>1.8629/I101</f>
        <v>1.8629</v>
      </c>
      <c r="J102" s="1127">
        <f>1.942/J101</f>
        <v>1.9419999999999999</v>
      </c>
      <c r="K102" s="1127">
        <f>1.942/K101</f>
        <v>1.9419999999999999</v>
      </c>
      <c r="L102" s="1127">
        <f>1.942/L101</f>
        <v>1.9419999999999999</v>
      </c>
      <c r="M102" s="1127">
        <f>1.942/M101</f>
        <v>1.9419999999999999</v>
      </c>
      <c r="N102" s="1127">
        <f>1.942/N101</f>
        <v>1.9419999999999999</v>
      </c>
    </row>
    <row r="103" spans="1:14">
      <c r="A103" s="3563"/>
      <c r="B103" s="1126">
        <v>2</v>
      </c>
      <c r="C103" s="1127">
        <f>1.4198/C101</f>
        <v>1.4198</v>
      </c>
      <c r="D103" s="1127">
        <f>1.4198/D101</f>
        <v>1.4198</v>
      </c>
      <c r="E103" s="1127">
        <f>1.3372/E101</f>
        <v>1.3371999999999999</v>
      </c>
      <c r="F103" s="1127">
        <f>1.3372/F101</f>
        <v>1.3371999999999999</v>
      </c>
      <c r="G103" s="1127">
        <f>1.3372/G101</f>
        <v>1.3371999999999999</v>
      </c>
      <c r="H103" s="1127">
        <f>1.3372/H101</f>
        <v>1.3371999999999999</v>
      </c>
      <c r="I103" s="1127">
        <f>1.3372/I101</f>
        <v>1.3371999999999999</v>
      </c>
      <c r="J103" s="1127">
        <f>1.2799/J101</f>
        <v>1.2799</v>
      </c>
      <c r="K103" s="1127">
        <f>1.2799/K101</f>
        <v>1.2799</v>
      </c>
      <c r="L103" s="1127">
        <f>1.2799/L101</f>
        <v>1.2799</v>
      </c>
      <c r="M103" s="1127">
        <f>1.2799/M101</f>
        <v>1.2799</v>
      </c>
      <c r="N103" s="1127">
        <f>1.2799/N101</f>
        <v>1.2799</v>
      </c>
    </row>
    <row r="104" spans="1:14">
      <c r="A104" s="3563"/>
      <c r="B104" s="1126">
        <v>3</v>
      </c>
      <c r="C104" s="1127">
        <f>1.1594/C101</f>
        <v>1.1594</v>
      </c>
      <c r="D104" s="1127">
        <f>1.1594/D101</f>
        <v>1.1594</v>
      </c>
      <c r="E104" s="1127">
        <f>1.0788/E101</f>
        <v>1.0788</v>
      </c>
      <c r="F104" s="1127">
        <f>1.0788/F101</f>
        <v>1.0788</v>
      </c>
      <c r="G104" s="1127">
        <f>1.0788/G101</f>
        <v>1.0788</v>
      </c>
      <c r="H104" s="1127">
        <f>1.0788/H101</f>
        <v>1.0788</v>
      </c>
      <c r="I104" s="1127">
        <f>1.0788/I101</f>
        <v>1.0788</v>
      </c>
      <c r="J104" s="1127">
        <f>1.0072/J101</f>
        <v>1.0072000000000001</v>
      </c>
      <c r="K104" s="1127">
        <f>1.0072/K101</f>
        <v>1.0072000000000001</v>
      </c>
      <c r="L104" s="1127">
        <f>1.0072/L101</f>
        <v>1.0072000000000001</v>
      </c>
      <c r="M104" s="1127">
        <f>1.0072/M101</f>
        <v>1.0072000000000001</v>
      </c>
      <c r="N104" s="1127">
        <f>1.0072/N101</f>
        <v>1.0072000000000001</v>
      </c>
    </row>
    <row r="105" spans="1:14">
      <c r="A105" s="3563"/>
      <c r="B105" s="1126">
        <v>4</v>
      </c>
      <c r="C105" s="1127">
        <f>0.9622/C101</f>
        <v>0.96220000000000006</v>
      </c>
      <c r="D105" s="1127">
        <f>0.9622/D101</f>
        <v>0.96220000000000006</v>
      </c>
      <c r="E105" s="1127">
        <f>0.8656/E101</f>
        <v>0.86560000000000004</v>
      </c>
      <c r="F105" s="1127">
        <f>0.8656/F101</f>
        <v>0.86560000000000004</v>
      </c>
      <c r="G105" s="1127">
        <f>0.8656/G101</f>
        <v>0.86560000000000004</v>
      </c>
      <c r="H105" s="1127">
        <f>0.8656/H101</f>
        <v>0.86560000000000004</v>
      </c>
      <c r="I105" s="1127">
        <f>0.8656/I101</f>
        <v>0.86560000000000004</v>
      </c>
      <c r="J105" s="1127">
        <f>0.7525/J101</f>
        <v>0.75249999999999995</v>
      </c>
      <c r="K105" s="1127">
        <f>0.7525/K101</f>
        <v>0.75249999999999995</v>
      </c>
      <c r="L105" s="1127">
        <f>0.7525/L101</f>
        <v>0.75249999999999995</v>
      </c>
      <c r="M105" s="1127">
        <f>0.7525/M101</f>
        <v>0.75249999999999995</v>
      </c>
      <c r="N105" s="1127">
        <f>0.7525/N101</f>
        <v>0.75249999999999995</v>
      </c>
    </row>
    <row r="106" spans="1:14">
      <c r="A106" s="3563"/>
      <c r="B106" s="1126">
        <v>5</v>
      </c>
      <c r="C106" s="1127">
        <f>0.8417/C101</f>
        <v>0.8417</v>
      </c>
      <c r="D106" s="1127">
        <f>0.8417/D101</f>
        <v>0.8417</v>
      </c>
      <c r="E106" s="1127">
        <f>0.7371/E101</f>
        <v>0.73709999999999998</v>
      </c>
      <c r="F106" s="1127">
        <f>0.7371/F101</f>
        <v>0.73709999999999998</v>
      </c>
      <c r="G106" s="1127">
        <f>0.7371/G101</f>
        <v>0.73709999999999998</v>
      </c>
      <c r="H106" s="1127">
        <f>0.7371/H101</f>
        <v>0.73709999999999998</v>
      </c>
      <c r="I106" s="1127">
        <f>0.7371/I101</f>
        <v>0.73709999999999998</v>
      </c>
      <c r="J106" s="1127">
        <f>0.5659/J101</f>
        <v>0.56589999999999996</v>
      </c>
      <c r="K106" s="1127">
        <f>0.5659/K101</f>
        <v>0.56589999999999996</v>
      </c>
      <c r="L106" s="1127">
        <f>0.5659/L101</f>
        <v>0.56589999999999996</v>
      </c>
      <c r="M106" s="1127">
        <f>0.5659/M101</f>
        <v>0.56589999999999996</v>
      </c>
      <c r="N106" s="1127">
        <f>0.5659/N101</f>
        <v>0.56589999999999996</v>
      </c>
    </row>
    <row r="107" spans="1:14">
      <c r="A107" s="3563"/>
      <c r="B107" s="1126">
        <v>6</v>
      </c>
      <c r="C107" s="1127">
        <f>0.7608/C101</f>
        <v>0.76080000000000003</v>
      </c>
      <c r="D107" s="1127">
        <f>0.7608/D101</f>
        <v>0.76080000000000003</v>
      </c>
      <c r="E107" s="1127">
        <f>0.6482/E101</f>
        <v>0.6482</v>
      </c>
      <c r="F107" s="1127">
        <f>0.6482/F101</f>
        <v>0.6482</v>
      </c>
      <c r="G107" s="1127">
        <f>0.6482/G101</f>
        <v>0.6482</v>
      </c>
      <c r="H107" s="1127">
        <f>0.6482/H101</f>
        <v>0.6482</v>
      </c>
      <c r="I107" s="1127">
        <f>0.6482/I101</f>
        <v>0.6482</v>
      </c>
      <c r="J107" s="1127">
        <f>0.4525/J101</f>
        <v>0.45250000000000001</v>
      </c>
      <c r="K107" s="1127">
        <f>0.4525/K101</f>
        <v>0.45250000000000001</v>
      </c>
      <c r="L107" s="1127">
        <f>0.4525/L101</f>
        <v>0.45250000000000001</v>
      </c>
      <c r="M107" s="1127">
        <f>0.4525/M101</f>
        <v>0.45250000000000001</v>
      </c>
      <c r="N107" s="1127">
        <f>0.4525/N101</f>
        <v>0.45250000000000001</v>
      </c>
    </row>
    <row r="108" spans="1:14">
      <c r="A108" s="3563"/>
      <c r="B108" s="3565"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64"/>
      <c r="B109" s="3566"/>
      <c r="C109" s="1129">
        <f>(-0.163*(C108^2)-0.59*C108+7617)*(10^(-4))/C101</f>
        <v>0.76170000000000004</v>
      </c>
      <c r="D109" s="1129">
        <f>(-0.163*(D108^2)-0.59*D108+7617)*(10^(-4))/D101</f>
        <v>0.76170000000000004</v>
      </c>
      <c r="E109" s="1129">
        <f>(-0.161*(E108^2)-7.509*E108+6533)*(10^(-4))/E101</f>
        <v>0.65329999999999999</v>
      </c>
      <c r="F109" s="1129">
        <f>(-0.161*(F108^2)-7.509*F108+6533)*(10^(-4))/F101</f>
        <v>0.65329999999999999</v>
      </c>
      <c r="G109" s="1129">
        <f>(-0.161*(G108^2)-7.509*G108+6533)*(10^(-4))/G101</f>
        <v>0.65329999999999999</v>
      </c>
      <c r="H109" s="1129">
        <f>(-0.161*(H108^2)-7.509*H108+6533)*(10^(-4))/H101</f>
        <v>0.65329999999999999</v>
      </c>
      <c r="I109" s="1129">
        <f>(-0.161*(I108^2)-7.509*I108+6533)*(10^(-4))/I101</f>
        <v>0.65329999999999999</v>
      </c>
      <c r="J109" s="1129">
        <f>(-0.214*(J108^2)-21.991*J108+4665)*(10^(-4))/J101</f>
        <v>0.46650000000000003</v>
      </c>
      <c r="K109" s="1129">
        <f>(-0.214*(K108^2)-21.991*K108+4665)*(10^(-4))/K101</f>
        <v>0.46650000000000003</v>
      </c>
      <c r="L109" s="1129">
        <f>(-0.214*(L108^2)-21.991*L108+4665)*(10^(-4))/L101</f>
        <v>0.46650000000000003</v>
      </c>
      <c r="M109" s="1129">
        <f>(-0.214*(M108^2)-21.991*M108+4665)*(10^(-4))/M101</f>
        <v>0.46650000000000003</v>
      </c>
      <c r="N109" s="1129">
        <f>(-0.214*(N108^2)-21.991*N108+4665)*(10^(-4))/N101</f>
        <v>0.46650000000000003</v>
      </c>
    </row>
    <row r="110" spans="1:14">
      <c r="A110" s="3572" t="s">
        <v>1630</v>
      </c>
      <c r="B110" s="3572"/>
      <c r="C110" s="3572"/>
      <c r="D110" s="3572"/>
      <c r="E110" s="3572"/>
      <c r="F110" s="3572"/>
      <c r="G110" s="3572"/>
      <c r="H110" s="3572"/>
      <c r="I110" s="3572"/>
      <c r="J110" s="3572"/>
      <c r="K110" s="2303"/>
      <c r="L110" s="2303"/>
      <c r="M110" s="2303"/>
      <c r="N110" s="2303"/>
    </row>
    <row r="112" spans="1:14" ht="12.75" thickBot="1"/>
    <row r="113" spans="1:13" ht="25.5" thickBot="1">
      <c r="A113" s="1003" t="s">
        <v>887</v>
      </c>
      <c r="B113" s="2306">
        <f>G3</f>
        <v>1</v>
      </c>
      <c r="C113" s="1004" t="s">
        <v>888</v>
      </c>
      <c r="D113" s="1005">
        <f>SUMPRODUCT((A115:A118=F113)*(B114:M114=H113)*B115:M118)</f>
        <v>0.75539999999999996</v>
      </c>
      <c r="E113" s="1006" t="s">
        <v>889</v>
      </c>
      <c r="F113" s="1007" t="str">
        <f>E2</f>
        <v>办公</v>
      </c>
      <c r="G113" s="1006" t="s">
        <v>890</v>
      </c>
      <c r="H113" s="1007" t="str">
        <f>G2</f>
        <v>八级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0.92410000000000003</v>
      </c>
      <c r="C115" s="1017">
        <f>B115</f>
        <v>0.92410000000000003</v>
      </c>
      <c r="D115" s="1017">
        <f>ROUND(0.8331-0.0109*B113,4)</f>
        <v>0.82220000000000004</v>
      </c>
      <c r="E115" s="1017">
        <f>D115</f>
        <v>0.82220000000000004</v>
      </c>
      <c r="F115" s="1017">
        <f>E115</f>
        <v>0.82220000000000004</v>
      </c>
      <c r="G115" s="1017">
        <f>F115</f>
        <v>0.82220000000000004</v>
      </c>
      <c r="H115" s="1017">
        <f>G115</f>
        <v>0.82220000000000004</v>
      </c>
      <c r="I115" s="1017">
        <f>ROUND(0.689-0.0155*B113,4)</f>
        <v>0.67349999999999999</v>
      </c>
      <c r="J115" s="1017">
        <f t="shared" ref="J115:M118" si="33">I115</f>
        <v>0.67349999999999999</v>
      </c>
      <c r="K115" s="1017">
        <f t="shared" si="33"/>
        <v>0.67349999999999999</v>
      </c>
      <c r="L115" s="1017">
        <f t="shared" si="33"/>
        <v>0.67349999999999999</v>
      </c>
      <c r="M115" s="1018">
        <f t="shared" si="33"/>
        <v>0.67349999999999999</v>
      </c>
    </row>
    <row r="116" spans="1:13" ht="12.75">
      <c r="A116" s="1016" t="s">
        <v>892</v>
      </c>
      <c r="B116" s="1017">
        <f>ROUND(0.949-0.012*B113,4)</f>
        <v>0.93700000000000006</v>
      </c>
      <c r="C116" s="1017">
        <f>B116</f>
        <v>0.93700000000000006</v>
      </c>
      <c r="D116" s="1017">
        <f>ROUND(0.8567-0.013*B113,4)</f>
        <v>0.84370000000000001</v>
      </c>
      <c r="E116" s="1017">
        <f t="shared" ref="E116:H117" si="34">D116</f>
        <v>0.84370000000000001</v>
      </c>
      <c r="F116" s="1017">
        <f t="shared" si="34"/>
        <v>0.84370000000000001</v>
      </c>
      <c r="G116" s="1017">
        <f t="shared" si="34"/>
        <v>0.84370000000000001</v>
      </c>
      <c r="H116" s="1017">
        <f t="shared" si="34"/>
        <v>0.84370000000000001</v>
      </c>
      <c r="I116" s="1017">
        <f>ROUND(0.7694-0.014*B113,4)</f>
        <v>0.75539999999999996</v>
      </c>
      <c r="J116" s="1017">
        <f t="shared" si="33"/>
        <v>0.75539999999999996</v>
      </c>
      <c r="K116" s="1017">
        <f t="shared" si="33"/>
        <v>0.75539999999999996</v>
      </c>
      <c r="L116" s="1017">
        <f t="shared" si="33"/>
        <v>0.75539999999999996</v>
      </c>
      <c r="M116" s="1018">
        <f t="shared" si="33"/>
        <v>0.75539999999999996</v>
      </c>
    </row>
    <row r="117" spans="1:13" ht="12.75">
      <c r="A117" s="1019" t="s">
        <v>893</v>
      </c>
      <c r="B117" s="1017">
        <f>ROUND(0.8808-0.006*B113,4)</f>
        <v>0.87480000000000002</v>
      </c>
      <c r="C117" s="1017">
        <f>B117</f>
        <v>0.87480000000000002</v>
      </c>
      <c r="D117" s="1017">
        <f>ROUND(0.8748-0.008*B113,4)</f>
        <v>0.86680000000000001</v>
      </c>
      <c r="E117" s="1017">
        <f t="shared" si="34"/>
        <v>0.86680000000000001</v>
      </c>
      <c r="F117" s="1017">
        <f t="shared" si="34"/>
        <v>0.86680000000000001</v>
      </c>
      <c r="G117" s="1017">
        <f t="shared" si="34"/>
        <v>0.86680000000000001</v>
      </c>
      <c r="H117" s="1017">
        <f t="shared" si="34"/>
        <v>0.86680000000000001</v>
      </c>
      <c r="I117" s="1017">
        <f>ROUND(0.7412-0.0095*B113,4)</f>
        <v>0.73170000000000002</v>
      </c>
      <c r="J117" s="1017">
        <f t="shared" si="33"/>
        <v>0.73170000000000002</v>
      </c>
      <c r="K117" s="1017">
        <f t="shared" si="33"/>
        <v>0.73170000000000002</v>
      </c>
      <c r="L117" s="1017">
        <f t="shared" si="33"/>
        <v>0.73170000000000002</v>
      </c>
      <c r="M117" s="1018">
        <f t="shared" si="33"/>
        <v>0.73170000000000002</v>
      </c>
    </row>
    <row r="118" spans="1:13" ht="13.5" thickBot="1">
      <c r="A118" s="1020" t="s">
        <v>894</v>
      </c>
      <c r="B118" s="1021">
        <f>ROUND(0.7275-0.01*B113,4)</f>
        <v>0.71750000000000003</v>
      </c>
      <c r="C118" s="1021">
        <f>B118</f>
        <v>0.71750000000000003</v>
      </c>
      <c r="D118" s="1021">
        <f>ROUND(0.7043-0.012*B113,4)</f>
        <v>0.69230000000000003</v>
      </c>
      <c r="E118" s="1021">
        <f>D118</f>
        <v>0.69230000000000003</v>
      </c>
      <c r="F118" s="1021">
        <f>E118</f>
        <v>0.69230000000000003</v>
      </c>
      <c r="G118" s="1021">
        <f>ROUND(0.6299-0.0122*B113,4)</f>
        <v>0.61770000000000003</v>
      </c>
      <c r="H118" s="1021">
        <f>G118</f>
        <v>0.61770000000000003</v>
      </c>
      <c r="I118" s="1021">
        <f>ROUND(0.5667-0.0136*B113,4)</f>
        <v>0.55310000000000004</v>
      </c>
      <c r="J118" s="1021">
        <f t="shared" si="33"/>
        <v>0.55310000000000004</v>
      </c>
      <c r="K118" s="1021">
        <f t="shared" si="33"/>
        <v>0.55310000000000004</v>
      </c>
      <c r="L118" s="1021">
        <f t="shared" si="33"/>
        <v>0.55310000000000004</v>
      </c>
      <c r="M118" s="1022">
        <f t="shared" si="33"/>
        <v>0.55310000000000004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4" type="noConversion"/>
  <conditionalFormatting sqref="F47">
    <cfRule type="cellIs" dxfId="125" priority="5" stopIfTrue="1" operator="notEqual">
      <formula>"——"</formula>
    </cfRule>
  </conditionalFormatting>
  <conditionalFormatting sqref="F58">
    <cfRule type="cellIs" dxfId="124" priority="4" stopIfTrue="1" operator="notEqual">
      <formula>"——"</formula>
    </cfRule>
  </conditionalFormatting>
  <conditionalFormatting sqref="F69">
    <cfRule type="cellIs" dxfId="123" priority="3" stopIfTrue="1" operator="notEqual">
      <formula>"——"</formula>
    </cfRule>
  </conditionalFormatting>
  <conditionalFormatting sqref="F80">
    <cfRule type="cellIs" dxfId="122" priority="2" stopIfTrue="1" operator="notEqual">
      <formula>"——"</formula>
    </cfRule>
  </conditionalFormatting>
  <conditionalFormatting sqref="H58:H66 H47:H55 H69:H77 H80:H87">
    <cfRule type="cellIs" dxfId="12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2951</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79" t="s">
        <v>998</v>
      </c>
      <c r="B18" s="1137" t="s">
        <v>1437</v>
      </c>
      <c r="C18" s="1114" t="s">
        <v>1438</v>
      </c>
      <c r="D18" s="1115"/>
      <c r="E18" s="1137">
        <v>1</v>
      </c>
      <c r="F18" s="1116" t="s">
        <v>1439</v>
      </c>
      <c r="G18" s="1117"/>
      <c r="H18" s="1088"/>
      <c r="I18" s="1088"/>
    </row>
    <row r="19" spans="1:9" s="1530" customFormat="1" ht="19.5" customHeight="1">
      <c r="A19" s="3579"/>
      <c r="B19" s="3579" t="s">
        <v>1440</v>
      </c>
      <c r="C19" s="1114" t="s">
        <v>1441</v>
      </c>
      <c r="D19" s="1115"/>
      <c r="E19" s="1137">
        <v>0.9</v>
      </c>
      <c r="F19" s="1116" t="s">
        <v>1442</v>
      </c>
      <c r="G19" s="1117"/>
      <c r="H19" s="1088"/>
      <c r="I19" s="1088"/>
    </row>
    <row r="20" spans="1:9" s="1530" customFormat="1" ht="19.5" customHeight="1">
      <c r="A20" s="3579"/>
      <c r="B20" s="3579"/>
      <c r="C20" s="1114" t="s">
        <v>1443</v>
      </c>
      <c r="D20" s="1115"/>
      <c r="E20" s="1137">
        <v>1.1000000000000001</v>
      </c>
      <c r="F20" s="1116" t="s">
        <v>1444</v>
      </c>
      <c r="G20" s="1117"/>
      <c r="H20" s="1088"/>
      <c r="I20" s="1088"/>
    </row>
    <row r="21" spans="1:9" s="1530" customFormat="1" ht="19.5" customHeight="1">
      <c r="A21" s="3579"/>
      <c r="B21" s="3579"/>
      <c r="C21" s="1114" t="s">
        <v>1445</v>
      </c>
      <c r="D21" s="1115"/>
      <c r="E21" s="1137">
        <v>0.8</v>
      </c>
      <c r="F21" s="1116" t="s">
        <v>1446</v>
      </c>
      <c r="G21" s="1117"/>
      <c r="H21" s="1088"/>
      <c r="I21" s="1088"/>
    </row>
    <row r="22" spans="1:9" s="1530" customFormat="1" ht="19.5" customHeight="1">
      <c r="A22" s="3579"/>
      <c r="B22" s="3579"/>
      <c r="C22" s="1114" t="s">
        <v>1447</v>
      </c>
      <c r="D22" s="1115"/>
      <c r="E22" s="1137">
        <v>0.5</v>
      </c>
      <c r="F22" s="1116"/>
      <c r="G22" s="1117"/>
      <c r="H22" s="1088"/>
      <c r="I22" s="1088"/>
    </row>
    <row r="23" spans="1:9" s="1530" customFormat="1" ht="19.5" customHeight="1">
      <c r="A23" s="3579" t="s">
        <v>1020</v>
      </c>
      <c r="B23" s="1137" t="s">
        <v>1437</v>
      </c>
      <c r="C23" s="1114" t="s">
        <v>1448</v>
      </c>
      <c r="D23" s="1115"/>
      <c r="E23" s="1137">
        <v>1</v>
      </c>
      <c r="F23" s="1116" t="s">
        <v>1449</v>
      </c>
      <c r="G23" s="1117"/>
      <c r="H23" s="1088"/>
      <c r="I23" s="1088"/>
    </row>
    <row r="24" spans="1:9" s="1530" customFormat="1" ht="19.5" customHeight="1">
      <c r="A24" s="3579"/>
      <c r="B24" s="3579" t="s">
        <v>1440</v>
      </c>
      <c r="C24" s="1114" t="s">
        <v>1450</v>
      </c>
      <c r="D24" s="1115"/>
      <c r="E24" s="1137">
        <v>0.5</v>
      </c>
      <c r="F24" s="1116"/>
      <c r="G24" s="1117"/>
      <c r="H24" s="1088"/>
      <c r="I24" s="1088"/>
    </row>
    <row r="25" spans="1:9" s="1530" customFormat="1" ht="19.5" customHeight="1">
      <c r="A25" s="3579"/>
      <c r="B25" s="3579"/>
      <c r="C25" s="1114" t="s">
        <v>1451</v>
      </c>
      <c r="D25" s="1115"/>
      <c r="E25" s="1137">
        <v>1.1000000000000001</v>
      </c>
      <c r="F25" s="1116"/>
      <c r="G25" s="1117"/>
      <c r="H25" s="1088"/>
      <c r="I25" s="1088"/>
    </row>
    <row r="26" spans="1:9" s="1530" customFormat="1" ht="19.5" customHeight="1">
      <c r="A26" s="3579"/>
      <c r="B26" s="3579"/>
      <c r="C26" s="1114" t="s">
        <v>1452</v>
      </c>
      <c r="D26" s="1115"/>
      <c r="E26" s="1137">
        <v>1.1000000000000001</v>
      </c>
      <c r="F26" s="1116"/>
      <c r="G26" s="1117"/>
      <c r="H26" s="1088"/>
      <c r="I26" s="1088"/>
    </row>
    <row r="27" spans="1:9" s="1530" customFormat="1" ht="19.5" customHeight="1">
      <c r="A27" s="3579"/>
      <c r="B27" s="3579"/>
      <c r="C27" s="1114" t="s">
        <v>1453</v>
      </c>
      <c r="D27" s="1115"/>
      <c r="E27" s="1137">
        <v>0.9</v>
      </c>
      <c r="F27" s="1116" t="s">
        <v>1454</v>
      </c>
      <c r="G27" s="1117"/>
      <c r="H27" s="1088"/>
      <c r="I27" s="1088"/>
    </row>
    <row r="28" spans="1:9" s="1530" customFormat="1" ht="19.5" customHeight="1">
      <c r="A28" s="3579"/>
      <c r="B28" s="3579"/>
      <c r="C28" s="1114" t="s">
        <v>1455</v>
      </c>
      <c r="D28" s="1115"/>
      <c r="E28" s="1137">
        <v>0.9</v>
      </c>
      <c r="F28" s="1116" t="s">
        <v>1456</v>
      </c>
      <c r="G28" s="1117"/>
      <c r="H28" s="1088"/>
      <c r="I28" s="1088"/>
    </row>
    <row r="29" spans="1:9" s="1530" customFormat="1" ht="19.5" customHeight="1">
      <c r="A29" s="3579"/>
      <c r="B29" s="3579"/>
      <c r="C29" s="1114" t="s">
        <v>1457</v>
      </c>
      <c r="D29" s="1115"/>
      <c r="E29" s="1137">
        <v>0.9</v>
      </c>
      <c r="F29" s="1116" t="s">
        <v>1458</v>
      </c>
      <c r="G29" s="1117"/>
      <c r="H29" s="1088"/>
      <c r="I29" s="1088"/>
    </row>
    <row r="30" spans="1:9" s="1530" customFormat="1" ht="19.5" customHeight="1">
      <c r="A30" s="3579"/>
      <c r="B30" s="3579"/>
      <c r="C30" s="1114" t="s">
        <v>1459</v>
      </c>
      <c r="D30" s="1115"/>
      <c r="E30" s="1137">
        <v>0.9</v>
      </c>
      <c r="F30" s="1116" t="s">
        <v>1460</v>
      </c>
      <c r="G30" s="1117"/>
      <c r="H30" s="1088"/>
      <c r="I30" s="1088"/>
    </row>
    <row r="31" spans="1:9" s="1530" customFormat="1" ht="19.5" customHeight="1">
      <c r="A31" s="3579"/>
      <c r="B31" s="3579"/>
      <c r="C31" s="1114" t="s">
        <v>1461</v>
      </c>
      <c r="D31" s="1115"/>
      <c r="E31" s="1137">
        <v>0.8</v>
      </c>
      <c r="F31" s="1116" t="s">
        <v>1462</v>
      </c>
      <c r="G31" s="1117"/>
      <c r="H31" s="1088"/>
      <c r="I31" s="1088"/>
    </row>
    <row r="32" spans="1:9" s="1530" customFormat="1" ht="19.5" customHeight="1">
      <c r="A32" s="3579"/>
      <c r="B32" s="3579"/>
      <c r="C32" s="1114" t="s">
        <v>1463</v>
      </c>
      <c r="D32" s="1115"/>
      <c r="E32" s="1137">
        <v>0.8</v>
      </c>
      <c r="F32" s="1116" t="s">
        <v>1464</v>
      </c>
      <c r="G32" s="1117"/>
      <c r="H32" s="1088"/>
      <c r="I32" s="1088"/>
    </row>
    <row r="33" spans="1:9" s="1530" customFormat="1" ht="19.5" customHeight="1">
      <c r="A33" s="3579" t="s">
        <v>1465</v>
      </c>
      <c r="B33" s="1137" t="s">
        <v>1437</v>
      </c>
      <c r="C33" s="1114" t="s">
        <v>1466</v>
      </c>
      <c r="D33" s="1115"/>
      <c r="E33" s="1137">
        <v>1</v>
      </c>
      <c r="F33" s="1116" t="s">
        <v>1467</v>
      </c>
      <c r="G33" s="1117"/>
      <c r="H33" s="1088"/>
      <c r="I33" s="1088"/>
    </row>
    <row r="34" spans="1:9" s="1530" customFormat="1" ht="19.5" customHeight="1">
      <c r="A34" s="3579"/>
      <c r="B34" s="1137" t="s">
        <v>1440</v>
      </c>
      <c r="C34" s="1114" t="s">
        <v>1468</v>
      </c>
      <c r="D34" s="1115"/>
      <c r="E34" s="1137">
        <v>1.5</v>
      </c>
      <c r="F34" s="1116" t="s">
        <v>1469</v>
      </c>
      <c r="G34" s="1117"/>
      <c r="H34" s="1088"/>
      <c r="I34" s="1088"/>
    </row>
    <row r="35" spans="1:9" s="1530" customFormat="1" ht="19.5" customHeight="1">
      <c r="A35" s="3579" t="s">
        <v>1423</v>
      </c>
      <c r="B35" s="1137" t="s">
        <v>1437</v>
      </c>
      <c r="C35" s="1114" t="s">
        <v>1470</v>
      </c>
      <c r="D35" s="1115"/>
      <c r="E35" s="1137">
        <v>1</v>
      </c>
      <c r="F35" s="1116" t="s">
        <v>1471</v>
      </c>
      <c r="G35" s="1117"/>
      <c r="H35" s="1088"/>
      <c r="I35" s="1088"/>
    </row>
    <row r="36" spans="1:9" s="1530" customFormat="1" ht="19.5" customHeight="1">
      <c r="A36" s="3579"/>
      <c r="B36" s="3579" t="s">
        <v>1440</v>
      </c>
      <c r="C36" s="1114" t="s">
        <v>1472</v>
      </c>
      <c r="D36" s="1115"/>
      <c r="E36" s="1137">
        <v>1</v>
      </c>
      <c r="F36" s="1116" t="s">
        <v>1473</v>
      </c>
      <c r="G36" s="1117"/>
      <c r="H36" s="1088"/>
      <c r="I36" s="1088"/>
    </row>
    <row r="37" spans="1:9" s="1530" customFormat="1" ht="19.5" customHeight="1">
      <c r="A37" s="3579"/>
      <c r="B37" s="3579"/>
      <c r="C37" s="1114" t="s">
        <v>1474</v>
      </c>
      <c r="D37" s="1115"/>
      <c r="E37" s="1137">
        <v>1.5</v>
      </c>
      <c r="F37" s="1116" t="s">
        <v>1475</v>
      </c>
      <c r="G37" s="1117"/>
      <c r="H37" s="1088"/>
      <c r="I37" s="1088"/>
    </row>
    <row r="38" spans="1:9" s="1530" customFormat="1" ht="19.5" customHeight="1">
      <c r="A38" s="3579"/>
      <c r="B38" s="3579"/>
      <c r="C38" s="1114" t="s">
        <v>1476</v>
      </c>
      <c r="D38" s="1115"/>
      <c r="E38" s="1137">
        <v>1</v>
      </c>
      <c r="F38" s="1116" t="s">
        <v>1477</v>
      </c>
      <c r="G38" s="1117"/>
      <c r="H38" s="1088"/>
      <c r="I38" s="1088"/>
    </row>
    <row r="39" spans="1:9" s="1530" customFormat="1" ht="19.5" customHeight="1">
      <c r="A39" s="3579"/>
      <c r="B39" s="3579"/>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79" t="s">
        <v>1492</v>
      </c>
      <c r="C61" s="1051" t="s">
        <v>1493</v>
      </c>
      <c r="D61" s="1051" t="s">
        <v>1494</v>
      </c>
      <c r="E61" s="1122">
        <v>0.5</v>
      </c>
      <c r="F61" s="1137">
        <v>80</v>
      </c>
      <c r="H61" s="1088">
        <f>SUMIF(C59:C119,基准地价!C8,E59:E119)</f>
        <v>0</v>
      </c>
    </row>
    <row r="62" spans="1:8" s="1088" customFormat="1" ht="24">
      <c r="A62" s="1137">
        <v>2</v>
      </c>
      <c r="B62" s="3579"/>
      <c r="C62" s="1051" t="s">
        <v>1495</v>
      </c>
      <c r="D62" s="1051" t="s">
        <v>1496</v>
      </c>
      <c r="E62" s="1122">
        <v>0.5</v>
      </c>
      <c r="F62" s="1137">
        <v>80</v>
      </c>
    </row>
    <row r="63" spans="1:8" s="1088" customFormat="1" ht="36">
      <c r="A63" s="1137">
        <v>3</v>
      </c>
      <c r="B63" s="3579"/>
      <c r="C63" s="1051" t="s">
        <v>1497</v>
      </c>
      <c r="D63" s="1051" t="s">
        <v>1498</v>
      </c>
      <c r="E63" s="1122">
        <v>0.5</v>
      </c>
      <c r="F63" s="1137">
        <v>80</v>
      </c>
    </row>
    <row r="64" spans="1:8" s="1088" customFormat="1" ht="36">
      <c r="A64" s="1137">
        <v>4</v>
      </c>
      <c r="B64" s="3579"/>
      <c r="C64" s="1051" t="s">
        <v>1499</v>
      </c>
      <c r="D64" s="1051" t="s">
        <v>1500</v>
      </c>
      <c r="E64" s="1122">
        <v>0.4</v>
      </c>
      <c r="F64" s="1137">
        <v>60</v>
      </c>
    </row>
    <row r="65" spans="1:6" s="1088" customFormat="1" ht="36">
      <c r="A65" s="1137">
        <v>5</v>
      </c>
      <c r="B65" s="3579"/>
      <c r="C65" s="1051" t="s">
        <v>1501</v>
      </c>
      <c r="D65" s="1051" t="s">
        <v>1502</v>
      </c>
      <c r="E65" s="1122">
        <v>0.2</v>
      </c>
      <c r="F65" s="1137">
        <v>30</v>
      </c>
    </row>
    <row r="66" spans="1:6" s="1088" customFormat="1" ht="36">
      <c r="A66" s="1137">
        <v>6</v>
      </c>
      <c r="B66" s="3579"/>
      <c r="C66" s="1051" t="s">
        <v>1503</v>
      </c>
      <c r="D66" s="1051" t="s">
        <v>1504</v>
      </c>
      <c r="E66" s="1122">
        <v>0.3</v>
      </c>
      <c r="F66" s="1137">
        <v>50</v>
      </c>
    </row>
    <row r="67" spans="1:6" s="1088" customFormat="1" ht="36">
      <c r="A67" s="1137">
        <v>7</v>
      </c>
      <c r="B67" s="3579"/>
      <c r="C67" s="1051" t="s">
        <v>1505</v>
      </c>
      <c r="D67" s="1051" t="s">
        <v>1506</v>
      </c>
      <c r="E67" s="1122">
        <v>0.2</v>
      </c>
      <c r="F67" s="1137">
        <v>30</v>
      </c>
    </row>
    <row r="68" spans="1:6" s="1088" customFormat="1" ht="36">
      <c r="A68" s="1137">
        <v>8</v>
      </c>
      <c r="B68" s="3579"/>
      <c r="C68" s="1051" t="s">
        <v>1507</v>
      </c>
      <c r="D68" s="1051" t="s">
        <v>1508</v>
      </c>
      <c r="E68" s="1122">
        <v>0.2</v>
      </c>
      <c r="F68" s="1137">
        <v>30</v>
      </c>
    </row>
    <row r="69" spans="1:6" s="1088" customFormat="1" ht="36">
      <c r="A69" s="1137">
        <v>9</v>
      </c>
      <c r="B69" s="3579"/>
      <c r="C69" s="1051" t="s">
        <v>1509</v>
      </c>
      <c r="D69" s="1051" t="s">
        <v>1510</v>
      </c>
      <c r="E69" s="1122">
        <v>0.2</v>
      </c>
      <c r="F69" s="1137">
        <v>30</v>
      </c>
    </row>
    <row r="70" spans="1:6" s="1088" customFormat="1" ht="48">
      <c r="A70" s="1137">
        <v>10</v>
      </c>
      <c r="B70" s="3579"/>
      <c r="C70" s="1051" t="s">
        <v>1511</v>
      </c>
      <c r="D70" s="1051" t="s">
        <v>1512</v>
      </c>
      <c r="E70" s="1122">
        <v>0.2</v>
      </c>
      <c r="F70" s="1137">
        <v>30</v>
      </c>
    </row>
    <row r="71" spans="1:6" s="1088" customFormat="1" ht="48">
      <c r="A71" s="1137">
        <v>11</v>
      </c>
      <c r="B71" s="3579"/>
      <c r="C71" s="1051" t="s">
        <v>1513</v>
      </c>
      <c r="D71" s="1051" t="s">
        <v>1514</v>
      </c>
      <c r="E71" s="1122">
        <v>0.2</v>
      </c>
      <c r="F71" s="1137">
        <v>30</v>
      </c>
    </row>
    <row r="72" spans="1:6" s="1088" customFormat="1" ht="36">
      <c r="A72" s="1137">
        <v>12</v>
      </c>
      <c r="B72" s="3579"/>
      <c r="C72" s="1051" t="s">
        <v>1515</v>
      </c>
      <c r="D72" s="1051" t="s">
        <v>1516</v>
      </c>
      <c r="E72" s="1122">
        <v>0.5</v>
      </c>
      <c r="F72" s="1137">
        <v>80</v>
      </c>
    </row>
    <row r="73" spans="1:6" s="1088" customFormat="1" ht="24">
      <c r="A73" s="1137">
        <v>13</v>
      </c>
      <c r="B73" s="3579"/>
      <c r="C73" s="1051" t="s">
        <v>1517</v>
      </c>
      <c r="D73" s="1051" t="s">
        <v>1518</v>
      </c>
      <c r="E73" s="1122">
        <v>0.4</v>
      </c>
      <c r="F73" s="1137">
        <v>60</v>
      </c>
    </row>
    <row r="74" spans="1:6" s="1088" customFormat="1" ht="24">
      <c r="A74" s="1137">
        <v>14</v>
      </c>
      <c r="B74" s="3579"/>
      <c r="C74" s="1051" t="s">
        <v>1519</v>
      </c>
      <c r="D74" s="1051" t="s">
        <v>1520</v>
      </c>
      <c r="E74" s="1122">
        <v>0.2</v>
      </c>
      <c r="F74" s="1137">
        <v>30</v>
      </c>
    </row>
    <row r="75" spans="1:6" s="1088" customFormat="1" ht="24">
      <c r="A75" s="1137">
        <v>15</v>
      </c>
      <c r="B75" s="3579"/>
      <c r="C75" s="1051" t="s">
        <v>1521</v>
      </c>
      <c r="D75" s="1051" t="s">
        <v>1522</v>
      </c>
      <c r="E75" s="1122">
        <v>0.2</v>
      </c>
      <c r="F75" s="1137">
        <v>30</v>
      </c>
    </row>
    <row r="76" spans="1:6" s="1088" customFormat="1" ht="24">
      <c r="A76" s="1137">
        <v>16</v>
      </c>
      <c r="B76" s="3579" t="s">
        <v>1523</v>
      </c>
      <c r="C76" s="1051" t="s">
        <v>1524</v>
      </c>
      <c r="D76" s="1051" t="s">
        <v>1525</v>
      </c>
      <c r="E76" s="1122">
        <v>0.5</v>
      </c>
      <c r="F76" s="1137">
        <v>80</v>
      </c>
    </row>
    <row r="77" spans="1:6" s="1088" customFormat="1" ht="24">
      <c r="A77" s="1137">
        <v>17</v>
      </c>
      <c r="B77" s="3579"/>
      <c r="C77" s="1051" t="s">
        <v>1526</v>
      </c>
      <c r="D77" s="1051" t="s">
        <v>1527</v>
      </c>
      <c r="E77" s="1122">
        <v>0.5</v>
      </c>
      <c r="F77" s="1137">
        <v>80</v>
      </c>
    </row>
    <row r="78" spans="1:6" s="1088" customFormat="1" ht="24">
      <c r="A78" s="1137">
        <v>18</v>
      </c>
      <c r="B78" s="3579"/>
      <c r="C78" s="1051" t="s">
        <v>1528</v>
      </c>
      <c r="D78" s="1051" t="s">
        <v>1529</v>
      </c>
      <c r="E78" s="1122">
        <v>0.2</v>
      </c>
      <c r="F78" s="1137">
        <v>30</v>
      </c>
    </row>
    <row r="79" spans="1:6" s="1088" customFormat="1" ht="24">
      <c r="A79" s="1137">
        <v>19</v>
      </c>
      <c r="B79" s="3579"/>
      <c r="C79" s="1051" t="s">
        <v>1530</v>
      </c>
      <c r="D79" s="1051" t="s">
        <v>1531</v>
      </c>
      <c r="E79" s="1122">
        <v>0.5</v>
      </c>
      <c r="F79" s="1137">
        <v>80</v>
      </c>
    </row>
    <row r="80" spans="1:6" s="1088" customFormat="1" ht="36">
      <c r="A80" s="1137">
        <v>20</v>
      </c>
      <c r="B80" s="3579"/>
      <c r="C80" s="1051" t="s">
        <v>1532</v>
      </c>
      <c r="D80" s="1051" t="s">
        <v>1533</v>
      </c>
      <c r="E80" s="1122">
        <v>0.2</v>
      </c>
      <c r="F80" s="1137">
        <v>30</v>
      </c>
    </row>
    <row r="81" spans="1:6" s="1088" customFormat="1" ht="36">
      <c r="A81" s="1137">
        <v>21</v>
      </c>
      <c r="B81" s="3579"/>
      <c r="C81" s="1051" t="s">
        <v>1534</v>
      </c>
      <c r="D81" s="1051" t="s">
        <v>1535</v>
      </c>
      <c r="E81" s="1122">
        <v>0.2</v>
      </c>
      <c r="F81" s="1137">
        <v>30</v>
      </c>
    </row>
    <row r="82" spans="1:6" s="1088" customFormat="1" ht="48">
      <c r="A82" s="1137">
        <v>22</v>
      </c>
      <c r="B82" s="3579"/>
      <c r="C82" s="1051" t="s">
        <v>1536</v>
      </c>
      <c r="D82" s="1051" t="s">
        <v>1537</v>
      </c>
      <c r="E82" s="1122">
        <v>0.2</v>
      </c>
      <c r="F82" s="1137">
        <v>30</v>
      </c>
    </row>
    <row r="83" spans="1:6" s="1088" customFormat="1" ht="48">
      <c r="A83" s="1137">
        <v>23</v>
      </c>
      <c r="B83" s="3579"/>
      <c r="C83" s="1051" t="s">
        <v>1538</v>
      </c>
      <c r="D83" s="1051" t="s">
        <v>1539</v>
      </c>
      <c r="E83" s="1122">
        <v>0.2</v>
      </c>
      <c r="F83" s="1137">
        <v>30</v>
      </c>
    </row>
    <row r="84" spans="1:6" s="1088" customFormat="1" ht="36">
      <c r="A84" s="1137">
        <v>24</v>
      </c>
      <c r="B84" s="3579"/>
      <c r="C84" s="1051" t="s">
        <v>1540</v>
      </c>
      <c r="D84" s="1051" t="s">
        <v>1541</v>
      </c>
      <c r="E84" s="1122">
        <v>0.2</v>
      </c>
      <c r="F84" s="1137">
        <v>30</v>
      </c>
    </row>
    <row r="85" spans="1:6" s="1088" customFormat="1" ht="36">
      <c r="A85" s="1137">
        <v>25</v>
      </c>
      <c r="B85" s="3579"/>
      <c r="C85" s="1051" t="s">
        <v>1542</v>
      </c>
      <c r="D85" s="1051" t="s">
        <v>1543</v>
      </c>
      <c r="E85" s="1122">
        <v>0.5</v>
      </c>
      <c r="F85" s="1137">
        <v>80</v>
      </c>
    </row>
    <row r="86" spans="1:6" s="1088" customFormat="1" ht="36">
      <c r="A86" s="1137">
        <v>26</v>
      </c>
      <c r="B86" s="3579"/>
      <c r="C86" s="1051" t="s">
        <v>1544</v>
      </c>
      <c r="D86" s="1051" t="s">
        <v>1545</v>
      </c>
      <c r="E86" s="1122">
        <v>0.2</v>
      </c>
      <c r="F86" s="1137">
        <v>30</v>
      </c>
    </row>
    <row r="87" spans="1:6" s="1088" customFormat="1" ht="36">
      <c r="A87" s="1137">
        <v>27</v>
      </c>
      <c r="B87" s="3579"/>
      <c r="C87" s="1051" t="s">
        <v>1546</v>
      </c>
      <c r="D87" s="1051" t="s">
        <v>1547</v>
      </c>
      <c r="E87" s="1122">
        <v>0.2</v>
      </c>
      <c r="F87" s="1137">
        <v>30</v>
      </c>
    </row>
    <row r="88" spans="1:6" s="1088" customFormat="1" ht="36">
      <c r="A88" s="1137">
        <v>28</v>
      </c>
      <c r="B88" s="3579"/>
      <c r="C88" s="1051" t="s">
        <v>1548</v>
      </c>
      <c r="D88" s="1051" t="s">
        <v>1549</v>
      </c>
      <c r="E88" s="1122">
        <v>0.2</v>
      </c>
      <c r="F88" s="1137">
        <v>30</v>
      </c>
    </row>
    <row r="89" spans="1:6" s="1088" customFormat="1" ht="24">
      <c r="A89" s="1137">
        <v>29</v>
      </c>
      <c r="B89" s="3579"/>
      <c r="C89" s="1051" t="s">
        <v>1550</v>
      </c>
      <c r="D89" s="1051" t="s">
        <v>1551</v>
      </c>
      <c r="E89" s="1122">
        <v>0.2</v>
      </c>
      <c r="F89" s="1137">
        <v>30</v>
      </c>
    </row>
    <row r="90" spans="1:6" s="1088" customFormat="1" ht="24">
      <c r="A90" s="1137">
        <v>30</v>
      </c>
      <c r="B90" s="3579"/>
      <c r="C90" s="1051" t="s">
        <v>1552</v>
      </c>
      <c r="D90" s="1051" t="s">
        <v>1553</v>
      </c>
      <c r="E90" s="1122">
        <v>0.2</v>
      </c>
      <c r="F90" s="1137">
        <v>30</v>
      </c>
    </row>
    <row r="91" spans="1:6" s="1088" customFormat="1" ht="36">
      <c r="A91" s="1137">
        <v>31</v>
      </c>
      <c r="B91" s="3579"/>
      <c r="C91" s="1051" t="s">
        <v>1554</v>
      </c>
      <c r="D91" s="1051" t="s">
        <v>1555</v>
      </c>
      <c r="E91" s="1122">
        <v>0.2</v>
      </c>
      <c r="F91" s="1137">
        <v>30</v>
      </c>
    </row>
    <row r="92" spans="1:6" s="1088" customFormat="1" ht="24">
      <c r="A92" s="1137">
        <v>32</v>
      </c>
      <c r="B92" s="3579" t="s">
        <v>1556</v>
      </c>
      <c r="C92" s="1137" t="s">
        <v>1557</v>
      </c>
      <c r="D92" s="1051" t="s">
        <v>1558</v>
      </c>
      <c r="E92" s="1122">
        <v>0.2</v>
      </c>
      <c r="F92" s="1137">
        <v>30</v>
      </c>
    </row>
    <row r="93" spans="1:6" s="1088" customFormat="1" ht="36">
      <c r="A93" s="1137">
        <v>33</v>
      </c>
      <c r="B93" s="3579"/>
      <c r="C93" s="1137" t="s">
        <v>1559</v>
      </c>
      <c r="D93" s="1051" t="s">
        <v>1560</v>
      </c>
      <c r="E93" s="1122">
        <v>0.2</v>
      </c>
      <c r="F93" s="1137">
        <v>30</v>
      </c>
    </row>
    <row r="94" spans="1:6" s="1088" customFormat="1" ht="48">
      <c r="A94" s="1137">
        <v>34</v>
      </c>
      <c r="B94" s="3579"/>
      <c r="C94" s="1137" t="s">
        <v>1561</v>
      </c>
      <c r="D94" s="1051" t="s">
        <v>1562</v>
      </c>
      <c r="E94" s="1122">
        <v>0.2</v>
      </c>
      <c r="F94" s="1137">
        <v>30</v>
      </c>
    </row>
    <row r="95" spans="1:6" s="1088" customFormat="1" ht="36">
      <c r="A95" s="1137">
        <v>35</v>
      </c>
      <c r="B95" s="3579"/>
      <c r="C95" s="1137" t="s">
        <v>1563</v>
      </c>
      <c r="D95" s="1051" t="s">
        <v>1564</v>
      </c>
      <c r="E95" s="1122">
        <v>0.2</v>
      </c>
      <c r="F95" s="1137">
        <v>30</v>
      </c>
    </row>
    <row r="96" spans="1:6" s="1088" customFormat="1" ht="48">
      <c r="A96" s="1137">
        <v>36</v>
      </c>
      <c r="B96" s="3579"/>
      <c r="C96" s="1051" t="s">
        <v>1565</v>
      </c>
      <c r="D96" s="1051" t="s">
        <v>1566</v>
      </c>
      <c r="E96" s="1122">
        <v>0.2</v>
      </c>
      <c r="F96" s="1137">
        <v>30</v>
      </c>
    </row>
    <row r="97" spans="1:6" s="1088" customFormat="1" ht="36">
      <c r="A97" s="1137">
        <v>37</v>
      </c>
      <c r="B97" s="3579"/>
      <c r="C97" s="1137" t="s">
        <v>1567</v>
      </c>
      <c r="D97" s="1051" t="s">
        <v>1568</v>
      </c>
      <c r="E97" s="1122">
        <v>0.2</v>
      </c>
      <c r="F97" s="1137">
        <v>30</v>
      </c>
    </row>
    <row r="98" spans="1:6" s="1088" customFormat="1" ht="36">
      <c r="A98" s="1137">
        <v>38</v>
      </c>
      <c r="B98" s="3579"/>
      <c r="C98" s="1137" t="s">
        <v>1569</v>
      </c>
      <c r="D98" s="1051" t="s">
        <v>1570</v>
      </c>
      <c r="E98" s="1122">
        <v>0.2</v>
      </c>
      <c r="F98" s="1137">
        <v>30</v>
      </c>
    </row>
    <row r="99" spans="1:6" s="1088" customFormat="1" ht="36">
      <c r="A99" s="1137">
        <v>39</v>
      </c>
      <c r="B99" s="3579" t="s">
        <v>1571</v>
      </c>
      <c r="C99" s="1137" t="s">
        <v>1572</v>
      </c>
      <c r="D99" s="1051" t="s">
        <v>1573</v>
      </c>
      <c r="E99" s="1122">
        <v>0.3</v>
      </c>
      <c r="F99" s="1137">
        <v>50</v>
      </c>
    </row>
    <row r="100" spans="1:6" s="1088" customFormat="1" ht="24">
      <c r="A100" s="1137">
        <v>40</v>
      </c>
      <c r="B100" s="3579"/>
      <c r="C100" s="1137" t="s">
        <v>1574</v>
      </c>
      <c r="D100" s="1051" t="s">
        <v>1575</v>
      </c>
      <c r="E100" s="1122">
        <v>0.2</v>
      </c>
      <c r="F100" s="1137">
        <v>30</v>
      </c>
    </row>
    <row r="101" spans="1:6" s="1088" customFormat="1" ht="36">
      <c r="A101" s="1137">
        <v>41</v>
      </c>
      <c r="B101" s="3579"/>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79" t="s">
        <v>1586</v>
      </c>
      <c r="C105" s="1137" t="s">
        <v>1587</v>
      </c>
      <c r="D105" s="1051" t="s">
        <v>1588</v>
      </c>
      <c r="E105" s="1122">
        <v>0.2</v>
      </c>
      <c r="F105" s="1137">
        <v>30</v>
      </c>
    </row>
    <row r="106" spans="1:6" s="1088" customFormat="1" ht="36">
      <c r="A106" s="1137">
        <v>46</v>
      </c>
      <c r="B106" s="3579"/>
      <c r="C106" s="1137" t="s">
        <v>1589</v>
      </c>
      <c r="D106" s="1051" t="s">
        <v>1590</v>
      </c>
      <c r="E106" s="1122">
        <v>0.2</v>
      </c>
      <c r="F106" s="1137">
        <v>30</v>
      </c>
    </row>
    <row r="107" spans="1:6" s="1088" customFormat="1" ht="36">
      <c r="A107" s="1137">
        <v>47</v>
      </c>
      <c r="B107" s="3579" t="s">
        <v>1591</v>
      </c>
      <c r="C107" s="1137" t="s">
        <v>1592</v>
      </c>
      <c r="D107" s="1051" t="s">
        <v>1593</v>
      </c>
      <c r="E107" s="1122">
        <v>0.3</v>
      </c>
      <c r="F107" s="1137">
        <v>50</v>
      </c>
    </row>
    <row r="108" spans="1:6" s="1088" customFormat="1" ht="36">
      <c r="A108" s="1137">
        <v>48</v>
      </c>
      <c r="B108" s="3579"/>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79" t="s">
        <v>1602</v>
      </c>
      <c r="C111" s="1137" t="s">
        <v>1603</v>
      </c>
      <c r="D111" s="1051" t="s">
        <v>1604</v>
      </c>
      <c r="E111" s="1122">
        <v>0.2</v>
      </c>
      <c r="F111" s="1137">
        <v>30</v>
      </c>
    </row>
    <row r="112" spans="1:6" s="1088" customFormat="1" ht="24">
      <c r="A112" s="1137">
        <v>52</v>
      </c>
      <c r="B112" s="3579"/>
      <c r="C112" s="1137" t="s">
        <v>1605</v>
      </c>
      <c r="D112" s="1051" t="s">
        <v>1606</v>
      </c>
      <c r="E112" s="1122">
        <v>0.2</v>
      </c>
      <c r="F112" s="1137">
        <v>30</v>
      </c>
    </row>
    <row r="113" spans="1:14" s="1088" customFormat="1" ht="24">
      <c r="A113" s="1137">
        <v>53</v>
      </c>
      <c r="B113" s="3579"/>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79" t="s">
        <v>1615</v>
      </c>
      <c r="C116" s="1137" t="s">
        <v>1616</v>
      </c>
      <c r="D116" s="1051" t="s">
        <v>1617</v>
      </c>
      <c r="E116" s="1122">
        <v>0.2</v>
      </c>
      <c r="F116" s="1137">
        <v>30</v>
      </c>
    </row>
    <row r="117" spans="1:14" ht="36">
      <c r="A117" s="1137">
        <v>57</v>
      </c>
      <c r="B117" s="3579"/>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78" t="s">
        <v>1624</v>
      </c>
      <c r="B121" s="3578"/>
      <c r="C121" s="3578"/>
      <c r="D121" s="3578"/>
      <c r="E121" s="3578"/>
      <c r="F121" s="3578"/>
      <c r="G121" s="3578"/>
      <c r="H121" s="3578"/>
      <c r="I121" s="3578"/>
      <c r="J121" s="3578"/>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80" t="s">
        <v>1030</v>
      </c>
      <c r="B1" s="3580"/>
      <c r="C1" s="3580"/>
      <c r="D1" s="3580"/>
      <c r="E1" s="3580"/>
      <c r="F1" s="3580"/>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81" t="s">
        <v>1043</v>
      </c>
      <c r="B2" s="3581"/>
      <c r="C2" s="3581"/>
      <c r="D2" s="3581"/>
      <c r="E2" s="3581"/>
      <c r="F2" s="3581"/>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82"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83"/>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5680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1.2383999999999999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84" t="s">
        <v>2068</v>
      </c>
      <c r="B1" s="3584"/>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X15" sqref="X15"/>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92" t="s">
        <v>2557</v>
      </c>
      <c r="C1" s="3592"/>
      <c r="D1" s="3592"/>
      <c r="E1" s="3592"/>
      <c r="F1" s="3592"/>
      <c r="G1" s="3591" t="s">
        <v>2558</v>
      </c>
      <c r="H1" s="3591"/>
      <c r="I1" s="3591"/>
      <c r="J1" s="3591"/>
      <c r="K1" s="3591"/>
      <c r="L1" s="3591"/>
      <c r="N1" s="3591" t="s">
        <v>2559</v>
      </c>
      <c r="O1" s="3591"/>
      <c r="P1" s="3591"/>
      <c r="Q1" s="3591"/>
      <c r="S1" s="3591" t="s">
        <v>2560</v>
      </c>
      <c r="T1" s="3591"/>
      <c r="U1" s="3591"/>
      <c r="V1" s="3591"/>
      <c r="X1" s="3590" t="s">
        <v>2620</v>
      </c>
      <c r="Y1" s="3591"/>
      <c r="Z1" s="3591"/>
      <c r="AA1" s="3591"/>
      <c r="AB1" s="3591"/>
      <c r="AD1" s="3590" t="s">
        <v>2624</v>
      </c>
      <c r="AE1" s="3591"/>
      <c r="AF1" s="3591"/>
      <c r="AG1" s="3591"/>
      <c r="AH1" s="3591"/>
    </row>
    <row r="2" spans="1:34" s="2865" customFormat="1" ht="14.25" thickBot="1">
      <c r="B2" s="2866" t="s">
        <v>2561</v>
      </c>
      <c r="C2" s="2866" t="s">
        <v>2622</v>
      </c>
      <c r="D2" s="2867" t="s">
        <v>1635</v>
      </c>
      <c r="E2" s="2867" t="s">
        <v>1938</v>
      </c>
      <c r="F2" s="2866" t="s">
        <v>2623</v>
      </c>
      <c r="G2" s="2868"/>
      <c r="I2" s="2866" t="s">
        <v>2922</v>
      </c>
      <c r="J2" s="2867" t="s">
        <v>2924</v>
      </c>
      <c r="K2" s="2867" t="s">
        <v>2925</v>
      </c>
      <c r="L2" s="2866" t="s">
        <v>2926</v>
      </c>
      <c r="N2" s="2866" t="s">
        <v>2561</v>
      </c>
      <c r="O2" s="2867" t="s">
        <v>2923</v>
      </c>
      <c r="P2" s="2867" t="s">
        <v>1938</v>
      </c>
      <c r="Q2" s="2866" t="s">
        <v>2623</v>
      </c>
      <c r="S2" s="2866" t="s">
        <v>2561</v>
      </c>
      <c r="T2" s="2867" t="s">
        <v>2923</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2933</v>
      </c>
      <c r="B3" s="2870"/>
      <c r="C3" s="2870"/>
      <c r="D3" s="2871"/>
      <c r="E3" s="2871"/>
      <c r="F3" s="2870"/>
      <c r="G3" s="2872"/>
      <c r="H3" s="2873"/>
      <c r="I3" s="2874">
        <f>ROUND(AVERAGE($I4:$I31),2)</f>
        <v>1.79</v>
      </c>
      <c r="J3" s="2874">
        <f>ROUND(AVERAGE($J4:$J31),2)</f>
        <v>1.2</v>
      </c>
      <c r="K3" s="2874">
        <f>ROUND(AVERAGE($K4:$K31),2)</f>
        <v>1.97</v>
      </c>
      <c r="L3" s="2874">
        <f>ROUND(AVERAGE($L4:$L31),2)</f>
        <v>1.27</v>
      </c>
      <c r="N3" s="2872"/>
      <c r="S3" s="2872"/>
      <c r="W3" s="2876"/>
      <c r="X3" s="2877">
        <f>ROUND(SUMPRODUCT(PRODUCT(1+N3:N$30)),4)</f>
        <v>1.5652999999999999</v>
      </c>
      <c r="Y3" s="2877">
        <f>ROUND(SUMPRODUCT(PRODUCT(1+O3:O$30)),4)</f>
        <v>1.3472</v>
      </c>
      <c r="Z3" s="2877">
        <f t="shared" ref="Z3" si="0">Y3</f>
        <v>1.3472</v>
      </c>
      <c r="AA3" s="2877">
        <f>ROUND(SUMPRODUCT(PRODUCT(1+P3:P$30)),4)</f>
        <v>1.6335999999999999</v>
      </c>
      <c r="AB3" s="2877">
        <f>ROUND(SUMPRODUCT(PRODUCT(1+Q3:Q$30)),4)</f>
        <v>1.3880999999999999</v>
      </c>
      <c r="AD3" s="2878">
        <f>ROUND(AVERAGE(I3:I$31)/100,4)</f>
        <v>1.7899999999999999E-2</v>
      </c>
      <c r="AE3" s="2878">
        <f>ROUND(AVERAGE(J3:J$31)/100,4)</f>
        <v>1.2E-2</v>
      </c>
      <c r="AF3" s="2878">
        <f t="shared" ref="AF3:AF29" si="1">AE3</f>
        <v>1.2E-2</v>
      </c>
      <c r="AG3" s="2878">
        <f>ROUND(AVERAGE(K3:K$31)/100,4)</f>
        <v>1.9699999999999999E-2</v>
      </c>
      <c r="AH3" s="2878">
        <f>ROUND(AVERAGE(L3:L$31)/100,4)</f>
        <v>1.2699999999999999E-2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2961</v>
      </c>
      <c r="B5" s="2889">
        <f t="shared" ref="B5" si="2">B6*(1+N5)</f>
        <v>481.4103506697644</v>
      </c>
      <c r="C5" s="2889">
        <f t="shared" ref="C5" si="3">C6*(1+O5)</f>
        <v>347.29066026648707</v>
      </c>
      <c r="D5" s="2889">
        <f t="shared" ref="D5" si="4">C5</f>
        <v>347.29066026648707</v>
      </c>
      <c r="E5" s="2889">
        <f t="shared" ref="E5" si="5">E6*(1+P5)</f>
        <v>690.85977273901995</v>
      </c>
      <c r="F5" s="2889">
        <f t="shared" ref="F5" si="6">F6*(1+Q5)</f>
        <v>319.13136737000184</v>
      </c>
      <c r="G5" s="2882">
        <v>2020</v>
      </c>
      <c r="H5" s="2890">
        <v>3</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2934</v>
      </c>
      <c r="X5" s="2896">
        <f>ROUND(SUMPRODUCT(PRODUCT(1+N5:N$31)),4)</f>
        <v>1.6117999999999999</v>
      </c>
      <c r="Y5" s="2896">
        <f>ROUND(SUMPRODUCT(PRODUCT(1+O5:O$31)),4)</f>
        <v>1.3788</v>
      </c>
      <c r="Z5" s="2896">
        <f t="shared" ref="Z5" si="11">Y5</f>
        <v>1.3788</v>
      </c>
      <c r="AA5" s="2896">
        <f>ROUND(SUMPRODUCT(PRODUCT(1+P5:P$31)),4)</f>
        <v>1.6872</v>
      </c>
      <c r="AB5" s="2896">
        <f>ROUND(SUMPRODUCT(PRODUCT(1+Q5:Q$31)),4)</f>
        <v>1.4069</v>
      </c>
      <c r="AD5" s="2897">
        <f>ROUND(AVERAGE(I5:I$31)/100,4)</f>
        <v>1.7899999999999999E-2</v>
      </c>
      <c r="AE5" s="2897">
        <f>ROUND(AVERAGE(J5:J$31)/100,4)</f>
        <v>1.2E-2</v>
      </c>
      <c r="AF5" s="2897">
        <f t="shared" ref="AF5" si="12">AE5</f>
        <v>1.2E-2</v>
      </c>
      <c r="AG5" s="2897">
        <f>ROUND(AVERAGE(K5:K$31)/100,4)</f>
        <v>1.9699999999999999E-2</v>
      </c>
      <c r="AH5" s="2897">
        <f>ROUND(AVERAGE(L5:L$31)/100,4)</f>
        <v>1.2699999999999999E-2</v>
      </c>
    </row>
    <row r="6" spans="1:34" s="2905" customFormat="1">
      <c r="A6" s="2898" t="s">
        <v>2960</v>
      </c>
      <c r="B6" s="2899">
        <f t="shared" ref="B6" si="13">B7*(1+N6)</f>
        <v>481.4103506697644</v>
      </c>
      <c r="C6" s="2899">
        <f t="shared" ref="C6" si="14">C7*(1+O6)</f>
        <v>347.29066026648707</v>
      </c>
      <c r="D6" s="2899">
        <f t="shared" ref="D6" si="15">C6</f>
        <v>347.29066026648707</v>
      </c>
      <c r="E6" s="2899">
        <f t="shared" ref="E6" si="16">E7*(1+P6)</f>
        <v>690.85977273901995</v>
      </c>
      <c r="F6" s="2899">
        <f t="shared" ref="F6" si="17">F7*(1+Q6)</f>
        <v>319.13136737000184</v>
      </c>
      <c r="G6" s="2882">
        <v>2020</v>
      </c>
      <c r="H6" s="2900">
        <v>2</v>
      </c>
      <c r="I6" s="2862">
        <v>0.31</v>
      </c>
      <c r="J6" s="2862">
        <v>-0.78</v>
      </c>
      <c r="K6" s="2862">
        <v>0.5</v>
      </c>
      <c r="L6" s="2863">
        <v>0.47</v>
      </c>
      <c r="M6" s="2886"/>
      <c r="N6" s="2901">
        <f t="shared" ref="N6" si="18">I6/100</f>
        <v>3.0999999999999999E-3</v>
      </c>
      <c r="O6" s="2887">
        <f t="shared" ref="O6" si="19">J6/100</f>
        <v>-7.8000000000000005E-3</v>
      </c>
      <c r="P6" s="2887">
        <f t="shared" ref="P6" si="20">K6/100</f>
        <v>5.0000000000000001E-3</v>
      </c>
      <c r="Q6" s="2887">
        <f t="shared" ref="Q6" si="21">L6/100</f>
        <v>4.6999999999999993E-3</v>
      </c>
      <c r="R6" s="2902"/>
      <c r="S6" s="2903"/>
      <c r="T6" s="2904"/>
      <c r="U6" s="2904"/>
      <c r="V6" s="2904"/>
      <c r="W6" s="2886"/>
      <c r="X6" s="2886">
        <f>ROUND(SUMPRODUCT(PRODUCT(1+N6:N$31)),4)</f>
        <v>1.6117999999999999</v>
      </c>
      <c r="Y6" s="2886">
        <f>ROUND(SUMPRODUCT(PRODUCT(1+O6:O$31)),4)</f>
        <v>1.3788</v>
      </c>
      <c r="Z6" s="2886">
        <f t="shared" ref="Z6" si="22">Y6</f>
        <v>1.3788</v>
      </c>
      <c r="AA6" s="2886">
        <f>ROUND(SUMPRODUCT(PRODUCT(1+P6:P$31)),4)</f>
        <v>1.6872</v>
      </c>
      <c r="AB6" s="2886">
        <f>ROUND(SUMPRODUCT(PRODUCT(1+Q6:Q$31)),4)</f>
        <v>1.4069</v>
      </c>
      <c r="AC6" s="2886"/>
      <c r="AD6" s="2887">
        <f>ROUND(AVERAGE(I6:I$31)/100,4)</f>
        <v>1.8599999999999998E-2</v>
      </c>
      <c r="AE6" s="2887">
        <f>ROUND(AVERAGE(J6:J$31)/100,4)</f>
        <v>1.2500000000000001E-2</v>
      </c>
      <c r="AF6" s="2887">
        <f t="shared" ref="AF6" si="23">AE6</f>
        <v>1.2500000000000001E-2</v>
      </c>
      <c r="AG6" s="2887">
        <f>ROUND(AVERAGE(K6:K$31)/100,4)</f>
        <v>2.0400000000000001E-2</v>
      </c>
      <c r="AH6" s="2887">
        <f>ROUND(AVERAGE(L6:L$31)/100,4)</f>
        <v>1.32E-2</v>
      </c>
    </row>
    <row r="7" spans="1:34" s="2905" customFormat="1">
      <c r="A7" s="2898" t="s">
        <v>2958</v>
      </c>
      <c r="B7" s="2899">
        <f t="shared" ref="B7" si="24">B8*(1+N7)</f>
        <v>479.92259063878413</v>
      </c>
      <c r="C7" s="2899">
        <f t="shared" ref="C7" si="25">C8*(1+O7)</f>
        <v>350.02082268341775</v>
      </c>
      <c r="D7" s="2899">
        <f t="shared" ref="D7" si="26">C7</f>
        <v>350.02082268341775</v>
      </c>
      <c r="E7" s="2899">
        <f t="shared" ref="E7" si="27">E8*(1+P7)</f>
        <v>687.42265944181099</v>
      </c>
      <c r="F7" s="2899">
        <f t="shared" ref="F7" si="28">F8*(1+Q7)</f>
        <v>317.63846657708956</v>
      </c>
      <c r="G7" s="2882">
        <v>2020</v>
      </c>
      <c r="H7" s="2900">
        <v>1</v>
      </c>
      <c r="I7" s="2862">
        <v>0.12</v>
      </c>
      <c r="J7" s="2862">
        <v>-0.4</v>
      </c>
      <c r="K7" s="2862">
        <v>0.21</v>
      </c>
      <c r="L7" s="2863">
        <v>0.27</v>
      </c>
      <c r="M7" s="2886"/>
      <c r="N7" s="2901">
        <f t="shared" ref="N7" si="29">I7/100</f>
        <v>1.1999999999999999E-3</v>
      </c>
      <c r="O7" s="2887">
        <f t="shared" ref="O7" si="30">J7/100</f>
        <v>-4.0000000000000001E-3</v>
      </c>
      <c r="P7" s="2887">
        <f t="shared" ref="P7" si="31">K7/100</f>
        <v>2.0999999999999999E-3</v>
      </c>
      <c r="Q7" s="2887">
        <f t="shared" ref="Q7" si="32">L7/100</f>
        <v>2.7000000000000001E-3</v>
      </c>
      <c r="R7" s="2902"/>
      <c r="S7" s="2903">
        <f>B7/B8-1</f>
        <v>1.2000000000000899E-3</v>
      </c>
      <c r="T7" s="2904">
        <f>C7/C8-1</f>
        <v>-4.0000000000000036E-3</v>
      </c>
      <c r="U7" s="2904">
        <f>E7/E8-1</f>
        <v>2.0999999999999908E-3</v>
      </c>
      <c r="V7" s="2904">
        <f>F7/F8-1</f>
        <v>2.6999999999999247E-3</v>
      </c>
      <c r="W7" s="2886"/>
      <c r="X7" s="2886">
        <f>ROUND(SUMPRODUCT(PRODUCT(1+N7:N$31)),4)</f>
        <v>1.6068</v>
      </c>
      <c r="Y7" s="2886">
        <f>ROUND(SUMPRODUCT(PRODUCT(1+O7:O$31)),4)</f>
        <v>1.3895999999999999</v>
      </c>
      <c r="Z7" s="2886">
        <f t="shared" ref="Z7:Z30" si="33">Y7</f>
        <v>1.3895999999999999</v>
      </c>
      <c r="AA7" s="2886">
        <f>ROUND(SUMPRODUCT(PRODUCT(1+P7:P$31)),4)</f>
        <v>1.6788000000000001</v>
      </c>
      <c r="AB7" s="2886">
        <f>ROUND(SUMPRODUCT(PRODUCT(1+Q7:Q$31)),4)</f>
        <v>1.4004000000000001</v>
      </c>
      <c r="AC7" s="2886"/>
      <c r="AD7" s="2887">
        <f>ROUND(AVERAGE(I7:I$31)/100,4)</f>
        <v>1.9199999999999998E-2</v>
      </c>
      <c r="AE7" s="2887">
        <f>ROUND(AVERAGE(J7:J$31)/100,4)</f>
        <v>1.3299999999999999E-2</v>
      </c>
      <c r="AF7" s="2887">
        <f t="shared" ref="AF7" si="34">AE7</f>
        <v>1.3299999999999999E-2</v>
      </c>
      <c r="AG7" s="2887">
        <f>ROUND(AVERAGE(K7:K$31)/100,4)</f>
        <v>2.1100000000000001E-2</v>
      </c>
      <c r="AH7" s="2887">
        <f>ROUND(AVERAGE(L7:L$31)/100,4)</f>
        <v>1.3599999999999999E-2</v>
      </c>
    </row>
    <row r="8" spans="1:34" s="2905" customFormat="1">
      <c r="A8" s="2898" t="s">
        <v>2955</v>
      </c>
      <c r="B8" s="2899">
        <f t="shared" ref="B8" si="35">B9*(1+N8)</f>
        <v>479.34737379023579</v>
      </c>
      <c r="C8" s="2899">
        <f t="shared" ref="C8" si="36">C9*(1+O8)</f>
        <v>351.4265287986122</v>
      </c>
      <c r="D8" s="2899">
        <f t="shared" ref="D8" si="37">C8</f>
        <v>351.4265287986122</v>
      </c>
      <c r="E8" s="2899">
        <f t="shared" ref="E8" si="38">E9*(1+P8)</f>
        <v>685.98209703803116</v>
      </c>
      <c r="F8" s="2899">
        <f t="shared" ref="F8" si="39">F9*(1+Q8)</f>
        <v>316.78315206651001</v>
      </c>
      <c r="G8" s="2882">
        <v>2019</v>
      </c>
      <c r="H8" s="2900">
        <v>4</v>
      </c>
      <c r="I8" s="2900">
        <v>0.45</v>
      </c>
      <c r="J8" s="2900">
        <v>-0.12</v>
      </c>
      <c r="K8" s="2900">
        <v>0.54</v>
      </c>
      <c r="L8" s="2906">
        <v>0.48</v>
      </c>
      <c r="M8" s="2886"/>
      <c r="N8" s="2901">
        <f t="shared" ref="N8" si="40">I8/100</f>
        <v>4.5000000000000005E-3</v>
      </c>
      <c r="O8" s="2887">
        <f t="shared" ref="O8" si="41">J8/100</f>
        <v>-1.1999999999999999E-3</v>
      </c>
      <c r="P8" s="2887">
        <f t="shared" ref="P8" si="42">K8/100</f>
        <v>5.4000000000000003E-3</v>
      </c>
      <c r="Q8" s="2887">
        <f t="shared" ref="Q8" si="43">L8/100</f>
        <v>4.7999999999999996E-3</v>
      </c>
      <c r="R8" s="2902"/>
      <c r="S8" s="2903"/>
      <c r="T8" s="2904"/>
      <c r="U8" s="2904"/>
      <c r="V8" s="2904"/>
      <c r="W8" s="2886"/>
      <c r="X8" s="2886">
        <f>ROUND(SUMPRODUCT(PRODUCT(1+N8:N$31)),4)</f>
        <v>1.6049</v>
      </c>
      <c r="Y8" s="2886">
        <f>ROUND(SUMPRODUCT(PRODUCT(1+O8:O$31)),4)</f>
        <v>1.3952</v>
      </c>
      <c r="Z8" s="2886">
        <f t="shared" si="33"/>
        <v>1.3952</v>
      </c>
      <c r="AA8" s="2886">
        <f>ROUND(SUMPRODUCT(PRODUCT(1+P8:P$31)),4)</f>
        <v>1.6753</v>
      </c>
      <c r="AB8" s="2886">
        <f>ROUND(SUMPRODUCT(PRODUCT(1+Q8:Q$31)),4)</f>
        <v>1.3966000000000001</v>
      </c>
      <c r="AC8" s="2886"/>
      <c r="AD8" s="2887">
        <f>ROUND(AVERAGE(I8:I$31)/100,4)</f>
        <v>0.02</v>
      </c>
      <c r="AE8" s="2887">
        <f>ROUND(AVERAGE(J8:J$31)/100,4)</f>
        <v>1.4E-2</v>
      </c>
      <c r="AF8" s="2887">
        <f t="shared" ref="AF8" si="44">AE8</f>
        <v>1.4E-2</v>
      </c>
      <c r="AG8" s="2887">
        <f>ROUND(AVERAGE(K8:K$31)/100,4)</f>
        <v>2.1899999999999999E-2</v>
      </c>
      <c r="AH8" s="2887">
        <f>ROUND(AVERAGE(L8:L$31)/100,4)</f>
        <v>1.4E-2</v>
      </c>
    </row>
    <row r="9" spans="1:34" s="2905" customFormat="1" ht="13.5" thickBot="1">
      <c r="A9" s="2898" t="s">
        <v>2954</v>
      </c>
      <c r="B9" s="2899">
        <f t="shared" ref="B9" si="45">B10*(1+N9)</f>
        <v>477.19997390765138</v>
      </c>
      <c r="C9" s="2899">
        <f t="shared" ref="C9" si="46">C10*(1+O9)</f>
        <v>351.84874729536665</v>
      </c>
      <c r="D9" s="2899">
        <f t="shared" ref="D9" si="47">C9</f>
        <v>351.84874729536665</v>
      </c>
      <c r="E9" s="2899">
        <f t="shared" ref="E9" si="48">E10*(1+P9)</f>
        <v>682.29768951465201</v>
      </c>
      <c r="F9" s="2899">
        <f t="shared" ref="F9" si="49">F10*(1+Q9)</f>
        <v>315.26985675409043</v>
      </c>
      <c r="G9" s="2882">
        <v>2019</v>
      </c>
      <c r="H9" s="2900">
        <v>3</v>
      </c>
      <c r="I9" s="2900">
        <v>0.61</v>
      </c>
      <c r="J9" s="2900">
        <v>0.67</v>
      </c>
      <c r="K9" s="2900">
        <v>0.6</v>
      </c>
      <c r="L9" s="2906">
        <v>1.03</v>
      </c>
      <c r="M9" s="2886"/>
      <c r="N9" s="2901">
        <f t="shared" ref="N9" si="50">I9/100</f>
        <v>6.0999999999999995E-3</v>
      </c>
      <c r="O9" s="2887">
        <f t="shared" ref="O9" si="51">J9/100</f>
        <v>6.7000000000000002E-3</v>
      </c>
      <c r="P9" s="2887">
        <f t="shared" ref="P9" si="52">K9/100</f>
        <v>6.0000000000000001E-3</v>
      </c>
      <c r="Q9" s="2887">
        <f t="shared" ref="Q9" si="53">L9/100</f>
        <v>1.03E-2</v>
      </c>
      <c r="R9" s="2902"/>
      <c r="S9" s="2903"/>
      <c r="T9" s="2904"/>
      <c r="U9" s="2904"/>
      <c r="V9" s="2904"/>
      <c r="W9" s="2886"/>
      <c r="X9" s="2886">
        <f>ROUND(SUMPRODUCT(PRODUCT(1+N9:N$31)),4)</f>
        <v>1.5976999999999999</v>
      </c>
      <c r="Y9" s="2886">
        <f>ROUND(SUMPRODUCT(PRODUCT(1+O9:O$31)),4)</f>
        <v>1.3969</v>
      </c>
      <c r="Z9" s="2886">
        <f t="shared" si="33"/>
        <v>1.3969</v>
      </c>
      <c r="AA9" s="2886">
        <f>ROUND(SUMPRODUCT(PRODUCT(1+P9:P$31)),4)</f>
        <v>1.6662999999999999</v>
      </c>
      <c r="AB9" s="2886">
        <f>ROUND(SUMPRODUCT(PRODUCT(1+Q9:Q$31)),4)</f>
        <v>1.3898999999999999</v>
      </c>
      <c r="AC9" s="2886"/>
      <c r="AD9" s="2887">
        <f>ROUND(AVERAGE(I9:I$31)/100,4)</f>
        <v>2.07E-2</v>
      </c>
      <c r="AE9" s="2887">
        <f>ROUND(AVERAGE(J9:J$31)/100,4)</f>
        <v>1.47E-2</v>
      </c>
      <c r="AF9" s="2887">
        <f t="shared" ref="AF9" si="54">AE9</f>
        <v>1.47E-2</v>
      </c>
      <c r="AG9" s="2887">
        <f>ROUND(AVERAGE(K9:K$31)/100,4)</f>
        <v>2.2599999999999999E-2</v>
      </c>
      <c r="AH9" s="2887">
        <f>ROUND(AVERAGE(L9:L$31)/100,4)</f>
        <v>1.44E-2</v>
      </c>
    </row>
    <row r="10" spans="1:34" s="2905" customFormat="1">
      <c r="A10" s="2898" t="s">
        <v>2953</v>
      </c>
      <c r="B10" s="2899">
        <f t="shared" ref="B10:B15" si="55">B11*(1+N10)</f>
        <v>474.30670301923408</v>
      </c>
      <c r="C10" s="2899">
        <f t="shared" ref="C10" si="56">C11*(1+O10)</f>
        <v>349.50705005996491</v>
      </c>
      <c r="D10" s="2899">
        <f t="shared" ref="D10" si="57">C10</f>
        <v>349.50705005996491</v>
      </c>
      <c r="E10" s="2899">
        <f t="shared" ref="E10" si="58">E11*(1+P10)</f>
        <v>678.22831959706957</v>
      </c>
      <c r="F10" s="2899">
        <f t="shared" ref="F10" si="59">F11*(1+Q10)</f>
        <v>312.0556832169558</v>
      </c>
      <c r="G10" s="2882">
        <v>2019</v>
      </c>
      <c r="H10" s="2907">
        <v>2</v>
      </c>
      <c r="I10" s="2907">
        <v>1.53</v>
      </c>
      <c r="J10" s="2907">
        <v>1.01</v>
      </c>
      <c r="K10" s="2907">
        <v>1.62</v>
      </c>
      <c r="L10" s="2908">
        <v>1.25</v>
      </c>
      <c r="M10" s="2886"/>
      <c r="N10" s="2901">
        <f t="shared" ref="N10" si="60">I10/100</f>
        <v>1.5300000000000001E-2</v>
      </c>
      <c r="O10" s="2887">
        <f t="shared" ref="O10" si="61">J10/100</f>
        <v>1.01E-2</v>
      </c>
      <c r="P10" s="2887">
        <f t="shared" ref="P10" si="62">K10/100</f>
        <v>1.6200000000000003E-2</v>
      </c>
      <c r="Q10" s="2887">
        <f t="shared" ref="Q10" si="63">L10/100</f>
        <v>1.2500000000000001E-2</v>
      </c>
      <c r="R10" s="2902"/>
      <c r="S10" s="2903"/>
      <c r="T10" s="2904"/>
      <c r="U10" s="2904"/>
      <c r="V10" s="2904"/>
      <c r="W10" s="2886"/>
      <c r="X10" s="2886">
        <f>ROUND(SUMPRODUCT(PRODUCT(1+N10:N$31)),4)</f>
        <v>1.5880000000000001</v>
      </c>
      <c r="Y10" s="2886">
        <f>ROUND(SUMPRODUCT(PRODUCT(1+O10:O$31)),4)</f>
        <v>1.3875999999999999</v>
      </c>
      <c r="Z10" s="2886">
        <f t="shared" si="33"/>
        <v>1.3875999999999999</v>
      </c>
      <c r="AA10" s="2886">
        <f>ROUND(SUMPRODUCT(PRODUCT(1+P10:P$31)),4)</f>
        <v>1.6563000000000001</v>
      </c>
      <c r="AB10" s="2886">
        <f>ROUND(SUMPRODUCT(PRODUCT(1+Q10:Q$31)),4)</f>
        <v>1.3756999999999999</v>
      </c>
      <c r="AC10" s="2886"/>
      <c r="AD10" s="2887">
        <f>ROUND(AVERAGE(I10:I$31)/100,4)</f>
        <v>2.1299999999999999E-2</v>
      </c>
      <c r="AE10" s="2887">
        <f>ROUND(AVERAGE(J10:J$31)/100,4)</f>
        <v>1.4999999999999999E-2</v>
      </c>
      <c r="AF10" s="2887">
        <f t="shared" ref="AF10" si="64">AE10</f>
        <v>1.4999999999999999E-2</v>
      </c>
      <c r="AG10" s="2887">
        <f>ROUND(AVERAGE(K10:K$31)/100,4)</f>
        <v>2.3300000000000001E-2</v>
      </c>
      <c r="AH10" s="2887">
        <f>ROUND(AVERAGE(L10:L$31)/100,4)</f>
        <v>1.46E-2</v>
      </c>
    </row>
    <row r="11" spans="1:34" s="2905" customFormat="1" ht="13.5" thickBot="1">
      <c r="A11" s="2898" t="s">
        <v>2952</v>
      </c>
      <c r="B11" s="2899">
        <f t="shared" si="55"/>
        <v>467.15916775261894</v>
      </c>
      <c r="C11" s="2899">
        <f t="shared" ref="C11" si="65">C12*(1+O11)</f>
        <v>346.01232557169084</v>
      </c>
      <c r="D11" s="2899">
        <f t="shared" ref="D11" si="66">C11</f>
        <v>346.01232557169084</v>
      </c>
      <c r="E11" s="2899">
        <f t="shared" ref="E11" si="67">E12*(1+P11)</f>
        <v>667.41617752122568</v>
      </c>
      <c r="F11" s="2899">
        <f t="shared" ref="F11" si="68">F12*(1+Q11)</f>
        <v>308.20314391798104</v>
      </c>
      <c r="G11" s="2882">
        <v>2019</v>
      </c>
      <c r="H11" s="2900">
        <v>1</v>
      </c>
      <c r="I11" s="2900">
        <v>0.6</v>
      </c>
      <c r="J11" s="2900">
        <v>0.37</v>
      </c>
      <c r="K11" s="2900">
        <v>0.63</v>
      </c>
      <c r="L11" s="2906">
        <v>1.1299999999999999</v>
      </c>
      <c r="M11" s="2886"/>
      <c r="N11" s="2901">
        <f t="shared" ref="N11" si="69">I11/100</f>
        <v>6.0000000000000001E-3</v>
      </c>
      <c r="O11" s="2887">
        <f t="shared" ref="O11" si="70">J11/100</f>
        <v>3.7000000000000002E-3</v>
      </c>
      <c r="P11" s="2887">
        <f t="shared" ref="P11" si="71">K11/100</f>
        <v>6.3E-3</v>
      </c>
      <c r="Q11" s="2887">
        <f t="shared" ref="Q11" si="72">L11/100</f>
        <v>1.1299999999999999E-2</v>
      </c>
      <c r="R11" s="2902"/>
      <c r="S11" s="2903">
        <f>B11/B12-1</f>
        <v>6.0000000000000053E-3</v>
      </c>
      <c r="T11" s="2904">
        <f>C11/C12-1</f>
        <v>3.7000000000000366E-3</v>
      </c>
      <c r="U11" s="2904">
        <f>E11/E12-1</f>
        <v>6.2999999999999723E-3</v>
      </c>
      <c r="V11" s="2904">
        <f>F11/F12-1</f>
        <v>1.1300000000000088E-2</v>
      </c>
      <c r="W11" s="2886"/>
      <c r="X11" s="2886">
        <f>ROUND(SUMPRODUCT(PRODUCT(1+N11:N$31)),4)</f>
        <v>1.5641</v>
      </c>
      <c r="Y11" s="2886">
        <f>ROUND(SUMPRODUCT(PRODUCT(1+O11:O$31)),4)</f>
        <v>1.3736999999999999</v>
      </c>
      <c r="Z11" s="2886">
        <f t="shared" si="33"/>
        <v>1.3736999999999999</v>
      </c>
      <c r="AA11" s="2886">
        <f>ROUND(SUMPRODUCT(PRODUCT(1+P11:P$31)),4)</f>
        <v>1.6298999999999999</v>
      </c>
      <c r="AB11" s="2886">
        <f>ROUND(SUMPRODUCT(PRODUCT(1+Q11:Q$31)),4)</f>
        <v>1.3588</v>
      </c>
      <c r="AC11" s="2886"/>
      <c r="AD11" s="2887">
        <f>ROUND(AVERAGE(I11:I$31)/100,4)</f>
        <v>2.1600000000000001E-2</v>
      </c>
      <c r="AE11" s="2887">
        <f>ROUND(AVERAGE(J11:J$31)/100,4)</f>
        <v>1.5299999999999999E-2</v>
      </c>
      <c r="AF11" s="2887">
        <f t="shared" ref="AF11" si="73">AE11</f>
        <v>1.5299999999999999E-2</v>
      </c>
      <c r="AG11" s="2887">
        <f>ROUND(AVERAGE(K11:K$31)/100,4)</f>
        <v>2.3699999999999999E-2</v>
      </c>
      <c r="AH11" s="2887">
        <f>ROUND(AVERAGE(L11:L$31)/100,4)</f>
        <v>1.47E-2</v>
      </c>
    </row>
    <row r="12" spans="1:34" s="2905" customFormat="1">
      <c r="A12" s="2898" t="s">
        <v>2950</v>
      </c>
      <c r="B12" s="2909">
        <f t="shared" si="55"/>
        <v>464.37293017158942</v>
      </c>
      <c r="C12" s="2909">
        <f t="shared" ref="C12" si="74">C13*(1+O12)</f>
        <v>344.73679941385956</v>
      </c>
      <c r="D12" s="2909">
        <f t="shared" ref="D12" si="75">C12</f>
        <v>344.73679941385956</v>
      </c>
      <c r="E12" s="2909">
        <f t="shared" ref="E12" si="76">E13*(1+P12)</f>
        <v>663.2377795103107</v>
      </c>
      <c r="F12" s="2910">
        <f t="shared" ref="F12" si="77">F13*(1+Q12)</f>
        <v>304.75936311478398</v>
      </c>
      <c r="G12" s="3586">
        <v>2018</v>
      </c>
      <c r="H12" s="2907">
        <v>4</v>
      </c>
      <c r="I12" s="2907">
        <v>0.96</v>
      </c>
      <c r="J12" s="2907">
        <v>1.03</v>
      </c>
      <c r="K12" s="2907">
        <v>0.92</v>
      </c>
      <c r="L12" s="2908">
        <v>1.29</v>
      </c>
      <c r="M12" s="2886"/>
      <c r="N12" s="2901">
        <f t="shared" ref="N12" si="78">I12/100</f>
        <v>9.5999999999999992E-3</v>
      </c>
      <c r="O12" s="2887">
        <f t="shared" ref="O12" si="79">J12/100</f>
        <v>1.03E-2</v>
      </c>
      <c r="P12" s="2887">
        <f t="shared" ref="P12" si="80">K12/100</f>
        <v>9.1999999999999998E-3</v>
      </c>
      <c r="Q12" s="2887">
        <f t="shared" ref="Q12" si="81">L12/100</f>
        <v>1.29E-2</v>
      </c>
      <c r="R12" s="2902"/>
      <c r="S12" s="2911"/>
      <c r="T12" s="2912"/>
      <c r="U12" s="2912"/>
      <c r="V12" s="2912"/>
      <c r="W12" s="2886"/>
      <c r="X12" s="2886">
        <f>ROUND(SUMPRODUCT(PRODUCT(1+N12:N$31)),4)</f>
        <v>1.5548</v>
      </c>
      <c r="Y12" s="2886">
        <f>ROUND(SUMPRODUCT(PRODUCT(1+O12:O$31)),4)</f>
        <v>1.3686</v>
      </c>
      <c r="Z12" s="2886">
        <f t="shared" si="33"/>
        <v>1.3686</v>
      </c>
      <c r="AA12" s="2886">
        <f>ROUND(SUMPRODUCT(PRODUCT(1+P12:P$31)),4)</f>
        <v>1.6196999999999999</v>
      </c>
      <c r="AB12" s="2886">
        <f>ROUND(SUMPRODUCT(PRODUCT(1+Q12:Q$31)),4)</f>
        <v>1.3435999999999999</v>
      </c>
      <c r="AC12" s="2886"/>
      <c r="AD12" s="2887">
        <f>ROUND(AVERAGE(I12:I$31)/100,4)</f>
        <v>2.24E-2</v>
      </c>
      <c r="AE12" s="2887">
        <f>ROUND(AVERAGE(J12:J$31)/100,4)</f>
        <v>1.5800000000000002E-2</v>
      </c>
      <c r="AF12" s="2887">
        <f t="shared" ref="AF12" si="82">AE12</f>
        <v>1.5800000000000002E-2</v>
      </c>
      <c r="AG12" s="2887">
        <f>ROUND(AVERAGE(K12:K$31)/100,4)</f>
        <v>2.4500000000000001E-2</v>
      </c>
      <c r="AH12" s="2887">
        <f>ROUND(AVERAGE(L12:L$31)/100,4)</f>
        <v>1.49E-2</v>
      </c>
    </row>
    <row r="13" spans="1:34" s="2905" customFormat="1" ht="14.45" customHeight="1">
      <c r="A13" s="2898" t="s">
        <v>2943</v>
      </c>
      <c r="B13" s="2899">
        <f t="shared" si="55"/>
        <v>459.95733971036987</v>
      </c>
      <c r="C13" s="2899">
        <f t="shared" ref="C13" si="83">C14*(1+O13)</f>
        <v>341.22221064422405</v>
      </c>
      <c r="D13" s="2899">
        <f t="shared" ref="D13" si="84">C13</f>
        <v>341.22221064422405</v>
      </c>
      <c r="E13" s="2899">
        <f t="shared" ref="E13" si="85">E14*(1+P13)</f>
        <v>657.19161663724799</v>
      </c>
      <c r="F13" s="2899">
        <f t="shared" ref="F13" si="86">F14*(1+Q13)</f>
        <v>300.87803644464805</v>
      </c>
      <c r="G13" s="3586"/>
      <c r="H13" s="2900">
        <v>3</v>
      </c>
      <c r="I13" s="2900">
        <v>1.51</v>
      </c>
      <c r="J13" s="2900">
        <v>1.41</v>
      </c>
      <c r="K13" s="2900">
        <v>1.52</v>
      </c>
      <c r="L13" s="2906">
        <v>1.74</v>
      </c>
      <c r="M13" s="2886"/>
      <c r="N13" s="2901">
        <f t="shared" ref="N13" si="87">I13/100</f>
        <v>1.5100000000000001E-2</v>
      </c>
      <c r="O13" s="2887">
        <f t="shared" ref="O13" si="88">J13/100</f>
        <v>1.41E-2</v>
      </c>
      <c r="P13" s="2887">
        <f t="shared" ref="P13" si="89">K13/100</f>
        <v>1.52E-2</v>
      </c>
      <c r="Q13" s="2887">
        <f t="shared" ref="Q13" si="90">L13/100</f>
        <v>1.7399999999999999E-2</v>
      </c>
      <c r="R13" s="2902"/>
      <c r="S13" s="2901"/>
      <c r="T13" s="2887"/>
      <c r="U13" s="2887"/>
      <c r="V13" s="2887"/>
      <c r="W13" s="2886"/>
      <c r="X13" s="2886">
        <f>ROUND(SUMPRODUCT(PRODUCT(1+N13:N$31)),4)</f>
        <v>1.54</v>
      </c>
      <c r="Y13" s="2886">
        <f>ROUND(SUMPRODUCT(PRODUCT(1+O13:O$31)),4)</f>
        <v>1.3547</v>
      </c>
      <c r="Z13" s="2886">
        <f t="shared" si="33"/>
        <v>1.3547</v>
      </c>
      <c r="AA13" s="2886">
        <f>ROUND(SUMPRODUCT(PRODUCT(1+P13:P$31)),4)</f>
        <v>1.605</v>
      </c>
      <c r="AB13" s="2886">
        <f>ROUND(SUMPRODUCT(PRODUCT(1+Q13:Q$31)),4)</f>
        <v>1.3265</v>
      </c>
      <c r="AC13" s="2886"/>
      <c r="AD13" s="2887">
        <f>ROUND(AVERAGE(I13:I$31)/100,4)</f>
        <v>2.3099999999999999E-2</v>
      </c>
      <c r="AE13" s="2887">
        <f>ROUND(AVERAGE(J13:J$31)/100,4)</f>
        <v>1.61E-2</v>
      </c>
      <c r="AF13" s="2887">
        <f t="shared" ref="AF13" si="91">AE13</f>
        <v>1.61E-2</v>
      </c>
      <c r="AG13" s="2887">
        <f>ROUND(AVERAGE(K13:K$31)/100,4)</f>
        <v>2.53E-2</v>
      </c>
      <c r="AH13" s="2887">
        <f>ROUND(AVERAGE(L13:L$31)/100,4)</f>
        <v>1.4999999999999999E-2</v>
      </c>
    </row>
    <row r="14" spans="1:34" s="2905" customFormat="1" ht="14.45" customHeight="1">
      <c r="A14" s="2898" t="s">
        <v>2944</v>
      </c>
      <c r="B14" s="2899">
        <f t="shared" si="55"/>
        <v>453.11529869999993</v>
      </c>
      <c r="C14" s="2899">
        <f t="shared" ref="C14" si="92">C15*(1+O14)</f>
        <v>336.47787264000004</v>
      </c>
      <c r="D14" s="2899">
        <f t="shared" ref="D14" si="93">C14</f>
        <v>336.47787264000004</v>
      </c>
      <c r="E14" s="2899">
        <f t="shared" ref="E14" si="94">E15*(1+P14)</f>
        <v>647.35186823999993</v>
      </c>
      <c r="F14" s="2899">
        <f t="shared" ref="F14" si="95">F15*(1+Q14)</f>
        <v>295.73229452000004</v>
      </c>
      <c r="G14" s="3586"/>
      <c r="H14" s="2913">
        <v>2</v>
      </c>
      <c r="I14" s="2913">
        <v>1.49</v>
      </c>
      <c r="J14" s="2913">
        <v>0.96</v>
      </c>
      <c r="K14" s="2913">
        <v>1.58</v>
      </c>
      <c r="L14" s="2914">
        <v>2.44</v>
      </c>
      <c r="M14" s="2886"/>
      <c r="N14" s="2901">
        <f t="shared" ref="N14" si="96">I14/100</f>
        <v>1.49E-2</v>
      </c>
      <c r="O14" s="2887">
        <f t="shared" ref="O14" si="97">J14/100</f>
        <v>9.5999999999999992E-3</v>
      </c>
      <c r="P14" s="2887">
        <f t="shared" ref="P14" si="98">K14/100</f>
        <v>1.5800000000000002E-2</v>
      </c>
      <c r="Q14" s="2887">
        <f t="shared" ref="Q14" si="99">L14/100</f>
        <v>2.4399999999999998E-2</v>
      </c>
      <c r="R14" s="2902"/>
      <c r="S14" s="2901"/>
      <c r="T14" s="2887"/>
      <c r="U14" s="2887"/>
      <c r="V14" s="2887"/>
      <c r="W14" s="2886"/>
      <c r="X14" s="2886">
        <f>ROUND(SUMPRODUCT(PRODUCT(1+N14:N$31)),4)</f>
        <v>1.5170999999999999</v>
      </c>
      <c r="Y14" s="2886">
        <f>ROUND(SUMPRODUCT(PRODUCT(1+O14:O$31)),4)</f>
        <v>1.3358000000000001</v>
      </c>
      <c r="Z14" s="2886">
        <f t="shared" si="33"/>
        <v>1.3358000000000001</v>
      </c>
      <c r="AA14" s="2886">
        <f>ROUND(SUMPRODUCT(PRODUCT(1+P14:P$31)),4)</f>
        <v>1.5809</v>
      </c>
      <c r="AB14" s="2886">
        <f>ROUND(SUMPRODUCT(PRODUCT(1+Q14:Q$31)),4)</f>
        <v>1.3038000000000001</v>
      </c>
      <c r="AC14" s="2886"/>
      <c r="AD14" s="2887">
        <f>ROUND(AVERAGE(I14:I$31)/100,4)</f>
        <v>2.35E-2</v>
      </c>
      <c r="AE14" s="2887">
        <f>ROUND(AVERAGE(J14:J$31)/100,4)</f>
        <v>1.6199999999999999E-2</v>
      </c>
      <c r="AF14" s="2887">
        <f t="shared" ref="AF14" si="100">AE14</f>
        <v>1.6199999999999999E-2</v>
      </c>
      <c r="AG14" s="2887">
        <f>ROUND(AVERAGE(K14:K$31)/100,4)</f>
        <v>2.5899999999999999E-2</v>
      </c>
      <c r="AH14" s="2887">
        <f>ROUND(AVERAGE(L14:L$31)/100,4)</f>
        <v>1.49E-2</v>
      </c>
    </row>
    <row r="15" spans="1:34" s="2905" customFormat="1" ht="15" customHeight="1" thickBot="1">
      <c r="A15" s="2898" t="s">
        <v>2940</v>
      </c>
      <c r="B15" s="2899">
        <f t="shared" si="55"/>
        <v>446.46299999999997</v>
      </c>
      <c r="C15" s="2899">
        <f t="shared" ref="C15" si="101">C16*(1+O15)</f>
        <v>333.27840000000003</v>
      </c>
      <c r="D15" s="2899">
        <f t="shared" ref="D15:D20" si="102">C15</f>
        <v>333.27840000000003</v>
      </c>
      <c r="E15" s="2899">
        <f t="shared" ref="E15" si="103">E16*(1+P15)</f>
        <v>637.28279999999995</v>
      </c>
      <c r="F15" s="2899">
        <f t="shared" ref="F15" si="104">F16*(1+Q15)</f>
        <v>288.68830000000003</v>
      </c>
      <c r="G15" s="3587"/>
      <c r="H15" s="2900">
        <v>1</v>
      </c>
      <c r="I15" s="2900">
        <v>1.7</v>
      </c>
      <c r="J15" s="2900">
        <v>1.92</v>
      </c>
      <c r="K15" s="2900">
        <v>1.64</v>
      </c>
      <c r="L15" s="2906">
        <v>2.0099999999999998</v>
      </c>
      <c r="M15" s="2886"/>
      <c r="N15" s="2901">
        <f t="shared" ref="N15:N20" si="105">I15/100</f>
        <v>1.7000000000000001E-2</v>
      </c>
      <c r="O15" s="2887">
        <f t="shared" ref="O15" si="106">J15/100</f>
        <v>1.9199999999999998E-2</v>
      </c>
      <c r="P15" s="2887">
        <f t="shared" ref="P15" si="107">K15/100</f>
        <v>1.6399999999999998E-2</v>
      </c>
      <c r="Q15" s="2887">
        <f t="shared" ref="Q15" si="108">L15/100</f>
        <v>2.0099999999999996E-2</v>
      </c>
      <c r="R15" s="2902"/>
      <c r="S15" s="2903">
        <f>B15/B16-1</f>
        <v>1.6999999999999904E-2</v>
      </c>
      <c r="T15" s="2904">
        <f>C15/C16-1</f>
        <v>1.9200000000000106E-2</v>
      </c>
      <c r="U15" s="2904">
        <f>E15/E16-1</f>
        <v>1.639999999999997E-2</v>
      </c>
      <c r="V15" s="2904">
        <f>F15/F16-1</f>
        <v>2.0100000000000007E-2</v>
      </c>
      <c r="W15" s="2886"/>
      <c r="X15" s="2886">
        <f>ROUND(SUMPRODUCT(PRODUCT(1+N15:N$31)),4)</f>
        <v>1.4947999999999999</v>
      </c>
      <c r="Y15" s="2886">
        <f>ROUND(SUMPRODUCT(PRODUCT(1+O15:O$31)),4)</f>
        <v>1.3230999999999999</v>
      </c>
      <c r="Z15" s="2886">
        <f t="shared" si="33"/>
        <v>1.3230999999999999</v>
      </c>
      <c r="AA15" s="2886">
        <f>ROUND(SUMPRODUCT(PRODUCT(1+P15:P$31)),4)</f>
        <v>1.5564</v>
      </c>
      <c r="AB15" s="2886">
        <f>ROUND(SUMPRODUCT(PRODUCT(1+Q15:Q$31)),4)</f>
        <v>1.2726999999999999</v>
      </c>
      <c r="AC15" s="2886"/>
      <c r="AD15" s="2887">
        <f>ROUND(AVERAGE(I15:I$31)/100,4)</f>
        <v>2.4E-2</v>
      </c>
      <c r="AE15" s="2887">
        <f>ROUND(AVERAGE(J15:J$31)/100,4)</f>
        <v>1.66E-2</v>
      </c>
      <c r="AF15" s="2887">
        <f t="shared" ref="AF15" si="109">AE15</f>
        <v>1.66E-2</v>
      </c>
      <c r="AG15" s="2887">
        <f>ROUND(AVERAGE(K15:K$31)/100,4)</f>
        <v>2.6499999999999999E-2</v>
      </c>
      <c r="AH15" s="2887">
        <f>ROUND(AVERAGE(L15:L$31)/100,4)</f>
        <v>1.43E-2</v>
      </c>
    </row>
    <row r="16" spans="1:34">
      <c r="A16" s="2898" t="s">
        <v>2932</v>
      </c>
      <c r="B16" s="2915">
        <v>439</v>
      </c>
      <c r="C16" s="2915">
        <v>327</v>
      </c>
      <c r="D16" s="2915">
        <f t="shared" si="102"/>
        <v>327</v>
      </c>
      <c r="E16" s="2915">
        <v>627</v>
      </c>
      <c r="F16" s="2916">
        <v>283</v>
      </c>
      <c r="G16" s="3585">
        <v>2017</v>
      </c>
      <c r="H16" s="2907">
        <v>4</v>
      </c>
      <c r="I16" s="2907">
        <v>1.71</v>
      </c>
      <c r="J16" s="2907">
        <v>1.78</v>
      </c>
      <c r="K16" s="2907">
        <v>1.71</v>
      </c>
      <c r="L16" s="2908">
        <v>1.43</v>
      </c>
      <c r="N16" s="2917">
        <f t="shared" si="105"/>
        <v>1.7100000000000001E-2</v>
      </c>
      <c r="O16" s="2918">
        <f t="shared" ref="O16" si="110">J16/100</f>
        <v>1.78E-2</v>
      </c>
      <c r="P16" s="2918">
        <f t="shared" ref="P16" si="111">K16/100</f>
        <v>1.7100000000000001E-2</v>
      </c>
      <c r="Q16" s="2918">
        <f t="shared" ref="Q16" si="112">L16/100</f>
        <v>1.43E-2</v>
      </c>
      <c r="R16" s="2902"/>
      <c r="S16" s="2911"/>
      <c r="T16" s="2912"/>
      <c r="U16" s="2912"/>
      <c r="V16" s="2912"/>
      <c r="X16" s="2886">
        <f>ROUND(SUMPRODUCT(PRODUCT(1+N16:N$31)),4)</f>
        <v>1.4698</v>
      </c>
      <c r="Y16" s="2886">
        <f>ROUND(SUMPRODUCT(PRODUCT(1+O16:O$31)),4)</f>
        <v>1.2982</v>
      </c>
      <c r="Z16" s="2886">
        <f t="shared" si="33"/>
        <v>1.2982</v>
      </c>
      <c r="AA16" s="2886">
        <f>ROUND(SUMPRODUCT(PRODUCT(1+P16:P$31)),4)</f>
        <v>1.5311999999999999</v>
      </c>
      <c r="AB16" s="2886">
        <f>ROUND(SUMPRODUCT(PRODUCT(1+Q16:Q$31)),4)</f>
        <v>1.2476</v>
      </c>
      <c r="AD16" s="2887">
        <f>ROUND(AVERAGE(I16:I$31)/100,4)</f>
        <v>2.4500000000000001E-2</v>
      </c>
      <c r="AE16" s="2887">
        <f>ROUND(AVERAGE(J16:J$31)/100,4)</f>
        <v>1.6500000000000001E-2</v>
      </c>
      <c r="AF16" s="2887">
        <f t="shared" si="1"/>
        <v>1.6500000000000001E-2</v>
      </c>
      <c r="AG16" s="2887">
        <f>ROUND(AVERAGE(K16:K$31)/100,4)</f>
        <v>2.7099999999999999E-2</v>
      </c>
      <c r="AH16" s="2887">
        <f>ROUND(AVERAGE(L16:L$31)/100,4)</f>
        <v>1.3899999999999999E-2</v>
      </c>
    </row>
    <row r="17" spans="1:34" s="2905" customFormat="1" ht="14.45" customHeight="1">
      <c r="A17" s="2898" t="s">
        <v>2935</v>
      </c>
      <c r="B17" s="2899">
        <f t="shared" ref="B17:C19" si="113">B18*(1+N17)</f>
        <v>431.80730811680002</v>
      </c>
      <c r="C17" s="2899">
        <f t="shared" si="113"/>
        <v>320.57880516480003</v>
      </c>
      <c r="D17" s="2899">
        <f t="shared" si="102"/>
        <v>320.57880516480003</v>
      </c>
      <c r="E17" s="2899">
        <f t="shared" ref="E17:F19" si="114">E18*(1+P17)</f>
        <v>615.96110553196797</v>
      </c>
      <c r="F17" s="2899">
        <f t="shared" si="114"/>
        <v>279.46777300108801</v>
      </c>
      <c r="G17" s="3586"/>
      <c r="H17" s="2900">
        <v>3</v>
      </c>
      <c r="I17" s="2900">
        <v>2.98</v>
      </c>
      <c r="J17" s="2900">
        <v>2.11</v>
      </c>
      <c r="K17" s="2900">
        <v>3.24</v>
      </c>
      <c r="L17" s="2906">
        <v>1.72</v>
      </c>
      <c r="M17" s="2886"/>
      <c r="N17" s="2901">
        <f t="shared" si="105"/>
        <v>2.98E-2</v>
      </c>
      <c r="O17" s="2919">
        <f t="shared" ref="O17:O18" si="115">J17/100</f>
        <v>2.1099999999999997E-2</v>
      </c>
      <c r="P17" s="2919">
        <f t="shared" ref="P17:P18" si="116">K17/100</f>
        <v>3.2400000000000005E-2</v>
      </c>
      <c r="Q17" s="2919">
        <f t="shared" ref="Q17:Q18" si="117">L17/100</f>
        <v>1.72E-2</v>
      </c>
      <c r="R17" s="2902"/>
      <c r="S17" s="2901"/>
      <c r="T17" s="2887"/>
      <c r="U17" s="2887"/>
      <c r="V17" s="2887"/>
      <c r="W17" s="2886"/>
      <c r="X17" s="2886">
        <f>ROUND(SUMPRODUCT(PRODUCT(1+N17:N$31)),4)</f>
        <v>1.4451000000000001</v>
      </c>
      <c r="Y17" s="2886">
        <f>ROUND(SUMPRODUCT(PRODUCT(1+O17:O$31)),4)</f>
        <v>1.2755000000000001</v>
      </c>
      <c r="Z17" s="2886">
        <f t="shared" si="33"/>
        <v>1.2755000000000001</v>
      </c>
      <c r="AA17" s="2886">
        <f>ROUND(SUMPRODUCT(PRODUCT(1+P17:P$31)),4)</f>
        <v>1.5055000000000001</v>
      </c>
      <c r="AB17" s="2886">
        <f>ROUND(SUMPRODUCT(PRODUCT(1+Q17:Q$31)),4)</f>
        <v>1.2301</v>
      </c>
      <c r="AC17" s="2886"/>
      <c r="AD17" s="2887">
        <f>ROUND(AVERAGE(I17:I$31)/100,4)</f>
        <v>2.4899999999999999E-2</v>
      </c>
      <c r="AE17" s="2887">
        <f>ROUND(AVERAGE(J17:J$31)/100,4)</f>
        <v>1.6400000000000001E-2</v>
      </c>
      <c r="AF17" s="2887">
        <f t="shared" si="1"/>
        <v>1.6400000000000001E-2</v>
      </c>
      <c r="AG17" s="2887">
        <f>ROUND(AVERAGE(K17:K$31)/100,4)</f>
        <v>2.7799999999999998E-2</v>
      </c>
      <c r="AH17" s="2887">
        <f>ROUND(AVERAGE(L17:L$31)/100,4)</f>
        <v>1.3899999999999999E-2</v>
      </c>
    </row>
    <row r="18" spans="1:34" s="2864" customFormat="1" ht="14.45" customHeight="1">
      <c r="A18" s="2898" t="s">
        <v>2562</v>
      </c>
      <c r="B18" s="2899">
        <f t="shared" si="113"/>
        <v>419.31181600000002</v>
      </c>
      <c r="C18" s="2899">
        <f t="shared" si="113"/>
        <v>313.95436800000004</v>
      </c>
      <c r="D18" s="2899">
        <f t="shared" si="102"/>
        <v>313.95436800000004</v>
      </c>
      <c r="E18" s="2899">
        <f t="shared" si="114"/>
        <v>596.63028431999999</v>
      </c>
      <c r="F18" s="2899">
        <f t="shared" si="114"/>
        <v>274.74220703999998</v>
      </c>
      <c r="G18" s="3586"/>
      <c r="H18" s="2913">
        <v>2</v>
      </c>
      <c r="I18" s="2913">
        <v>3.4</v>
      </c>
      <c r="J18" s="2913">
        <v>2</v>
      </c>
      <c r="K18" s="2913">
        <v>3.82</v>
      </c>
      <c r="L18" s="2914">
        <v>1.68</v>
      </c>
      <c r="N18" s="2901">
        <f t="shared" si="105"/>
        <v>3.4000000000000002E-2</v>
      </c>
      <c r="O18" s="2919">
        <f t="shared" si="115"/>
        <v>0.02</v>
      </c>
      <c r="P18" s="2919">
        <f t="shared" si="116"/>
        <v>3.8199999999999998E-2</v>
      </c>
      <c r="Q18" s="2919">
        <f t="shared" si="117"/>
        <v>1.6799999999999999E-2</v>
      </c>
      <c r="S18" s="2901"/>
      <c r="T18" s="2887"/>
      <c r="U18" s="2887"/>
      <c r="V18" s="2887"/>
      <c r="X18" s="2886">
        <f>ROUND(SUMPRODUCT(PRODUCT(1+N18:N$31)),4)</f>
        <v>1.4033</v>
      </c>
      <c r="Y18" s="2886">
        <f>ROUND(SUMPRODUCT(PRODUCT(1+O18:O$31)),4)</f>
        <v>1.2491000000000001</v>
      </c>
      <c r="Z18" s="2886">
        <f t="shared" si="33"/>
        <v>1.2491000000000001</v>
      </c>
      <c r="AA18" s="2886">
        <f>ROUND(SUMPRODUCT(PRODUCT(1+P18:P$31)),4)</f>
        <v>1.4581999999999999</v>
      </c>
      <c r="AB18" s="2886">
        <f>ROUND(SUMPRODUCT(PRODUCT(1+Q18:Q$31)),4)</f>
        <v>1.2093</v>
      </c>
      <c r="AD18" s="2887">
        <f>ROUND(AVERAGE(I18:I$31)/100,4)</f>
        <v>2.46E-2</v>
      </c>
      <c r="AE18" s="2887">
        <f>ROUND(AVERAGE(J18:J$31)/100,4)</f>
        <v>1.6E-2</v>
      </c>
      <c r="AF18" s="2887">
        <f t="shared" si="1"/>
        <v>1.6E-2</v>
      </c>
      <c r="AG18" s="2887">
        <f>ROUND(AVERAGE(K18:K$31)/100,4)</f>
        <v>2.75E-2</v>
      </c>
      <c r="AH18" s="2887">
        <f>ROUND(AVERAGE(L18:L$31)/100,4)</f>
        <v>1.37E-2</v>
      </c>
    </row>
    <row r="19" spans="1:34" s="2905" customFormat="1" ht="15" customHeight="1" thickBot="1">
      <c r="A19" s="2898" t="s">
        <v>2563</v>
      </c>
      <c r="B19" s="2899">
        <f t="shared" si="113"/>
        <v>405.524</v>
      </c>
      <c r="C19" s="2899">
        <f t="shared" si="113"/>
        <v>307.79840000000002</v>
      </c>
      <c r="D19" s="2899">
        <f t="shared" si="102"/>
        <v>307.79840000000002</v>
      </c>
      <c r="E19" s="2899">
        <f t="shared" si="114"/>
        <v>574.67759999999998</v>
      </c>
      <c r="F19" s="2899">
        <f t="shared" si="114"/>
        <v>270.20280000000002</v>
      </c>
      <c r="G19" s="3587"/>
      <c r="H19" s="2900">
        <v>1</v>
      </c>
      <c r="I19" s="2900">
        <v>3.45</v>
      </c>
      <c r="J19" s="2900">
        <v>1.92</v>
      </c>
      <c r="K19" s="2900">
        <v>3.92</v>
      </c>
      <c r="L19" s="2906">
        <v>1.58</v>
      </c>
      <c r="M19" s="2886"/>
      <c r="N19" s="2903">
        <f t="shared" si="105"/>
        <v>3.4500000000000003E-2</v>
      </c>
      <c r="O19" s="2904">
        <f t="shared" ref="O19" si="118">J19/100</f>
        <v>1.9199999999999998E-2</v>
      </c>
      <c r="P19" s="2904">
        <f t="shared" ref="P19" si="119">K19/100</f>
        <v>3.9199999999999999E-2</v>
      </c>
      <c r="Q19" s="2904">
        <f t="shared" ref="Q19" si="120">L19/100</f>
        <v>1.5800000000000002E-2</v>
      </c>
      <c r="R19" s="2902"/>
      <c r="S19" s="2903">
        <f>B19/B20-1</f>
        <v>3.4499999999999975E-2</v>
      </c>
      <c r="T19" s="2904">
        <f>C19/C20-1</f>
        <v>1.9200000000000106E-2</v>
      </c>
      <c r="U19" s="2904">
        <f>E19/E20-1</f>
        <v>3.9199999999999902E-2</v>
      </c>
      <c r="V19" s="2904">
        <f>F19/F20-1</f>
        <v>1.5800000000000036E-2</v>
      </c>
      <c r="W19" s="2886"/>
      <c r="X19" s="2886">
        <f>ROUND(SUMPRODUCT(PRODUCT(1+N19:N$31)),4)</f>
        <v>1.3571</v>
      </c>
      <c r="Y19" s="2886">
        <f>ROUND(SUMPRODUCT(PRODUCT(1+O19:O$31)),4)</f>
        <v>1.2245999999999999</v>
      </c>
      <c r="Z19" s="2886">
        <f t="shared" si="33"/>
        <v>1.2245999999999999</v>
      </c>
      <c r="AA19" s="2886">
        <f>ROUND(SUMPRODUCT(PRODUCT(1+P19:P$31)),4)</f>
        <v>1.4046000000000001</v>
      </c>
      <c r="AB19" s="2886">
        <f>ROUND(SUMPRODUCT(PRODUCT(1+Q19:Q$31)),4)</f>
        <v>1.1893</v>
      </c>
      <c r="AC19" s="2886"/>
      <c r="AD19" s="2887">
        <f>ROUND(AVERAGE(I19:I$31)/100,4)</f>
        <v>2.3900000000000001E-2</v>
      </c>
      <c r="AE19" s="2887">
        <f>ROUND(AVERAGE(J19:J$31)/100,4)</f>
        <v>1.5699999999999999E-2</v>
      </c>
      <c r="AF19" s="2887">
        <f t="shared" si="1"/>
        <v>1.5699999999999999E-2</v>
      </c>
      <c r="AG19" s="2887">
        <f>ROUND(AVERAGE(K19:K$31)/100,4)</f>
        <v>2.6599999999999999E-2</v>
      </c>
      <c r="AH19" s="2887">
        <f>ROUND(AVERAGE(L19:L$31)/100,4)</f>
        <v>1.34E-2</v>
      </c>
    </row>
    <row r="20" spans="1:34">
      <c r="A20" s="2898" t="s">
        <v>961</v>
      </c>
      <c r="B20" s="2920">
        <v>392</v>
      </c>
      <c r="C20" s="2920">
        <v>302</v>
      </c>
      <c r="D20" s="2920">
        <f t="shared" si="102"/>
        <v>302</v>
      </c>
      <c r="E20" s="2920">
        <v>553</v>
      </c>
      <c r="F20" s="2921">
        <v>266</v>
      </c>
      <c r="G20" s="3585">
        <v>2016</v>
      </c>
      <c r="H20" s="2907">
        <v>4</v>
      </c>
      <c r="I20" s="2907">
        <v>4.5599999999999996</v>
      </c>
      <c r="J20" s="2907">
        <v>2.15</v>
      </c>
      <c r="K20" s="2907">
        <v>5.32</v>
      </c>
      <c r="L20" s="2908">
        <v>1.57</v>
      </c>
      <c r="N20" s="2901">
        <f t="shared" si="105"/>
        <v>4.5599999999999995E-2</v>
      </c>
      <c r="O20" s="2887">
        <f t="shared" ref="O20:Q35" si="121">J20/100</f>
        <v>2.1499999999999998E-2</v>
      </c>
      <c r="P20" s="2887">
        <f t="shared" si="121"/>
        <v>5.3200000000000004E-2</v>
      </c>
      <c r="Q20" s="2887">
        <f t="shared" si="121"/>
        <v>1.5700000000000002E-2</v>
      </c>
      <c r="R20" s="2902"/>
      <c r="S20" s="2911"/>
      <c r="T20" s="2912"/>
      <c r="U20" s="2912"/>
      <c r="V20" s="2912"/>
      <c r="X20" s="2886">
        <f>ROUND(SUMPRODUCT(PRODUCT(1+N20:N$31)),4)</f>
        <v>1.3119000000000001</v>
      </c>
      <c r="Y20" s="2886">
        <f>ROUND(SUMPRODUCT(PRODUCT(1+O20:O$31)),4)</f>
        <v>1.2016</v>
      </c>
      <c r="Z20" s="2886">
        <f t="shared" si="33"/>
        <v>1.2016</v>
      </c>
      <c r="AA20" s="2886">
        <f>ROUND(SUMPRODUCT(PRODUCT(1+P20:P$31)),4)</f>
        <v>1.3515999999999999</v>
      </c>
      <c r="AB20" s="2886">
        <f>ROUND(SUMPRODUCT(PRODUCT(1+Q20:Q$31)),4)</f>
        <v>1.1708000000000001</v>
      </c>
      <c r="AD20" s="2887">
        <f>ROUND(AVERAGE(I20:I$31)/100,4)</f>
        <v>2.3E-2</v>
      </c>
      <c r="AE20" s="2887">
        <f>ROUND(AVERAGE(J20:J$31)/100,4)</f>
        <v>1.55E-2</v>
      </c>
      <c r="AF20" s="2887">
        <f t="shared" si="1"/>
        <v>1.55E-2</v>
      </c>
      <c r="AG20" s="2887">
        <f>ROUND(AVERAGE(K20:K$31)/100,4)</f>
        <v>2.5600000000000001E-2</v>
      </c>
      <c r="AH20" s="2887">
        <f>ROUND(AVERAGE(L20:L$31)/100,4)</f>
        <v>1.32E-2</v>
      </c>
    </row>
    <row r="21" spans="1:34">
      <c r="A21" s="2898" t="s">
        <v>960</v>
      </c>
      <c r="B21" s="2899">
        <f t="shared" ref="B21:C23" si="122">B20/(1+N20)</f>
        <v>374.90436113236416</v>
      </c>
      <c r="C21" s="2899">
        <f t="shared" si="122"/>
        <v>295.64366128242779</v>
      </c>
      <c r="D21" s="2899">
        <f t="shared" ref="D21:D80" si="123">C21</f>
        <v>295.64366128242779</v>
      </c>
      <c r="E21" s="2899">
        <f t="shared" ref="E21:F23" si="124">E20/(1+P20)</f>
        <v>525.06646410938095</v>
      </c>
      <c r="F21" s="2899">
        <f t="shared" si="124"/>
        <v>261.88835286009646</v>
      </c>
      <c r="G21" s="3586"/>
      <c r="H21" s="2900">
        <v>3</v>
      </c>
      <c r="I21" s="2900">
        <v>4.12</v>
      </c>
      <c r="J21" s="2900">
        <v>2</v>
      </c>
      <c r="K21" s="2900">
        <v>4.79</v>
      </c>
      <c r="L21" s="2906">
        <v>1.97</v>
      </c>
      <c r="N21" s="2901">
        <f t="shared" ref="N21:Q55" si="125">I21/100</f>
        <v>4.1200000000000001E-2</v>
      </c>
      <c r="O21" s="2887">
        <f t="shared" si="121"/>
        <v>0.02</v>
      </c>
      <c r="P21" s="2887">
        <f t="shared" si="121"/>
        <v>4.7899999999999998E-2</v>
      </c>
      <c r="Q21" s="2887">
        <f t="shared" si="121"/>
        <v>1.9699999999999999E-2</v>
      </c>
      <c r="R21" s="2902"/>
      <c r="S21" s="2901"/>
      <c r="T21" s="2887"/>
      <c r="U21" s="2887"/>
      <c r="V21" s="2887"/>
      <c r="X21" s="2886">
        <f>ROUND(SUMPRODUCT(PRODUCT(1+N21:N$31)),4)</f>
        <v>1.2546999999999999</v>
      </c>
      <c r="Y21" s="2886">
        <f>ROUND(SUMPRODUCT(PRODUCT(1+O21:O$31)),4)</f>
        <v>1.1762999999999999</v>
      </c>
      <c r="Z21" s="2886">
        <f t="shared" si="33"/>
        <v>1.1762999999999999</v>
      </c>
      <c r="AA21" s="2886">
        <f>ROUND(SUMPRODUCT(PRODUCT(1+P21:P$31)),4)</f>
        <v>1.2833000000000001</v>
      </c>
      <c r="AB21" s="2886">
        <f>ROUND(SUMPRODUCT(PRODUCT(1+Q21:Q$31)),4)</f>
        <v>1.1527000000000001</v>
      </c>
      <c r="AD21" s="2887">
        <f>ROUND(AVERAGE(I21:I$31)/100,4)</f>
        <v>2.0899999999999998E-2</v>
      </c>
      <c r="AE21" s="2887">
        <f>ROUND(AVERAGE(J21:J$31)/100,4)</f>
        <v>1.49E-2</v>
      </c>
      <c r="AF21" s="2887">
        <f t="shared" si="1"/>
        <v>1.49E-2</v>
      </c>
      <c r="AG21" s="2887">
        <f>ROUND(AVERAGE(K21:K$31)/100,4)</f>
        <v>2.3099999999999999E-2</v>
      </c>
      <c r="AH21" s="2887">
        <f>ROUND(AVERAGE(L21:L$31)/100,4)</f>
        <v>1.2999999999999999E-2</v>
      </c>
    </row>
    <row r="22" spans="1:34">
      <c r="A22" s="2898" t="s">
        <v>950</v>
      </c>
      <c r="B22" s="2899">
        <f t="shared" si="122"/>
        <v>360.06949782209392</v>
      </c>
      <c r="C22" s="2899">
        <f t="shared" si="122"/>
        <v>289.84672674747821</v>
      </c>
      <c r="D22" s="2899">
        <f t="shared" si="123"/>
        <v>289.84672674747821</v>
      </c>
      <c r="E22" s="2899">
        <f t="shared" si="124"/>
        <v>501.06543001181495</v>
      </c>
      <c r="F22" s="2899">
        <f t="shared" si="124"/>
        <v>256.82882500744967</v>
      </c>
      <c r="G22" s="3586"/>
      <c r="H22" s="2913">
        <v>2</v>
      </c>
      <c r="I22" s="2913">
        <v>3.85</v>
      </c>
      <c r="J22" s="2913">
        <v>1.95</v>
      </c>
      <c r="K22" s="2913">
        <v>4.4800000000000004</v>
      </c>
      <c r="L22" s="2914">
        <v>1.41</v>
      </c>
      <c r="N22" s="2901">
        <f t="shared" si="125"/>
        <v>3.85E-2</v>
      </c>
      <c r="O22" s="2887">
        <f t="shared" si="121"/>
        <v>1.95E-2</v>
      </c>
      <c r="P22" s="2887">
        <f t="shared" si="121"/>
        <v>4.4800000000000006E-2</v>
      </c>
      <c r="Q22" s="2887">
        <f t="shared" si="121"/>
        <v>1.41E-2</v>
      </c>
      <c r="R22" s="2902"/>
      <c r="S22" s="2901"/>
      <c r="T22" s="2887"/>
      <c r="U22" s="2887"/>
      <c r="V22" s="2887"/>
      <c r="X22" s="2886">
        <f>ROUND(SUMPRODUCT(PRODUCT(1+N22:N$31)),4)</f>
        <v>1.2050000000000001</v>
      </c>
      <c r="Y22" s="2886">
        <f>ROUND(SUMPRODUCT(PRODUCT(1+O22:O$31)),4)</f>
        <v>1.1532</v>
      </c>
      <c r="Z22" s="2886">
        <f t="shared" si="33"/>
        <v>1.1532</v>
      </c>
      <c r="AA22" s="2886">
        <f>ROUND(SUMPRODUCT(PRODUCT(1+P22:P$31)),4)</f>
        <v>1.2246999999999999</v>
      </c>
      <c r="AB22" s="2886">
        <f>ROUND(SUMPRODUCT(PRODUCT(1+Q22:Q$31)),4)</f>
        <v>1.1304000000000001</v>
      </c>
      <c r="AD22" s="2887">
        <f>ROUND(AVERAGE(I22:I$31)/100,4)</f>
        <v>1.89E-2</v>
      </c>
      <c r="AE22" s="2887">
        <f>ROUND(AVERAGE(J22:J$31)/100,4)</f>
        <v>1.44E-2</v>
      </c>
      <c r="AF22" s="2887">
        <f t="shared" si="1"/>
        <v>1.44E-2</v>
      </c>
      <c r="AG22" s="2887">
        <f>ROUND(AVERAGE(K22:K$31)/100,4)</f>
        <v>2.06E-2</v>
      </c>
      <c r="AH22" s="2887">
        <f>ROUND(AVERAGE(L22:L$31)/100,4)</f>
        <v>1.23E-2</v>
      </c>
    </row>
    <row r="23" spans="1:34" ht="13.5" thickBot="1">
      <c r="A23" s="2898" t="s">
        <v>959</v>
      </c>
      <c r="B23" s="2899">
        <f t="shared" si="122"/>
        <v>346.720748986128</v>
      </c>
      <c r="C23" s="2899">
        <f t="shared" si="122"/>
        <v>284.30282172386285</v>
      </c>
      <c r="D23" s="2899">
        <f t="shared" si="123"/>
        <v>284.30282172386285</v>
      </c>
      <c r="E23" s="2899">
        <f t="shared" si="124"/>
        <v>479.58023546306947</v>
      </c>
      <c r="F23" s="2899">
        <f t="shared" si="124"/>
        <v>253.25788877571213</v>
      </c>
      <c r="G23" s="3589"/>
      <c r="H23" s="2900">
        <v>1</v>
      </c>
      <c r="I23" s="2900">
        <v>4.09</v>
      </c>
      <c r="J23" s="2900">
        <v>2.93</v>
      </c>
      <c r="K23" s="2900">
        <v>4.54</v>
      </c>
      <c r="L23" s="2906">
        <v>1.48</v>
      </c>
      <c r="N23" s="2901">
        <f t="shared" si="125"/>
        <v>4.0899999999999999E-2</v>
      </c>
      <c r="O23" s="2887">
        <f t="shared" si="121"/>
        <v>2.9300000000000003E-2</v>
      </c>
      <c r="P23" s="2887">
        <f t="shared" si="121"/>
        <v>4.5400000000000003E-2</v>
      </c>
      <c r="Q23" s="2887">
        <f t="shared" si="121"/>
        <v>1.4800000000000001E-2</v>
      </c>
      <c r="R23" s="2902"/>
      <c r="S23" s="2903">
        <f>B23/B24-1</f>
        <v>4.1203450408792808E-2</v>
      </c>
      <c r="T23" s="2904">
        <f>C23/C24-1</f>
        <v>2.6363977342465095E-2</v>
      </c>
      <c r="U23" s="2904">
        <f>E23/E24-1</f>
        <v>4.4837114298626357E-2</v>
      </c>
      <c r="V23" s="2904">
        <f>F23/F24-1</f>
        <v>1.7099954922538574E-2</v>
      </c>
      <c r="X23" s="2886">
        <f>ROUND(SUMPRODUCT(PRODUCT(1+N23:N$31)),4)</f>
        <v>1.1604000000000001</v>
      </c>
      <c r="Y23" s="2886">
        <f>ROUND(SUMPRODUCT(PRODUCT(1+O23:O$31)),4)</f>
        <v>1.1312</v>
      </c>
      <c r="Z23" s="2886">
        <f t="shared" si="33"/>
        <v>1.1312</v>
      </c>
      <c r="AA23" s="2886">
        <f>ROUND(SUMPRODUCT(PRODUCT(1+P23:P$31)),4)</f>
        <v>1.1721999999999999</v>
      </c>
      <c r="AB23" s="2886">
        <f>ROUND(SUMPRODUCT(PRODUCT(1+Q23:Q$31)),4)</f>
        <v>1.1147</v>
      </c>
      <c r="AD23" s="2887">
        <f>ROUND(AVERAGE(I23:I$31)/100,4)</f>
        <v>1.67E-2</v>
      </c>
      <c r="AE23" s="2887">
        <f>ROUND(AVERAGE(J23:J$31)/100,4)</f>
        <v>1.38E-2</v>
      </c>
      <c r="AF23" s="2887">
        <f t="shared" si="1"/>
        <v>1.38E-2</v>
      </c>
      <c r="AG23" s="2887">
        <f>ROUND(AVERAGE(K23:K$31)/100,4)</f>
        <v>1.7899999999999999E-2</v>
      </c>
      <c r="AH23" s="2887">
        <f>ROUND(AVERAGE(L23:L$31)/100,4)</f>
        <v>1.21E-2</v>
      </c>
    </row>
    <row r="24" spans="1:34" ht="13.5" thickBot="1">
      <c r="A24" s="2898" t="s">
        <v>958</v>
      </c>
      <c r="B24" s="2920">
        <v>333</v>
      </c>
      <c r="C24" s="2920">
        <v>277</v>
      </c>
      <c r="D24" s="2920">
        <f t="shared" si="123"/>
        <v>277</v>
      </c>
      <c r="E24" s="2920">
        <v>459</v>
      </c>
      <c r="F24" s="2921">
        <v>249</v>
      </c>
      <c r="G24" s="3588">
        <v>2015</v>
      </c>
      <c r="H24" s="2922">
        <v>4</v>
      </c>
      <c r="I24" s="2922">
        <v>1.63</v>
      </c>
      <c r="J24" s="2922">
        <v>1.1100000000000001</v>
      </c>
      <c r="K24" s="2922">
        <v>1.77</v>
      </c>
      <c r="L24" s="2923">
        <v>1.89</v>
      </c>
      <c r="N24" s="2917">
        <f t="shared" si="125"/>
        <v>1.6299999999999999E-2</v>
      </c>
      <c r="O24" s="2918">
        <f t="shared" si="121"/>
        <v>1.11E-2</v>
      </c>
      <c r="P24" s="2918">
        <f t="shared" si="121"/>
        <v>1.77E-2</v>
      </c>
      <c r="Q24" s="2918">
        <f t="shared" si="121"/>
        <v>1.89E-2</v>
      </c>
      <c r="R24" s="2902"/>
      <c r="X24" s="2886">
        <f>ROUND(SUMPRODUCT(PRODUCT(1+N24:N$31)),4)</f>
        <v>1.1148</v>
      </c>
      <c r="Y24" s="2886">
        <f>ROUND(SUMPRODUCT(PRODUCT(1+O24:O$31)),4)</f>
        <v>1.099</v>
      </c>
      <c r="Z24" s="2886">
        <f t="shared" si="33"/>
        <v>1.099</v>
      </c>
      <c r="AA24" s="2886">
        <f>ROUND(SUMPRODUCT(PRODUCT(1+P24:P$31)),4)</f>
        <v>1.1213</v>
      </c>
      <c r="AB24" s="2886">
        <f>ROUND(SUMPRODUCT(PRODUCT(1+Q24:Q$31)),4)</f>
        <v>1.0984</v>
      </c>
      <c r="AD24" s="2887">
        <f>ROUND(AVERAGE(I24:I$31)/100,4)</f>
        <v>1.37E-2</v>
      </c>
      <c r="AE24" s="2887">
        <f>ROUND(AVERAGE(J24:J$31)/100,4)</f>
        <v>1.1900000000000001E-2</v>
      </c>
      <c r="AF24" s="2887">
        <f t="shared" si="1"/>
        <v>1.1900000000000001E-2</v>
      </c>
      <c r="AG24" s="2887">
        <f>ROUND(AVERAGE(K24:K$31)/100,4)</f>
        <v>1.4500000000000001E-2</v>
      </c>
      <c r="AH24" s="2887">
        <f>ROUND(AVERAGE(L24:L$31)/100,4)</f>
        <v>1.18E-2</v>
      </c>
    </row>
    <row r="25" spans="1:34">
      <c r="A25" s="2898" t="s">
        <v>957</v>
      </c>
      <c r="B25" s="2899">
        <f t="shared" ref="B25:C27" si="126">B24/(1+N24)</f>
        <v>327.65915576109415</v>
      </c>
      <c r="C25" s="2899">
        <f t="shared" si="126"/>
        <v>273.95905449510434</v>
      </c>
      <c r="D25" s="2899">
        <f t="shared" si="123"/>
        <v>273.95905449510434</v>
      </c>
      <c r="E25" s="2899">
        <f t="shared" ref="E25:F27" si="127">E24/(1+P24)</f>
        <v>451.01699911565294</v>
      </c>
      <c r="F25" s="2899">
        <f t="shared" si="127"/>
        <v>244.38119540681129</v>
      </c>
      <c r="G25" s="3586"/>
      <c r="H25" s="2925">
        <v>3</v>
      </c>
      <c r="I25" s="2925">
        <v>1.65</v>
      </c>
      <c r="J25" s="2925">
        <v>0.92</v>
      </c>
      <c r="K25" s="2925">
        <v>1.88</v>
      </c>
      <c r="L25" s="2926">
        <v>1.26</v>
      </c>
      <c r="N25" s="2901">
        <f t="shared" si="125"/>
        <v>1.6500000000000001E-2</v>
      </c>
      <c r="O25" s="2919">
        <f t="shared" si="121"/>
        <v>9.1999999999999998E-3</v>
      </c>
      <c r="P25" s="2919">
        <f t="shared" si="121"/>
        <v>1.8799999999999997E-2</v>
      </c>
      <c r="Q25" s="2919">
        <f t="shared" si="121"/>
        <v>1.26E-2</v>
      </c>
      <c r="R25" s="2902"/>
      <c r="S25" s="2901"/>
      <c r="T25" s="2887"/>
      <c r="U25" s="2887"/>
      <c r="V25" s="2887"/>
      <c r="X25" s="2886">
        <f>ROUND(SUMPRODUCT(PRODUCT(1+N25:N$31)),4)</f>
        <v>1.0969</v>
      </c>
      <c r="Y25" s="2886">
        <f>ROUND(SUMPRODUCT(PRODUCT(1+O25:O$31)),4)</f>
        <v>1.0869</v>
      </c>
      <c r="Z25" s="2886">
        <f t="shared" si="33"/>
        <v>1.0869</v>
      </c>
      <c r="AA25" s="2886">
        <f>ROUND(SUMPRODUCT(PRODUCT(1+P25:P$31)),4)</f>
        <v>1.1017999999999999</v>
      </c>
      <c r="AB25" s="2886">
        <f>ROUND(SUMPRODUCT(PRODUCT(1+Q25:Q$31)),4)</f>
        <v>1.0781000000000001</v>
      </c>
      <c r="AD25" s="2887">
        <f>ROUND(AVERAGE(I25:I$31)/100,4)</f>
        <v>1.3299999999999999E-2</v>
      </c>
      <c r="AE25" s="2887">
        <f>ROUND(AVERAGE(J25:J$31)/100,4)</f>
        <v>1.2E-2</v>
      </c>
      <c r="AF25" s="2887">
        <f t="shared" si="1"/>
        <v>1.2E-2</v>
      </c>
      <c r="AG25" s="2887">
        <f>ROUND(AVERAGE(K25:K$31)/100,4)</f>
        <v>1.4E-2</v>
      </c>
      <c r="AH25" s="2887">
        <f>ROUND(AVERAGE(L25:L$31)/100,4)</f>
        <v>1.0800000000000001E-2</v>
      </c>
    </row>
    <row r="26" spans="1:34">
      <c r="A26" s="2898" t="s">
        <v>956</v>
      </c>
      <c r="B26" s="2899">
        <f t="shared" si="126"/>
        <v>322.34053690220776</v>
      </c>
      <c r="C26" s="2899">
        <f t="shared" si="126"/>
        <v>271.46160770422546</v>
      </c>
      <c r="D26" s="2899">
        <f t="shared" si="123"/>
        <v>271.46160770422546</v>
      </c>
      <c r="E26" s="2899">
        <f t="shared" si="127"/>
        <v>442.69434542172456</v>
      </c>
      <c r="F26" s="2899">
        <f t="shared" si="127"/>
        <v>241.34030753190925</v>
      </c>
      <c r="G26" s="3586"/>
      <c r="H26" s="2913">
        <v>2</v>
      </c>
      <c r="I26" s="2913">
        <v>0.77</v>
      </c>
      <c r="J26" s="2913">
        <v>0.69</v>
      </c>
      <c r="K26" s="2913">
        <v>0.8</v>
      </c>
      <c r="L26" s="2914">
        <v>0.88</v>
      </c>
      <c r="N26" s="2901">
        <f t="shared" si="125"/>
        <v>7.7000000000000002E-3</v>
      </c>
      <c r="O26" s="2919">
        <f t="shared" si="121"/>
        <v>6.8999999999999999E-3</v>
      </c>
      <c r="P26" s="2919">
        <f t="shared" si="121"/>
        <v>8.0000000000000002E-3</v>
      </c>
      <c r="Q26" s="2919">
        <f t="shared" si="121"/>
        <v>8.8000000000000005E-3</v>
      </c>
      <c r="R26" s="2902"/>
      <c r="S26" s="2901"/>
      <c r="T26" s="2887"/>
      <c r="U26" s="2887"/>
      <c r="V26" s="2887"/>
      <c r="X26" s="2886">
        <f>ROUND(SUMPRODUCT(PRODUCT(1+N26:N$31)),4)</f>
        <v>1.0790999999999999</v>
      </c>
      <c r="Y26" s="2886">
        <f>ROUND(SUMPRODUCT(PRODUCT(1+O26:O$31)),4)</f>
        <v>1.077</v>
      </c>
      <c r="Z26" s="2886">
        <f t="shared" si="33"/>
        <v>1.077</v>
      </c>
      <c r="AA26" s="2886">
        <f>ROUND(SUMPRODUCT(PRODUCT(1+P26:P$31)),4)</f>
        <v>1.0813999999999999</v>
      </c>
      <c r="AB26" s="2886">
        <f>ROUND(SUMPRODUCT(PRODUCT(1+Q26:Q$31)),4)</f>
        <v>1.0647</v>
      </c>
      <c r="AD26" s="2887">
        <f>ROUND(AVERAGE(I26:I$31)/100,4)</f>
        <v>1.2800000000000001E-2</v>
      </c>
      <c r="AE26" s="2887">
        <f>ROUND(AVERAGE(J26:J$31)/100,4)</f>
        <v>1.2500000000000001E-2</v>
      </c>
      <c r="AF26" s="2887">
        <f t="shared" si="1"/>
        <v>1.2500000000000001E-2</v>
      </c>
      <c r="AG26" s="2887">
        <f>ROUND(AVERAGE(K26:K$31)/100,4)</f>
        <v>1.32E-2</v>
      </c>
      <c r="AH26" s="2887">
        <f>ROUND(AVERAGE(L26:L$31)/100,4)</f>
        <v>1.0500000000000001E-2</v>
      </c>
    </row>
    <row r="27" spans="1:34">
      <c r="A27" s="2898" t="s">
        <v>955</v>
      </c>
      <c r="B27" s="2899">
        <f t="shared" si="126"/>
        <v>319.87748030386797</v>
      </c>
      <c r="C27" s="2899">
        <f t="shared" si="126"/>
        <v>269.60135833173649</v>
      </c>
      <c r="D27" s="2899">
        <f t="shared" si="123"/>
        <v>269.60135833173649</v>
      </c>
      <c r="E27" s="2899">
        <f t="shared" si="127"/>
        <v>439.18089823583784</v>
      </c>
      <c r="F27" s="2899">
        <f t="shared" si="127"/>
        <v>239.23503918706311</v>
      </c>
      <c r="G27" s="3589"/>
      <c r="H27" s="2900">
        <v>1</v>
      </c>
      <c r="I27" s="2900">
        <v>0.51</v>
      </c>
      <c r="J27" s="2900">
        <v>0.54</v>
      </c>
      <c r="K27" s="2900">
        <v>0.48</v>
      </c>
      <c r="L27" s="2906">
        <v>0.93</v>
      </c>
      <c r="N27" s="2903">
        <f t="shared" si="125"/>
        <v>5.1000000000000004E-3</v>
      </c>
      <c r="O27" s="2904">
        <f t="shared" si="121"/>
        <v>5.4000000000000003E-3</v>
      </c>
      <c r="P27" s="2904">
        <f t="shared" si="121"/>
        <v>4.7999999999999996E-3</v>
      </c>
      <c r="Q27" s="2904">
        <f t="shared" si="121"/>
        <v>9.300000000000001E-3</v>
      </c>
      <c r="R27" s="2902"/>
      <c r="S27" s="2903">
        <f>B27/B28-1</f>
        <v>5.9040261127922822E-3</v>
      </c>
      <c r="T27" s="2904">
        <f>C27/C28-1</f>
        <v>5.9752176557332781E-3</v>
      </c>
      <c r="U27" s="2904">
        <f>E27/E28-1</f>
        <v>4.9906138119859556E-3</v>
      </c>
      <c r="V27" s="2904">
        <f>F27/F28-1</f>
        <v>9.4305450930933787E-3</v>
      </c>
      <c r="X27" s="2886">
        <f>ROUND(SUMPRODUCT(PRODUCT(1+N27:N$31)),4)</f>
        <v>1.0708</v>
      </c>
      <c r="Y27" s="2886">
        <f>ROUND(SUMPRODUCT(PRODUCT(1+O27:O$31)),4)</f>
        <v>1.0696000000000001</v>
      </c>
      <c r="Z27" s="2886">
        <f t="shared" si="33"/>
        <v>1.0696000000000001</v>
      </c>
      <c r="AA27" s="2886">
        <f>ROUND(SUMPRODUCT(PRODUCT(1+P27:P$31)),4)</f>
        <v>1.0728</v>
      </c>
      <c r="AB27" s="2886">
        <f>ROUND(SUMPRODUCT(PRODUCT(1+Q27:Q$31)),4)</f>
        <v>1.0553999999999999</v>
      </c>
      <c r="AD27" s="2887">
        <f>ROUND(AVERAGE(I27:I$31)/100,4)</f>
        <v>1.38E-2</v>
      </c>
      <c r="AE27" s="2887">
        <f>ROUND(AVERAGE(J27:J$31)/100,4)</f>
        <v>1.3599999999999999E-2</v>
      </c>
      <c r="AF27" s="2887">
        <f t="shared" si="1"/>
        <v>1.3599999999999999E-2</v>
      </c>
      <c r="AG27" s="2887">
        <f>ROUND(AVERAGE(K27:K$31)/100,4)</f>
        <v>1.4200000000000001E-2</v>
      </c>
      <c r="AH27" s="2887">
        <f>ROUND(AVERAGE(L27:L$31)/100,4)</f>
        <v>1.0800000000000001E-2</v>
      </c>
    </row>
    <row r="28" spans="1:34" ht="13.5" thickBot="1">
      <c r="A28" s="2898" t="s">
        <v>954</v>
      </c>
      <c r="B28" s="2927">
        <v>318</v>
      </c>
      <c r="C28" s="2927">
        <v>268</v>
      </c>
      <c r="D28" s="2927">
        <f t="shared" si="123"/>
        <v>268</v>
      </c>
      <c r="E28" s="2927">
        <v>437</v>
      </c>
      <c r="F28" s="2928">
        <v>237</v>
      </c>
      <c r="G28" s="3588">
        <v>2014</v>
      </c>
      <c r="H28" s="2922">
        <v>4</v>
      </c>
      <c r="I28" s="2922">
        <v>0.21</v>
      </c>
      <c r="J28" s="2922">
        <v>0.41</v>
      </c>
      <c r="K28" s="2922">
        <v>0.12</v>
      </c>
      <c r="L28" s="2923">
        <v>0.89</v>
      </c>
      <c r="N28" s="2901">
        <f t="shared" si="125"/>
        <v>2.0999999999999999E-3</v>
      </c>
      <c r="O28" s="2887">
        <f t="shared" si="121"/>
        <v>4.0999999999999995E-3</v>
      </c>
      <c r="P28" s="2887">
        <f t="shared" si="121"/>
        <v>1.1999999999999999E-3</v>
      </c>
      <c r="Q28" s="2887">
        <f t="shared" si="121"/>
        <v>8.8999999999999999E-3</v>
      </c>
      <c r="R28" s="2902"/>
      <c r="S28" s="2911"/>
      <c r="T28" s="2912"/>
      <c r="U28" s="2912"/>
      <c r="V28" s="2912"/>
      <c r="X28" s="2886">
        <f>ROUND(SUMPRODUCT(PRODUCT(1+N28:N$31)),4)</f>
        <v>1.0653999999999999</v>
      </c>
      <c r="Y28" s="2886">
        <f>ROUND(SUMPRODUCT(PRODUCT(1+O28:O$31)),4)</f>
        <v>1.0639000000000001</v>
      </c>
      <c r="Z28" s="2886">
        <f t="shared" si="33"/>
        <v>1.0639000000000001</v>
      </c>
      <c r="AA28" s="2886">
        <f>ROUND(SUMPRODUCT(PRODUCT(1+P28:P$31)),4)</f>
        <v>1.0677000000000001</v>
      </c>
      <c r="AB28" s="2886">
        <f>ROUND(SUMPRODUCT(PRODUCT(1+Q28:Q$31)),4)</f>
        <v>1.0456000000000001</v>
      </c>
      <c r="AD28" s="2887">
        <f>ROUND(AVERAGE(I28:I$31)/100,4)</f>
        <v>1.6E-2</v>
      </c>
      <c r="AE28" s="2887">
        <f>ROUND(AVERAGE(J28:J$31)/100,4)</f>
        <v>1.5599999999999999E-2</v>
      </c>
      <c r="AF28" s="2887">
        <f t="shared" si="1"/>
        <v>1.5599999999999999E-2</v>
      </c>
      <c r="AG28" s="2887">
        <f>ROUND(AVERAGE(K28:K$31)/100,4)</f>
        <v>1.66E-2</v>
      </c>
      <c r="AH28" s="2887">
        <f>ROUND(AVERAGE(L28:L$31)/100,4)</f>
        <v>1.12E-2</v>
      </c>
    </row>
    <row r="29" spans="1:34">
      <c r="A29" s="2898" t="s">
        <v>953</v>
      </c>
      <c r="B29" s="2899">
        <f t="shared" ref="B29:C31" si="128">B28/(1+N28)</f>
        <v>317.33359944117353</v>
      </c>
      <c r="C29" s="2899">
        <f t="shared" si="128"/>
        <v>266.90568668459315</v>
      </c>
      <c r="D29" s="2899">
        <f t="shared" si="123"/>
        <v>266.90568668459315</v>
      </c>
      <c r="E29" s="2899">
        <f t="shared" ref="E29:F31" si="129">E28/(1+P28)</f>
        <v>436.47622852576905</v>
      </c>
      <c r="F29" s="2899">
        <f t="shared" si="129"/>
        <v>234.90930716622066</v>
      </c>
      <c r="G29" s="3586"/>
      <c r="H29" s="2929">
        <v>3</v>
      </c>
      <c r="I29" s="2929">
        <v>0.83</v>
      </c>
      <c r="J29" s="2929">
        <v>1.47</v>
      </c>
      <c r="K29" s="2929">
        <v>0.65</v>
      </c>
      <c r="L29" s="2930">
        <v>0.72</v>
      </c>
      <c r="N29" s="2901">
        <f t="shared" si="125"/>
        <v>8.3000000000000001E-3</v>
      </c>
      <c r="O29" s="2887">
        <f t="shared" si="121"/>
        <v>1.47E-2</v>
      </c>
      <c r="P29" s="2887">
        <f t="shared" si="121"/>
        <v>6.5000000000000006E-3</v>
      </c>
      <c r="Q29" s="2887">
        <f t="shared" si="121"/>
        <v>7.1999999999999998E-3</v>
      </c>
      <c r="R29" s="2902"/>
      <c r="S29" s="2901"/>
      <c r="T29" s="2887"/>
      <c r="U29" s="2887"/>
      <c r="V29" s="2887"/>
      <c r="X29" s="2886">
        <f>ROUND(SUMPRODUCT(PRODUCT(1+N29:N$31)),4)</f>
        <v>1.0631999999999999</v>
      </c>
      <c r="Y29" s="2886">
        <f>ROUND(SUMPRODUCT(PRODUCT(1+O29:O$31)),4)</f>
        <v>1.0595000000000001</v>
      </c>
      <c r="Z29" s="2886">
        <f t="shared" si="33"/>
        <v>1.0595000000000001</v>
      </c>
      <c r="AA29" s="2886">
        <f>ROUND(SUMPRODUCT(PRODUCT(1+P29:P$31)),4)</f>
        <v>1.0664</v>
      </c>
      <c r="AB29" s="2886">
        <f>ROUND(SUMPRODUCT(PRODUCT(1+Q29:Q$31)),4)</f>
        <v>1.0364</v>
      </c>
      <c r="AD29" s="2887">
        <f>ROUND(AVERAGE(I29:I$31)/100,4)</f>
        <v>2.07E-2</v>
      </c>
      <c r="AE29" s="2887">
        <f>ROUND(AVERAGE(J29:J$31)/100,4)</f>
        <v>1.95E-2</v>
      </c>
      <c r="AF29" s="2887">
        <f t="shared" si="1"/>
        <v>1.95E-2</v>
      </c>
      <c r="AG29" s="2887">
        <f>ROUND(AVERAGE(K29:K$31)/100,4)</f>
        <v>2.1700000000000001E-2</v>
      </c>
      <c r="AH29" s="2887">
        <f>ROUND(AVERAGE(L29:L$31)/100,4)</f>
        <v>1.2E-2</v>
      </c>
    </row>
    <row r="30" spans="1:34" ht="13.5" thickBot="1">
      <c r="A30" s="2898" t="s">
        <v>952</v>
      </c>
      <c r="B30" s="2899">
        <f t="shared" si="128"/>
        <v>314.72141172386546</v>
      </c>
      <c r="C30" s="2899">
        <f t="shared" si="128"/>
        <v>263.03901319069001</v>
      </c>
      <c r="D30" s="2899">
        <f t="shared" si="123"/>
        <v>263.03901319069001</v>
      </c>
      <c r="E30" s="2899">
        <f t="shared" si="129"/>
        <v>433.65745506782821</v>
      </c>
      <c r="F30" s="2899">
        <f t="shared" si="129"/>
        <v>233.23005080045735</v>
      </c>
      <c r="G30" s="3586"/>
      <c r="H30" s="2922">
        <v>2</v>
      </c>
      <c r="I30" s="2922">
        <v>2.4</v>
      </c>
      <c r="J30" s="2922">
        <v>2.0299999999999998</v>
      </c>
      <c r="K30" s="2922">
        <v>2.59</v>
      </c>
      <c r="L30" s="2923">
        <v>1.52</v>
      </c>
      <c r="N30" s="2901">
        <f t="shared" si="125"/>
        <v>2.4E-2</v>
      </c>
      <c r="O30" s="2887">
        <f t="shared" si="121"/>
        <v>2.0299999999999999E-2</v>
      </c>
      <c r="P30" s="2887">
        <f t="shared" si="121"/>
        <v>2.5899999999999999E-2</v>
      </c>
      <c r="Q30" s="2887">
        <f t="shared" si="121"/>
        <v>1.52E-2</v>
      </c>
      <c r="R30" s="2902"/>
      <c r="S30" s="2901"/>
      <c r="T30" s="2887"/>
      <c r="U30" s="2887"/>
      <c r="V30" s="2887"/>
      <c r="X30" s="2886">
        <f>ROUND(SUMPRODUCT(PRODUCT(1+N30:N$31)),4)</f>
        <v>1.0544</v>
      </c>
      <c r="Y30" s="2886">
        <f>ROUND(SUMPRODUCT(PRODUCT(1+O30:O$31)),4)</f>
        <v>1.0442</v>
      </c>
      <c r="Z30" s="2886">
        <f t="shared" si="33"/>
        <v>1.0442</v>
      </c>
      <c r="AA30" s="2886">
        <f>ROUND(SUMPRODUCT(PRODUCT(1+P30:P$31)),4)</f>
        <v>1.0595000000000001</v>
      </c>
      <c r="AB30" s="2886">
        <f>ROUND(SUMPRODUCT(PRODUCT(1+Q30:Q$31)),4)</f>
        <v>1.0289999999999999</v>
      </c>
      <c r="AD30" s="2887">
        <f>ROUND(AVERAGE(I30:I$31)/100,4)</f>
        <v>2.69E-2</v>
      </c>
      <c r="AE30" s="2887">
        <f>ROUND(AVERAGE(J30:J$31)/100,4)</f>
        <v>2.1899999999999999E-2</v>
      </c>
      <c r="AF30" s="2887">
        <f t="shared" ref="AF30" si="130">AE30</f>
        <v>2.1899999999999999E-2</v>
      </c>
      <c r="AG30" s="2887">
        <f>ROUND(AVERAGE(K30:K$31)/100,4)</f>
        <v>2.9399999999999999E-2</v>
      </c>
      <c r="AH30" s="2887">
        <f>ROUND(AVERAGE(L30:L$31)/100,4)</f>
        <v>1.44E-2</v>
      </c>
    </row>
    <row r="31" spans="1:34" s="2935" customFormat="1" ht="13.5" thickBot="1">
      <c r="A31" s="2931" t="s">
        <v>951</v>
      </c>
      <c r="B31" s="2932">
        <f t="shared" si="128"/>
        <v>307.34512863658733</v>
      </c>
      <c r="C31" s="2932">
        <f t="shared" si="128"/>
        <v>257.80556031626975</v>
      </c>
      <c r="D31" s="2932">
        <f t="shared" si="123"/>
        <v>257.80556031626975</v>
      </c>
      <c r="E31" s="2932">
        <f t="shared" si="129"/>
        <v>422.70928459677179</v>
      </c>
      <c r="F31" s="2932">
        <f t="shared" si="129"/>
        <v>229.73803270336617</v>
      </c>
      <c r="G31" s="3589"/>
      <c r="H31" s="2933">
        <v>1</v>
      </c>
      <c r="I31" s="2933">
        <v>2.97</v>
      </c>
      <c r="J31" s="2933">
        <v>2.34</v>
      </c>
      <c r="K31" s="2933">
        <v>3.28</v>
      </c>
      <c r="L31" s="2934">
        <v>1.36</v>
      </c>
      <c r="N31" s="2936">
        <f t="shared" si="125"/>
        <v>2.9700000000000001E-2</v>
      </c>
      <c r="O31" s="2937">
        <f t="shared" si="121"/>
        <v>2.3399999999999997E-2</v>
      </c>
      <c r="P31" s="2937">
        <f t="shared" si="121"/>
        <v>3.2799999999999996E-2</v>
      </c>
      <c r="Q31" s="2937">
        <f t="shared" si="121"/>
        <v>1.3600000000000001E-2</v>
      </c>
      <c r="R31" s="2938"/>
      <c r="S31" s="2939">
        <f>B31/B32-1</f>
        <v>2.7910129219355539E-2</v>
      </c>
      <c r="T31" s="2940">
        <f>C31/C32-1</f>
        <v>2.3037937762975247E-2</v>
      </c>
      <c r="U31" s="2940">
        <f>E31/E32-1</f>
        <v>3.3519033243940788E-2</v>
      </c>
      <c r="V31" s="2940">
        <f>F31/F32-1</f>
        <v>1.2061818076502862E-2</v>
      </c>
      <c r="W31" s="2941" t="s">
        <v>2621</v>
      </c>
      <c r="X31" s="2942">
        <v>1</v>
      </c>
      <c r="Y31" s="2942">
        <v>1</v>
      </c>
      <c r="Z31" s="2942">
        <v>1</v>
      </c>
      <c r="AA31" s="2942">
        <v>1</v>
      </c>
      <c r="AB31" s="2942">
        <v>1</v>
      </c>
      <c r="AD31" s="2937">
        <f>I31/100</f>
        <v>2.9700000000000001E-2</v>
      </c>
      <c r="AE31" s="2937">
        <f>J31/100</f>
        <v>2.3399999999999997E-2</v>
      </c>
      <c r="AF31" s="2937">
        <f>AE31</f>
        <v>2.3399999999999997E-2</v>
      </c>
      <c r="AG31" s="2937">
        <f>K31/100</f>
        <v>3.2799999999999996E-2</v>
      </c>
      <c r="AH31" s="2937">
        <f>L31/100</f>
        <v>1.3600000000000001E-2</v>
      </c>
    </row>
    <row r="32" spans="1:34" ht="13.5" thickBot="1">
      <c r="A32" s="2898" t="s">
        <v>2564</v>
      </c>
      <c r="B32" s="2920">
        <v>299</v>
      </c>
      <c r="C32" s="2920">
        <v>252</v>
      </c>
      <c r="D32" s="2920">
        <f t="shared" si="123"/>
        <v>252</v>
      </c>
      <c r="E32" s="2920">
        <v>409</v>
      </c>
      <c r="F32" s="2921">
        <v>227</v>
      </c>
      <c r="G32" s="3593">
        <v>2013</v>
      </c>
      <c r="H32" s="2943">
        <v>4</v>
      </c>
      <c r="I32" s="2943">
        <v>1.83</v>
      </c>
      <c r="J32" s="2943">
        <v>1.68</v>
      </c>
      <c r="K32" s="2943">
        <v>1.97</v>
      </c>
      <c r="L32" s="2944">
        <v>0.87</v>
      </c>
      <c r="N32" s="2917">
        <f t="shared" si="125"/>
        <v>1.83E-2</v>
      </c>
      <c r="O32" s="2918">
        <f t="shared" si="121"/>
        <v>1.6799999999999999E-2</v>
      </c>
      <c r="P32" s="2918">
        <f t="shared" si="121"/>
        <v>1.9699999999999999E-2</v>
      </c>
      <c r="Q32" s="2918">
        <f t="shared" si="121"/>
        <v>8.6999999999999994E-3</v>
      </c>
      <c r="R32" s="2902"/>
      <c r="S32" s="2911"/>
      <c r="T32" s="2912"/>
      <c r="U32" s="2912"/>
      <c r="V32" s="2912"/>
      <c r="X32" s="2912"/>
      <c r="Y32" s="2912"/>
      <c r="Z32" s="2912"/>
    </row>
    <row r="33" spans="1:26">
      <c r="A33" s="2898" t="s">
        <v>2565</v>
      </c>
      <c r="B33" s="2899">
        <f t="shared" ref="B33:C35" si="131">B32/(1+N32)</f>
        <v>293.62663262299913</v>
      </c>
      <c r="C33" s="2899">
        <f t="shared" si="131"/>
        <v>247.83634933123525</v>
      </c>
      <c r="D33" s="2899">
        <f t="shared" si="123"/>
        <v>247.83634933123525</v>
      </c>
      <c r="E33" s="2899">
        <f t="shared" ref="E33:F35" si="132">E32/(1+P32)</f>
        <v>401.09836226341076</v>
      </c>
      <c r="F33" s="2899">
        <f t="shared" si="132"/>
        <v>225.04213343908003</v>
      </c>
      <c r="G33" s="3594"/>
      <c r="H33" s="2925">
        <v>3</v>
      </c>
      <c r="I33" s="2925">
        <v>1.86</v>
      </c>
      <c r="J33" s="2925">
        <v>1.72</v>
      </c>
      <c r="K33" s="2925">
        <v>1.98</v>
      </c>
      <c r="L33" s="2926">
        <v>0.88</v>
      </c>
      <c r="N33" s="2901">
        <f t="shared" si="125"/>
        <v>1.8600000000000002E-2</v>
      </c>
      <c r="O33" s="2919">
        <f t="shared" si="121"/>
        <v>1.72E-2</v>
      </c>
      <c r="P33" s="2919">
        <f t="shared" si="121"/>
        <v>1.9799999999999998E-2</v>
      </c>
      <c r="Q33" s="2919">
        <f t="shared" si="121"/>
        <v>8.8000000000000005E-3</v>
      </c>
      <c r="R33" s="2902"/>
      <c r="S33" s="2901"/>
      <c r="T33" s="2887"/>
      <c r="U33" s="2887"/>
      <c r="V33" s="2887"/>
    </row>
    <row r="34" spans="1:26">
      <c r="A34" s="2898" t="s">
        <v>2566</v>
      </c>
      <c r="B34" s="2899">
        <f t="shared" si="131"/>
        <v>288.2649053828776</v>
      </c>
      <c r="C34" s="2899">
        <f t="shared" si="131"/>
        <v>243.64564425013293</v>
      </c>
      <c r="D34" s="2899">
        <f t="shared" si="123"/>
        <v>243.64564425013293</v>
      </c>
      <c r="E34" s="2899">
        <f t="shared" si="132"/>
        <v>393.31080825986544</v>
      </c>
      <c r="F34" s="2899">
        <f t="shared" si="132"/>
        <v>223.07903790551154</v>
      </c>
      <c r="G34" s="3594"/>
      <c r="H34" s="2913">
        <v>2</v>
      </c>
      <c r="I34" s="2913">
        <v>2.04</v>
      </c>
      <c r="J34" s="2913">
        <v>2.33</v>
      </c>
      <c r="K34" s="2913">
        <v>2.0699999999999998</v>
      </c>
      <c r="L34" s="2914">
        <v>0.69</v>
      </c>
      <c r="N34" s="2901">
        <f t="shared" si="125"/>
        <v>2.0400000000000001E-2</v>
      </c>
      <c r="O34" s="2919">
        <f t="shared" si="121"/>
        <v>2.3300000000000001E-2</v>
      </c>
      <c r="P34" s="2919">
        <f t="shared" si="121"/>
        <v>2.07E-2</v>
      </c>
      <c r="Q34" s="2919">
        <f t="shared" si="121"/>
        <v>6.8999999999999999E-3</v>
      </c>
      <c r="R34" s="2902"/>
      <c r="S34" s="2901"/>
      <c r="T34" s="2887"/>
      <c r="U34" s="2887"/>
      <c r="V34" s="2887"/>
      <c r="X34" s="2945"/>
      <c r="Y34" s="2946"/>
    </row>
    <row r="35" spans="1:26">
      <c r="A35" s="2898" t="s">
        <v>2567</v>
      </c>
      <c r="B35" s="2899">
        <f t="shared" si="131"/>
        <v>282.50186729015837</v>
      </c>
      <c r="C35" s="2899">
        <f t="shared" si="131"/>
        <v>238.09796174155468</v>
      </c>
      <c r="D35" s="2899">
        <f t="shared" si="123"/>
        <v>238.09796174155468</v>
      </c>
      <c r="E35" s="2899">
        <f t="shared" si="132"/>
        <v>385.33438646014054</v>
      </c>
      <c r="F35" s="2899">
        <f t="shared" si="132"/>
        <v>221.55034055567739</v>
      </c>
      <c r="G35" s="3595"/>
      <c r="H35" s="2900">
        <v>1</v>
      </c>
      <c r="I35" s="2900">
        <v>1.67</v>
      </c>
      <c r="J35" s="2900">
        <v>1.31</v>
      </c>
      <c r="K35" s="2900">
        <v>1.85</v>
      </c>
      <c r="L35" s="2906">
        <v>0.96</v>
      </c>
      <c r="N35" s="2903">
        <f t="shared" si="125"/>
        <v>1.67E-2</v>
      </c>
      <c r="O35" s="2904">
        <f t="shared" si="121"/>
        <v>1.3100000000000001E-2</v>
      </c>
      <c r="P35" s="2904">
        <f t="shared" si="121"/>
        <v>1.8500000000000003E-2</v>
      </c>
      <c r="Q35" s="2904">
        <f t="shared" si="121"/>
        <v>9.5999999999999992E-3</v>
      </c>
      <c r="R35" s="2902"/>
      <c r="S35" s="2903">
        <f>B35/B36-1</f>
        <v>1.6193767230785472E-2</v>
      </c>
      <c r="T35" s="2904">
        <f>C35/C36-1</f>
        <v>1.7512657015190891E-2</v>
      </c>
      <c r="U35" s="2904">
        <f>E35/E36-1</f>
        <v>1.6713420739157048E-2</v>
      </c>
      <c r="V35" s="2904">
        <f>F35/F36-1</f>
        <v>7.0470025258062563E-3</v>
      </c>
      <c r="X35" s="2947"/>
      <c r="Y35" s="2887"/>
      <c r="Z35" s="2887"/>
    </row>
    <row r="36" spans="1:26" ht="13.5" thickBot="1">
      <c r="A36" s="2898" t="s">
        <v>2568</v>
      </c>
      <c r="B36" s="2948">
        <v>278</v>
      </c>
      <c r="C36" s="2948">
        <v>234</v>
      </c>
      <c r="D36" s="2948">
        <f t="shared" si="123"/>
        <v>234</v>
      </c>
      <c r="E36" s="2948">
        <v>379</v>
      </c>
      <c r="F36" s="2949">
        <v>220</v>
      </c>
      <c r="G36" s="3588">
        <v>2012</v>
      </c>
      <c r="H36" s="2922">
        <v>4</v>
      </c>
      <c r="I36" s="2922">
        <v>0.91</v>
      </c>
      <c r="J36" s="2922">
        <v>0.68</v>
      </c>
      <c r="K36" s="2922">
        <v>0.98</v>
      </c>
      <c r="L36" s="2923">
        <v>0.9</v>
      </c>
      <c r="N36" s="2901">
        <f t="shared" si="125"/>
        <v>9.1000000000000004E-3</v>
      </c>
      <c r="O36" s="2887">
        <f t="shared" si="125"/>
        <v>6.8000000000000005E-3</v>
      </c>
      <c r="P36" s="2887">
        <f t="shared" si="125"/>
        <v>9.7999999999999997E-3</v>
      </c>
      <c r="Q36" s="2887">
        <f t="shared" si="125"/>
        <v>9.0000000000000011E-3</v>
      </c>
      <c r="R36" s="2902"/>
      <c r="S36" s="2911"/>
      <c r="T36" s="2912"/>
      <c r="U36" s="2912"/>
      <c r="V36" s="2912"/>
      <c r="X36" s="2912"/>
      <c r="Y36" s="2912"/>
      <c r="Z36" s="2912"/>
    </row>
    <row r="37" spans="1:26">
      <c r="A37" s="2898" t="s">
        <v>2569</v>
      </c>
      <c r="B37" s="2899">
        <f>B36/(1+N36)</f>
        <v>275.49301357645425</v>
      </c>
      <c r="C37" s="2899">
        <f>C36/(1+O36)</f>
        <v>232.41954707985698</v>
      </c>
      <c r="D37" s="2899">
        <f t="shared" si="123"/>
        <v>232.41954707985698</v>
      </c>
      <c r="E37" s="2899">
        <f t="shared" ref="E37:F39" si="133">E36/(1+P36)</f>
        <v>375.32184591008121</v>
      </c>
      <c r="F37" s="2899">
        <f t="shared" si="133"/>
        <v>218.03766105054513</v>
      </c>
      <c r="G37" s="3586"/>
      <c r="H37" s="2925">
        <v>3</v>
      </c>
      <c r="I37" s="2925">
        <v>0.09</v>
      </c>
      <c r="J37" s="2925">
        <v>0.28999999999999998</v>
      </c>
      <c r="K37" s="2925">
        <v>-0.01</v>
      </c>
      <c r="L37" s="2926">
        <v>0.57999999999999996</v>
      </c>
      <c r="N37" s="2901">
        <f t="shared" si="125"/>
        <v>8.9999999999999998E-4</v>
      </c>
      <c r="O37" s="2887">
        <f t="shared" si="125"/>
        <v>2.8999999999999998E-3</v>
      </c>
      <c r="P37" s="2887">
        <f t="shared" si="125"/>
        <v>-1E-4</v>
      </c>
      <c r="Q37" s="2887">
        <f t="shared" si="125"/>
        <v>5.7999999999999996E-3</v>
      </c>
      <c r="R37" s="2902"/>
      <c r="S37" s="2901"/>
      <c r="T37" s="2887"/>
      <c r="U37" s="2887"/>
      <c r="V37" s="2887"/>
    </row>
    <row r="38" spans="1:26">
      <c r="A38" s="2898" t="s">
        <v>2570</v>
      </c>
      <c r="B38" s="2899">
        <f>B37/(1+N37)</f>
        <v>275.24529281292263</v>
      </c>
      <c r="C38" s="2899">
        <f>C37/(1+O37)</f>
        <v>231.74747938962707</v>
      </c>
      <c r="D38" s="2899">
        <f t="shared" si="123"/>
        <v>231.74747938962707</v>
      </c>
      <c r="E38" s="2899">
        <f t="shared" si="133"/>
        <v>375.35938184826603</v>
      </c>
      <c r="F38" s="2899">
        <f t="shared" si="133"/>
        <v>216.78033510692495</v>
      </c>
      <c r="G38" s="3586"/>
      <c r="H38" s="2913">
        <v>2</v>
      </c>
      <c r="I38" s="2913">
        <v>0.02</v>
      </c>
      <c r="J38" s="2913">
        <v>0.12</v>
      </c>
      <c r="K38" s="2913">
        <v>-0.08</v>
      </c>
      <c r="L38" s="2914">
        <v>1.24</v>
      </c>
      <c r="N38" s="2901">
        <f t="shared" si="125"/>
        <v>2.0000000000000001E-4</v>
      </c>
      <c r="O38" s="2887">
        <f t="shared" si="125"/>
        <v>1.1999999999999999E-3</v>
      </c>
      <c r="P38" s="2887">
        <f t="shared" si="125"/>
        <v>-8.0000000000000004E-4</v>
      </c>
      <c r="Q38" s="2887">
        <f t="shared" si="125"/>
        <v>1.24E-2</v>
      </c>
      <c r="R38" s="2902"/>
      <c r="S38" s="2901"/>
      <c r="T38" s="2887"/>
      <c r="U38" s="2887"/>
      <c r="V38" s="2887"/>
    </row>
    <row r="39" spans="1:26" ht="13.5" thickBot="1">
      <c r="A39" s="2898" t="s">
        <v>2571</v>
      </c>
      <c r="B39" s="2899">
        <f>B38/(1+N38)</f>
        <v>275.19025476197027</v>
      </c>
      <c r="C39" s="2950">
        <v>232</v>
      </c>
      <c r="D39" s="2950">
        <f t="shared" si="123"/>
        <v>232</v>
      </c>
      <c r="E39" s="2899">
        <f t="shared" si="133"/>
        <v>375.65990977608692</v>
      </c>
      <c r="F39" s="2899">
        <f t="shared" si="133"/>
        <v>214.12518283971252</v>
      </c>
      <c r="G39" s="3589"/>
      <c r="H39" s="2900">
        <v>1</v>
      </c>
      <c r="I39" s="2900">
        <v>0.02</v>
      </c>
      <c r="J39" s="2900">
        <v>0.13</v>
      </c>
      <c r="K39" s="2900">
        <v>-0.04</v>
      </c>
      <c r="L39" s="2906">
        <v>0.46</v>
      </c>
      <c r="N39" s="2901">
        <f t="shared" si="125"/>
        <v>2.0000000000000001E-4</v>
      </c>
      <c r="O39" s="2887">
        <f t="shared" si="125"/>
        <v>1.2999999999999999E-3</v>
      </c>
      <c r="P39" s="2887">
        <f t="shared" si="125"/>
        <v>-4.0000000000000002E-4</v>
      </c>
      <c r="Q39" s="2887">
        <f t="shared" si="125"/>
        <v>4.5999999999999999E-3</v>
      </c>
      <c r="R39" s="2902"/>
      <c r="S39" s="2903">
        <f>B39/B40-1</f>
        <v>6.9183549807361189E-4</v>
      </c>
      <c r="T39" s="2904">
        <f>C39/C40-1</f>
        <v>0</v>
      </c>
      <c r="U39" s="2904">
        <f>E39/E40-1</f>
        <v>-9.0449527636460303E-4</v>
      </c>
      <c r="V39" s="2904">
        <f>F39/F40-1</f>
        <v>5.2825485432512753E-3</v>
      </c>
      <c r="X39" s="2887"/>
      <c r="Y39" s="2887"/>
      <c r="Z39" s="2887"/>
    </row>
    <row r="40" spans="1:26" ht="13.5" thickBot="1">
      <c r="A40" s="2898" t="s">
        <v>2572</v>
      </c>
      <c r="B40" s="2920">
        <v>275</v>
      </c>
      <c r="C40" s="2920">
        <v>232</v>
      </c>
      <c r="D40" s="2920">
        <f t="shared" si="123"/>
        <v>232</v>
      </c>
      <c r="E40" s="2920">
        <v>376</v>
      </c>
      <c r="F40" s="2921">
        <v>213</v>
      </c>
      <c r="G40" s="3588">
        <v>2011</v>
      </c>
      <c r="H40" s="2922">
        <v>4</v>
      </c>
      <c r="I40" s="2922">
        <v>-0.2</v>
      </c>
      <c r="J40" s="2922">
        <v>0.04</v>
      </c>
      <c r="K40" s="2922">
        <v>-0.34</v>
      </c>
      <c r="L40" s="2923">
        <v>0.46</v>
      </c>
      <c r="N40" s="2917">
        <f t="shared" si="125"/>
        <v>-2E-3</v>
      </c>
      <c r="O40" s="2918">
        <f t="shared" si="125"/>
        <v>4.0000000000000002E-4</v>
      </c>
      <c r="P40" s="2918">
        <f t="shared" si="125"/>
        <v>-3.4000000000000002E-3</v>
      </c>
      <c r="Q40" s="2918">
        <f t="shared" si="125"/>
        <v>4.5999999999999999E-3</v>
      </c>
      <c r="R40" s="2902"/>
      <c r="S40" s="2911"/>
      <c r="T40" s="2912"/>
      <c r="U40" s="2912"/>
      <c r="V40" s="2912"/>
      <c r="X40" s="2912"/>
      <c r="Y40" s="2912"/>
      <c r="Z40" s="2912"/>
    </row>
    <row r="41" spans="1:26">
      <c r="A41" s="2898" t="s">
        <v>2573</v>
      </c>
      <c r="B41" s="2899">
        <f t="shared" ref="B41:C43" si="134">B40/(1+N40)</f>
        <v>275.55110220440883</v>
      </c>
      <c r="C41" s="2899">
        <f t="shared" si="134"/>
        <v>231.90723710515795</v>
      </c>
      <c r="D41" s="2899">
        <f t="shared" si="123"/>
        <v>231.90723710515795</v>
      </c>
      <c r="E41" s="2899">
        <f t="shared" ref="E41:F43" si="135">E40/(1+P40)</f>
        <v>377.28276138872161</v>
      </c>
      <c r="F41" s="2899">
        <f t="shared" si="135"/>
        <v>212.02468644236512</v>
      </c>
      <c r="G41" s="3586">
        <v>2011</v>
      </c>
      <c r="H41" s="2925">
        <v>3</v>
      </c>
      <c r="I41" s="2925">
        <v>0.13</v>
      </c>
      <c r="J41" s="2925">
        <v>0.75</v>
      </c>
      <c r="K41" s="2925">
        <v>-0.08</v>
      </c>
      <c r="L41" s="2926">
        <v>0.53</v>
      </c>
      <c r="N41" s="2901">
        <f t="shared" si="125"/>
        <v>1.2999999999999999E-3</v>
      </c>
      <c r="O41" s="2919">
        <f t="shared" si="125"/>
        <v>7.4999999999999997E-3</v>
      </c>
      <c r="P41" s="2919">
        <f t="shared" si="125"/>
        <v>-8.0000000000000004E-4</v>
      </c>
      <c r="Q41" s="2919">
        <f t="shared" si="125"/>
        <v>5.3E-3</v>
      </c>
      <c r="R41" s="2902"/>
      <c r="S41" s="2901"/>
      <c r="T41" s="2887"/>
      <c r="U41" s="2887"/>
      <c r="V41" s="2887"/>
    </row>
    <row r="42" spans="1:26">
      <c r="A42" s="2898" t="s">
        <v>2574</v>
      </c>
      <c r="B42" s="2899">
        <f t="shared" si="134"/>
        <v>275.19335084830601</v>
      </c>
      <c r="C42" s="2899">
        <f t="shared" si="134"/>
        <v>230.18088050139744</v>
      </c>
      <c r="D42" s="2899">
        <f t="shared" si="123"/>
        <v>230.18088050139744</v>
      </c>
      <c r="E42" s="2899">
        <f t="shared" si="135"/>
        <v>377.58482925212331</v>
      </c>
      <c r="F42" s="2899">
        <f t="shared" si="135"/>
        <v>210.90687997847917</v>
      </c>
      <c r="G42" s="3586">
        <v>2011</v>
      </c>
      <c r="H42" s="2913">
        <v>2</v>
      </c>
      <c r="I42" s="2913">
        <v>-0.4</v>
      </c>
      <c r="J42" s="2913">
        <v>0.17</v>
      </c>
      <c r="K42" s="2913">
        <v>-0.57999999999999996</v>
      </c>
      <c r="L42" s="2914">
        <v>-0.2</v>
      </c>
      <c r="N42" s="2901">
        <f t="shared" si="125"/>
        <v>-4.0000000000000001E-3</v>
      </c>
      <c r="O42" s="2919">
        <f t="shared" si="125"/>
        <v>1.7000000000000001E-3</v>
      </c>
      <c r="P42" s="2919">
        <f t="shared" si="125"/>
        <v>-5.7999999999999996E-3</v>
      </c>
      <c r="Q42" s="2919">
        <f t="shared" si="125"/>
        <v>-2E-3</v>
      </c>
      <c r="R42" s="2902"/>
      <c r="S42" s="2901"/>
      <c r="T42" s="2887"/>
      <c r="U42" s="2887"/>
      <c r="V42" s="2887"/>
    </row>
    <row r="43" spans="1:26" ht="13.5" thickBot="1">
      <c r="A43" s="2898" t="s">
        <v>2575</v>
      </c>
      <c r="B43" s="2899">
        <f t="shared" si="134"/>
        <v>276.29854502841971</v>
      </c>
      <c r="C43" s="2899">
        <f t="shared" si="134"/>
        <v>229.79023709833027</v>
      </c>
      <c r="D43" s="2899">
        <f t="shared" si="123"/>
        <v>229.79023709833027</v>
      </c>
      <c r="E43" s="2899">
        <f t="shared" si="135"/>
        <v>379.78759731655936</v>
      </c>
      <c r="F43" s="2899">
        <f t="shared" si="135"/>
        <v>211.32953905659235</v>
      </c>
      <c r="G43" s="3589">
        <v>2011</v>
      </c>
      <c r="H43" s="2900">
        <v>1</v>
      </c>
      <c r="I43" s="2900">
        <v>2.65</v>
      </c>
      <c r="J43" s="2900">
        <v>3.76</v>
      </c>
      <c r="K43" s="2900">
        <v>1.89</v>
      </c>
      <c r="L43" s="2906">
        <v>7.95</v>
      </c>
      <c r="N43" s="2903">
        <f t="shared" si="125"/>
        <v>2.6499999999999999E-2</v>
      </c>
      <c r="O43" s="2904">
        <f t="shared" si="125"/>
        <v>3.7599999999999995E-2</v>
      </c>
      <c r="P43" s="2904">
        <f t="shared" si="125"/>
        <v>1.89E-2</v>
      </c>
      <c r="Q43" s="2904">
        <f t="shared" si="125"/>
        <v>7.9500000000000001E-2</v>
      </c>
      <c r="R43" s="2902"/>
      <c r="S43" s="2903">
        <f>B43/B44-1</f>
        <v>2.713213765211786E-2</v>
      </c>
      <c r="T43" s="2904">
        <f>C43/C44-1</f>
        <v>3.9774828499231862E-2</v>
      </c>
      <c r="U43" s="2904">
        <f>E43/E44-1</f>
        <v>1.8197311840641772E-2</v>
      </c>
      <c r="V43" s="2904">
        <f>F43/F44-1</f>
        <v>7.8211933962205826E-2</v>
      </c>
      <c r="X43" s="2887"/>
      <c r="Y43" s="2887"/>
      <c r="Z43" s="2887"/>
    </row>
    <row r="44" spans="1:26" ht="13.5" thickBot="1">
      <c r="A44" s="2898" t="s">
        <v>2576</v>
      </c>
      <c r="B44" s="2920">
        <v>269</v>
      </c>
      <c r="C44" s="2920">
        <v>221</v>
      </c>
      <c r="D44" s="2920">
        <f t="shared" si="123"/>
        <v>221</v>
      </c>
      <c r="E44" s="2920">
        <v>373</v>
      </c>
      <c r="F44" s="2921">
        <v>196</v>
      </c>
      <c r="G44" s="3588">
        <v>2010</v>
      </c>
      <c r="H44" s="2922">
        <v>4</v>
      </c>
      <c r="I44" s="2922">
        <v>5.72</v>
      </c>
      <c r="J44" s="2922">
        <v>6.57</v>
      </c>
      <c r="K44" s="2922">
        <v>5.72</v>
      </c>
      <c r="L44" s="2923">
        <v>2.72</v>
      </c>
      <c r="N44" s="2901">
        <f t="shared" si="125"/>
        <v>5.7200000000000001E-2</v>
      </c>
      <c r="O44" s="2887">
        <f t="shared" si="125"/>
        <v>6.5700000000000008E-2</v>
      </c>
      <c r="P44" s="2887">
        <f t="shared" si="125"/>
        <v>5.7200000000000001E-2</v>
      </c>
      <c r="Q44" s="2887">
        <f t="shared" si="125"/>
        <v>2.7200000000000002E-2</v>
      </c>
      <c r="R44" s="2902"/>
      <c r="S44" s="2911"/>
      <c r="T44" s="2912"/>
      <c r="U44" s="2912"/>
      <c r="V44" s="2912"/>
      <c r="X44" s="2912"/>
      <c r="Y44" s="2912"/>
      <c r="Z44" s="2912"/>
    </row>
    <row r="45" spans="1:26">
      <c r="A45" s="2898" t="s">
        <v>2577</v>
      </c>
      <c r="B45" s="2899">
        <f t="shared" ref="B45:C47" si="136">B44/(1+N44)</f>
        <v>254.44570563753314</v>
      </c>
      <c r="C45" s="2899">
        <f t="shared" si="136"/>
        <v>207.37543398705074</v>
      </c>
      <c r="D45" s="2899">
        <f t="shared" si="123"/>
        <v>207.37543398705074</v>
      </c>
      <c r="E45" s="2899">
        <f t="shared" ref="E45:F47" si="137">E44/(1+P44)</f>
        <v>352.81876655315932</v>
      </c>
      <c r="F45" s="2899">
        <f t="shared" si="137"/>
        <v>190.809968847352</v>
      </c>
      <c r="G45" s="3586">
        <v>2010</v>
      </c>
      <c r="H45" s="2925">
        <v>3</v>
      </c>
      <c r="I45" s="2925">
        <v>4.7300000000000004</v>
      </c>
      <c r="J45" s="2925">
        <v>3.9</v>
      </c>
      <c r="K45" s="2925">
        <v>5.03</v>
      </c>
      <c r="L45" s="2926">
        <v>4.21</v>
      </c>
      <c r="N45" s="2901">
        <f t="shared" si="125"/>
        <v>4.7300000000000002E-2</v>
      </c>
      <c r="O45" s="2887">
        <f t="shared" si="125"/>
        <v>3.9E-2</v>
      </c>
      <c r="P45" s="2887">
        <f t="shared" si="125"/>
        <v>5.0300000000000004E-2</v>
      </c>
      <c r="Q45" s="2887">
        <f t="shared" si="125"/>
        <v>4.2099999999999999E-2</v>
      </c>
      <c r="R45" s="2902"/>
      <c r="S45" s="2901"/>
      <c r="T45" s="2887"/>
      <c r="U45" s="2887"/>
      <c r="V45" s="2887"/>
    </row>
    <row r="46" spans="1:26">
      <c r="A46" s="2898" t="s">
        <v>2578</v>
      </c>
      <c r="B46" s="2899">
        <f t="shared" si="136"/>
        <v>242.95398227588385</v>
      </c>
      <c r="C46" s="2899">
        <f t="shared" si="136"/>
        <v>199.59137053614126</v>
      </c>
      <c r="D46" s="2899">
        <f t="shared" si="123"/>
        <v>199.59137053614126</v>
      </c>
      <c r="E46" s="2899">
        <f t="shared" si="137"/>
        <v>335.92189522342125</v>
      </c>
      <c r="F46" s="2899">
        <f t="shared" si="137"/>
        <v>183.10139991109489</v>
      </c>
      <c r="G46" s="3586">
        <v>2010</v>
      </c>
      <c r="H46" s="2913">
        <v>2</v>
      </c>
      <c r="I46" s="2913">
        <v>4.6900000000000004</v>
      </c>
      <c r="J46" s="2913">
        <v>3.55</v>
      </c>
      <c r="K46" s="2913">
        <v>5.07</v>
      </c>
      <c r="L46" s="2914">
        <v>4.2300000000000004</v>
      </c>
      <c r="N46" s="2901">
        <f t="shared" si="125"/>
        <v>4.6900000000000004E-2</v>
      </c>
      <c r="O46" s="2887">
        <f t="shared" si="125"/>
        <v>3.5499999999999997E-2</v>
      </c>
      <c r="P46" s="2887">
        <f t="shared" si="125"/>
        <v>5.0700000000000002E-2</v>
      </c>
      <c r="Q46" s="2887">
        <f t="shared" si="125"/>
        <v>4.2300000000000004E-2</v>
      </c>
      <c r="R46" s="2902"/>
      <c r="S46" s="2901"/>
      <c r="T46" s="2887"/>
      <c r="U46" s="2887"/>
      <c r="V46" s="2887"/>
    </row>
    <row r="47" spans="1:26" ht="13.5" thickBot="1">
      <c r="A47" s="2898" t="s">
        <v>2579</v>
      </c>
      <c r="B47" s="2899">
        <f t="shared" si="136"/>
        <v>232.06990378821649</v>
      </c>
      <c r="C47" s="2899">
        <f t="shared" si="136"/>
        <v>192.74878854286936</v>
      </c>
      <c r="D47" s="2899">
        <f t="shared" si="123"/>
        <v>192.74878854286936</v>
      </c>
      <c r="E47" s="2899">
        <f t="shared" si="137"/>
        <v>319.71247284992984</v>
      </c>
      <c r="F47" s="2899">
        <f t="shared" si="137"/>
        <v>175.67053622862409</v>
      </c>
      <c r="G47" s="3589">
        <v>2010</v>
      </c>
      <c r="H47" s="2900">
        <v>1</v>
      </c>
      <c r="I47" s="2900">
        <v>5.4</v>
      </c>
      <c r="J47" s="2900">
        <v>3.2</v>
      </c>
      <c r="K47" s="2900">
        <v>6.16</v>
      </c>
      <c r="L47" s="2906">
        <v>4.51</v>
      </c>
      <c r="N47" s="2901">
        <f t="shared" si="125"/>
        <v>5.4000000000000006E-2</v>
      </c>
      <c r="O47" s="2887">
        <f t="shared" si="125"/>
        <v>3.2000000000000001E-2</v>
      </c>
      <c r="P47" s="2887">
        <f t="shared" si="125"/>
        <v>6.1600000000000002E-2</v>
      </c>
      <c r="Q47" s="2887">
        <f t="shared" si="125"/>
        <v>4.5100000000000001E-2</v>
      </c>
      <c r="R47" s="2902"/>
      <c r="S47" s="2903">
        <f>B47/B48-1</f>
        <v>5.4863199037347599E-2</v>
      </c>
      <c r="T47" s="2904">
        <f>C47/C48-1</f>
        <v>3.0742184721226584E-2</v>
      </c>
      <c r="U47" s="2904">
        <f>E47/E48-1</f>
        <v>6.2167683886810154E-2</v>
      </c>
      <c r="V47" s="2904">
        <f>F47/F48-1</f>
        <v>4.5657953741810031E-2</v>
      </c>
      <c r="X47" s="2887"/>
      <c r="Y47" s="2887"/>
      <c r="Z47" s="2887"/>
    </row>
    <row r="48" spans="1:26" ht="13.5" thickBot="1">
      <c r="A48" s="2898" t="s">
        <v>2580</v>
      </c>
      <c r="B48" s="2920">
        <v>220</v>
      </c>
      <c r="C48" s="2920">
        <v>187</v>
      </c>
      <c r="D48" s="2920">
        <f t="shared" si="123"/>
        <v>187</v>
      </c>
      <c r="E48" s="2920">
        <v>301</v>
      </c>
      <c r="F48" s="2921">
        <v>168</v>
      </c>
      <c r="G48" s="3588">
        <v>2009</v>
      </c>
      <c r="H48" s="2922">
        <v>4</v>
      </c>
      <c r="I48" s="2922">
        <v>2.2999999999999998</v>
      </c>
      <c r="J48" s="2922">
        <v>1.04</v>
      </c>
      <c r="K48" s="2922">
        <v>2.84</v>
      </c>
      <c r="L48" s="2923">
        <v>0.67</v>
      </c>
      <c r="N48" s="2917">
        <f t="shared" si="125"/>
        <v>2.3E-2</v>
      </c>
      <c r="O48" s="2918">
        <f t="shared" si="125"/>
        <v>1.04E-2</v>
      </c>
      <c r="P48" s="2918">
        <f t="shared" si="125"/>
        <v>2.8399999999999998E-2</v>
      </c>
      <c r="Q48" s="2918">
        <f t="shared" si="125"/>
        <v>6.7000000000000002E-3</v>
      </c>
      <c r="R48" s="2902"/>
      <c r="S48" s="2911"/>
      <c r="T48" s="2912"/>
      <c r="U48" s="2912"/>
      <c r="V48" s="2912"/>
      <c r="X48" s="2912"/>
      <c r="Y48" s="2912"/>
      <c r="Z48" s="2912"/>
    </row>
    <row r="49" spans="1:26">
      <c r="A49" s="2898" t="s">
        <v>2581</v>
      </c>
      <c r="B49" s="2899">
        <f t="shared" ref="B49:C51" si="138">B48/(1+N48)</f>
        <v>215.05376344086022</v>
      </c>
      <c r="C49" s="2899">
        <f t="shared" si="138"/>
        <v>185.0752177355503</v>
      </c>
      <c r="D49" s="2899">
        <f t="shared" si="123"/>
        <v>185.0752177355503</v>
      </c>
      <c r="E49" s="2899">
        <f t="shared" ref="E49:F51" si="139">E48/(1+P48)</f>
        <v>292.68767016725008</v>
      </c>
      <c r="F49" s="2899">
        <f t="shared" si="139"/>
        <v>166.88189132810174</v>
      </c>
      <c r="G49" s="3586">
        <v>2009</v>
      </c>
      <c r="H49" s="2925">
        <v>3</v>
      </c>
      <c r="I49" s="2925">
        <v>2.1</v>
      </c>
      <c r="J49" s="2925">
        <v>1.86</v>
      </c>
      <c r="K49" s="2925">
        <v>2.29</v>
      </c>
      <c r="L49" s="2926">
        <v>0.85</v>
      </c>
      <c r="N49" s="2901">
        <f t="shared" si="125"/>
        <v>2.1000000000000001E-2</v>
      </c>
      <c r="O49" s="2919">
        <f t="shared" si="125"/>
        <v>1.8600000000000002E-2</v>
      </c>
      <c r="P49" s="2919">
        <f t="shared" si="125"/>
        <v>2.29E-2</v>
      </c>
      <c r="Q49" s="2919">
        <f t="shared" si="125"/>
        <v>8.5000000000000006E-3</v>
      </c>
      <c r="R49" s="2902"/>
      <c r="S49" s="2901"/>
      <c r="T49" s="2887"/>
      <c r="U49" s="2887"/>
      <c r="V49" s="2887"/>
    </row>
    <row r="50" spans="1:26">
      <c r="A50" s="2898" t="s">
        <v>2582</v>
      </c>
      <c r="B50" s="2899">
        <f t="shared" si="138"/>
        <v>210.630522469011</v>
      </c>
      <c r="C50" s="2899">
        <f t="shared" si="138"/>
        <v>181.69567812247232</v>
      </c>
      <c r="D50" s="2899">
        <f t="shared" si="123"/>
        <v>181.69567812247232</v>
      </c>
      <c r="E50" s="2899">
        <f t="shared" si="139"/>
        <v>286.13517466736738</v>
      </c>
      <c r="F50" s="2899">
        <f t="shared" si="139"/>
        <v>165.47535084591149</v>
      </c>
      <c r="G50" s="3586">
        <v>2009</v>
      </c>
      <c r="H50" s="2913">
        <v>2</v>
      </c>
      <c r="I50" s="2913">
        <v>0.86</v>
      </c>
      <c r="J50" s="2913">
        <v>-1.1299999999999999</v>
      </c>
      <c r="K50" s="2913">
        <v>1.79</v>
      </c>
      <c r="L50" s="2914">
        <v>-2.0699999999999998</v>
      </c>
      <c r="N50" s="2901">
        <f t="shared" si="125"/>
        <v>8.6E-3</v>
      </c>
      <c r="O50" s="2919">
        <f t="shared" si="125"/>
        <v>-1.1299999999999999E-2</v>
      </c>
      <c r="P50" s="2919">
        <f t="shared" si="125"/>
        <v>1.7899999999999999E-2</v>
      </c>
      <c r="Q50" s="2919">
        <f t="shared" si="125"/>
        <v>-2.07E-2</v>
      </c>
      <c r="R50" s="2902"/>
      <c r="S50" s="2901"/>
      <c r="T50" s="2887"/>
      <c r="U50" s="2887"/>
      <c r="V50" s="2887"/>
    </row>
    <row r="51" spans="1:26">
      <c r="A51" s="2898" t="s">
        <v>2583</v>
      </c>
      <c r="B51" s="2899">
        <f t="shared" si="138"/>
        <v>208.83454537875372</v>
      </c>
      <c r="C51" s="2899">
        <f t="shared" si="138"/>
        <v>183.77230517090351</v>
      </c>
      <c r="D51" s="2899">
        <f t="shared" si="123"/>
        <v>183.77230517090351</v>
      </c>
      <c r="E51" s="2899">
        <f t="shared" si="139"/>
        <v>281.10342338870947</v>
      </c>
      <c r="F51" s="2899">
        <f t="shared" si="139"/>
        <v>168.97309388942256</v>
      </c>
      <c r="G51" s="3589">
        <v>2009</v>
      </c>
      <c r="H51" s="2900">
        <v>1</v>
      </c>
      <c r="I51" s="2900">
        <v>-2.64</v>
      </c>
      <c r="J51" s="2900">
        <v>-2.5299999999999998</v>
      </c>
      <c r="K51" s="2900">
        <v>-3.02</v>
      </c>
      <c r="L51" s="2906">
        <v>1.52</v>
      </c>
      <c r="N51" s="2903">
        <f t="shared" si="125"/>
        <v>-2.64E-2</v>
      </c>
      <c r="O51" s="2904">
        <f t="shared" si="125"/>
        <v>-2.53E-2</v>
      </c>
      <c r="P51" s="2904">
        <f t="shared" si="125"/>
        <v>-3.0200000000000001E-2</v>
      </c>
      <c r="Q51" s="2904">
        <f t="shared" si="125"/>
        <v>1.52E-2</v>
      </c>
      <c r="R51" s="2902"/>
      <c r="S51" s="2903">
        <f>B51/B52-1</f>
        <v>-2.4137638417038754E-2</v>
      </c>
      <c r="T51" s="2904">
        <f>C51/C52-1</f>
        <v>-2.248773845264096E-2</v>
      </c>
      <c r="U51" s="2904">
        <f>E51/E52-1</f>
        <v>-2.7323794502735366E-2</v>
      </c>
      <c r="V51" s="2904">
        <f>F51/F52-1</f>
        <v>1.7910204153148035E-2</v>
      </c>
      <c r="X51" s="2887"/>
      <c r="Y51" s="2887"/>
      <c r="Z51" s="2887"/>
    </row>
    <row r="52" spans="1:26" ht="13.5" thickBot="1">
      <c r="A52" s="2898" t="s">
        <v>2584</v>
      </c>
      <c r="B52" s="2948">
        <v>214</v>
      </c>
      <c r="C52" s="2948">
        <v>188</v>
      </c>
      <c r="D52" s="2948">
        <f t="shared" si="123"/>
        <v>188</v>
      </c>
      <c r="E52" s="2948">
        <v>289</v>
      </c>
      <c r="F52" s="2949">
        <v>166</v>
      </c>
      <c r="G52" s="3588">
        <v>2008</v>
      </c>
      <c r="H52" s="2922">
        <v>4</v>
      </c>
      <c r="I52" s="2922">
        <v>1.73</v>
      </c>
      <c r="J52" s="2922">
        <v>0.03</v>
      </c>
      <c r="K52" s="2922">
        <v>2.59</v>
      </c>
      <c r="L52" s="2923">
        <v>-1.66</v>
      </c>
      <c r="N52" s="2901">
        <f t="shared" si="125"/>
        <v>1.7299999999999999E-2</v>
      </c>
      <c r="O52" s="2887">
        <f t="shared" si="125"/>
        <v>2.9999999999999997E-4</v>
      </c>
      <c r="P52" s="2887">
        <f t="shared" si="125"/>
        <v>2.5899999999999999E-2</v>
      </c>
      <c r="Q52" s="2887">
        <f t="shared" si="125"/>
        <v>-1.66E-2</v>
      </c>
      <c r="R52" s="2902"/>
      <c r="S52" s="2911"/>
      <c r="T52" s="2912"/>
      <c r="U52" s="2912"/>
      <c r="V52" s="2912"/>
      <c r="X52" s="2912"/>
      <c r="Y52" s="2912"/>
      <c r="Z52" s="2912"/>
    </row>
    <row r="53" spans="1:26">
      <c r="A53" s="2898" t="s">
        <v>2585</v>
      </c>
      <c r="B53" s="2899">
        <f t="shared" ref="B53:C55" si="140">B52/(1+N52)</f>
        <v>210.36075887152265</v>
      </c>
      <c r="C53" s="2899">
        <f t="shared" si="140"/>
        <v>187.94361691492554</v>
      </c>
      <c r="D53" s="2899">
        <f t="shared" si="123"/>
        <v>187.94361691492554</v>
      </c>
      <c r="E53" s="2899">
        <f t="shared" ref="E53:F55" si="141">E52/(1+P52)</f>
        <v>281.70386977288234</v>
      </c>
      <c r="F53" s="2899">
        <f t="shared" si="141"/>
        <v>168.80211511083994</v>
      </c>
      <c r="G53" s="3586">
        <v>2008</v>
      </c>
      <c r="H53" s="2925">
        <v>3</v>
      </c>
      <c r="I53" s="2925">
        <v>1.96</v>
      </c>
      <c r="J53" s="2925">
        <v>2.36</v>
      </c>
      <c r="K53" s="2925">
        <v>1.82</v>
      </c>
      <c r="L53" s="2926">
        <v>2.2200000000000002</v>
      </c>
      <c r="N53" s="2901">
        <f t="shared" si="125"/>
        <v>1.9599999999999999E-2</v>
      </c>
      <c r="O53" s="2887">
        <f t="shared" si="125"/>
        <v>2.3599999999999999E-2</v>
      </c>
      <c r="P53" s="2887">
        <f t="shared" si="125"/>
        <v>1.8200000000000001E-2</v>
      </c>
      <c r="Q53" s="2887">
        <f t="shared" si="125"/>
        <v>2.2200000000000001E-2</v>
      </c>
      <c r="R53" s="2902"/>
      <c r="S53" s="2901"/>
      <c r="T53" s="2887"/>
      <c r="U53" s="2887"/>
      <c r="V53" s="2887"/>
    </row>
    <row r="54" spans="1:26">
      <c r="A54" s="2898" t="s">
        <v>2586</v>
      </c>
      <c r="B54" s="2899">
        <f t="shared" si="140"/>
        <v>206.31694671589116</v>
      </c>
      <c r="C54" s="2899">
        <f t="shared" si="140"/>
        <v>183.61041121036101</v>
      </c>
      <c r="D54" s="2899">
        <f t="shared" si="123"/>
        <v>183.61041121036101</v>
      </c>
      <c r="E54" s="2899">
        <f t="shared" si="141"/>
        <v>276.66850301795557</v>
      </c>
      <c r="F54" s="2899">
        <f t="shared" si="141"/>
        <v>165.1360938278614</v>
      </c>
      <c r="G54" s="3586">
        <v>2008</v>
      </c>
      <c r="H54" s="2913">
        <v>2</v>
      </c>
      <c r="I54" s="2913">
        <v>4.93</v>
      </c>
      <c r="J54" s="2913">
        <v>7.38</v>
      </c>
      <c r="K54" s="2913">
        <v>3.98</v>
      </c>
      <c r="L54" s="2914">
        <v>6.86</v>
      </c>
      <c r="N54" s="2901">
        <f t="shared" si="125"/>
        <v>4.9299999999999997E-2</v>
      </c>
      <c r="O54" s="2887">
        <f t="shared" si="125"/>
        <v>7.3800000000000004E-2</v>
      </c>
      <c r="P54" s="2887">
        <f t="shared" si="125"/>
        <v>3.9800000000000002E-2</v>
      </c>
      <c r="Q54" s="2887">
        <f t="shared" si="125"/>
        <v>6.8600000000000008E-2</v>
      </c>
      <c r="R54" s="2902"/>
      <c r="S54" s="2901"/>
      <c r="T54" s="2887"/>
      <c r="U54" s="2887"/>
      <c r="V54" s="2887"/>
    </row>
    <row r="55" spans="1:26" s="2954" customFormat="1" ht="13.5" thickBot="1">
      <c r="A55" s="2898" t="s">
        <v>2587</v>
      </c>
      <c r="B55" s="2951">
        <f t="shared" si="140"/>
        <v>196.62341248059772</v>
      </c>
      <c r="C55" s="2951">
        <f t="shared" si="140"/>
        <v>170.99125648199012</v>
      </c>
      <c r="D55" s="2951">
        <f t="shared" si="123"/>
        <v>170.99125648199012</v>
      </c>
      <c r="E55" s="2951">
        <f t="shared" si="141"/>
        <v>266.07857570490052</v>
      </c>
      <c r="F55" s="2951">
        <f t="shared" si="141"/>
        <v>154.53499328828505</v>
      </c>
      <c r="G55" s="3589">
        <v>2008</v>
      </c>
      <c r="H55" s="2952">
        <v>1</v>
      </c>
      <c r="I55" s="2952">
        <v>4.1399999999999997</v>
      </c>
      <c r="J55" s="2952">
        <v>3.45</v>
      </c>
      <c r="K55" s="2952">
        <v>4.95</v>
      </c>
      <c r="L55" s="2953">
        <v>4.82</v>
      </c>
      <c r="N55" s="2955">
        <f t="shared" si="125"/>
        <v>4.1399999999999999E-2</v>
      </c>
      <c r="O55" s="2956">
        <f t="shared" si="125"/>
        <v>3.4500000000000003E-2</v>
      </c>
      <c r="P55" s="2956">
        <f t="shared" si="125"/>
        <v>4.9500000000000002E-2</v>
      </c>
      <c r="Q55" s="2956">
        <f t="shared" si="125"/>
        <v>4.82E-2</v>
      </c>
      <c r="R55" s="2957"/>
      <c r="S55" s="2955">
        <f>B55/B56-1</f>
        <v>4.5869215322328349E-2</v>
      </c>
      <c r="T55" s="2956">
        <f>C55/C56-1</f>
        <v>3.6310645345394743E-2</v>
      </c>
      <c r="U55" s="2956">
        <f>E55/E56-1</f>
        <v>4.7553447657088688E-2</v>
      </c>
      <c r="V55" s="2956">
        <f>F55/F56-1</f>
        <v>4.4155360055980086E-2</v>
      </c>
      <c r="X55" s="2956"/>
      <c r="Y55" s="2956"/>
      <c r="Z55" s="2956"/>
    </row>
    <row r="56" spans="1:26" ht="13.5" thickBot="1">
      <c r="A56" s="2898" t="s">
        <v>2588</v>
      </c>
      <c r="B56" s="2920">
        <v>188</v>
      </c>
      <c r="C56" s="2920">
        <v>165</v>
      </c>
      <c r="D56" s="2920">
        <f t="shared" si="123"/>
        <v>165</v>
      </c>
      <c r="E56" s="2920">
        <v>254</v>
      </c>
      <c r="F56" s="2921">
        <v>148</v>
      </c>
      <c r="G56" s="3588">
        <v>2007</v>
      </c>
      <c r="H56" s="2958">
        <v>4</v>
      </c>
      <c r="I56" s="2958">
        <v>5.51</v>
      </c>
      <c r="J56" s="2958">
        <v>4.8899999999999997</v>
      </c>
      <c r="K56" s="2958">
        <v>6.43</v>
      </c>
      <c r="L56" s="2959">
        <v>5.36</v>
      </c>
      <c r="N56" s="2960">
        <f t="shared" ref="N56:O59" si="142">B56/B57-1</f>
        <v>4.1339718365245526E-2</v>
      </c>
      <c r="O56" s="2961">
        <f t="shared" si="142"/>
        <v>4.0324492593776018E-2</v>
      </c>
      <c r="P56" s="2961">
        <f t="shared" ref="P56:Q59" si="143">E56/E57-1</f>
        <v>6.1625555347990968E-2</v>
      </c>
      <c r="Q56" s="2961">
        <f t="shared" si="143"/>
        <v>4.6757569250590603E-2</v>
      </c>
      <c r="R56" s="2902"/>
      <c r="S56" s="2911"/>
      <c r="T56" s="2912"/>
      <c r="U56" s="2912"/>
      <c r="V56" s="2912"/>
      <c r="X56" s="2912"/>
      <c r="Y56" s="2912"/>
      <c r="Z56" s="2912"/>
    </row>
    <row r="57" spans="1:26">
      <c r="A57" s="2898" t="s">
        <v>2589</v>
      </c>
      <c r="B57" s="2899">
        <f t="shared" ref="B57:C59" si="144">B58+(B$56-B$60)*I57/SUM(I$56:I$59)</f>
        <v>180.5366651097618</v>
      </c>
      <c r="C57" s="2899">
        <f t="shared" si="144"/>
        <v>158.60435967302453</v>
      </c>
      <c r="D57" s="2899">
        <f t="shared" si="123"/>
        <v>158.60435967302453</v>
      </c>
      <c r="E57" s="2899">
        <f t="shared" ref="E57:F59" si="145">E58+(E$56-E$60)*K57/SUM(K$56:K$59)</f>
        <v>239.25573260785075</v>
      </c>
      <c r="F57" s="2899">
        <f t="shared" si="145"/>
        <v>141.38899430740037</v>
      </c>
      <c r="G57" s="3586">
        <v>2007</v>
      </c>
      <c r="H57" s="2925">
        <v>3</v>
      </c>
      <c r="I57" s="2925">
        <v>8.65</v>
      </c>
      <c r="J57" s="2925">
        <v>8.06</v>
      </c>
      <c r="K57" s="2925">
        <v>9.94</v>
      </c>
      <c r="L57" s="2926">
        <v>5.8</v>
      </c>
      <c r="N57" s="2960">
        <f t="shared" si="142"/>
        <v>6.940217571740015E-2</v>
      </c>
      <c r="O57" s="2961">
        <f t="shared" si="142"/>
        <v>7.1197482471153428E-2</v>
      </c>
      <c r="P57" s="2961">
        <f t="shared" si="143"/>
        <v>0.10529679922579582</v>
      </c>
      <c r="Q57" s="2961">
        <f t="shared" si="143"/>
        <v>5.3292245059512133E-2</v>
      </c>
      <c r="R57" s="2902"/>
      <c r="S57" s="2901"/>
      <c r="T57" s="2887"/>
      <c r="U57" s="2887"/>
      <c r="V57" s="2887"/>
      <c r="X57" s="2962"/>
      <c r="Y57" s="2962"/>
      <c r="Z57" s="2962"/>
    </row>
    <row r="58" spans="1:26">
      <c r="A58" s="2898" t="s">
        <v>2590</v>
      </c>
      <c r="B58" s="2899">
        <f t="shared" si="144"/>
        <v>168.82017748715555</v>
      </c>
      <c r="C58" s="2899">
        <f t="shared" si="144"/>
        <v>148.06267029972753</v>
      </c>
      <c r="D58" s="2899">
        <f t="shared" si="123"/>
        <v>148.06267029972753</v>
      </c>
      <c r="E58" s="2899">
        <f t="shared" si="145"/>
        <v>216.46288379323747</v>
      </c>
      <c r="F58" s="2899">
        <f t="shared" si="145"/>
        <v>134.23529411764704</v>
      </c>
      <c r="G58" s="3586">
        <v>2007</v>
      </c>
      <c r="H58" s="2913">
        <v>2</v>
      </c>
      <c r="I58" s="2913">
        <v>3.67</v>
      </c>
      <c r="J58" s="2913">
        <v>2.3199999999999998</v>
      </c>
      <c r="K58" s="2913">
        <v>5.0199999999999996</v>
      </c>
      <c r="L58" s="2914">
        <v>6.71</v>
      </c>
      <c r="N58" s="2960">
        <f t="shared" si="142"/>
        <v>3.0339138143848032E-2</v>
      </c>
      <c r="O58" s="2961">
        <f t="shared" si="142"/>
        <v>2.0922341588790472E-2</v>
      </c>
      <c r="P58" s="2961">
        <f t="shared" si="143"/>
        <v>5.6164796592717003E-2</v>
      </c>
      <c r="Q58" s="2961">
        <f t="shared" si="143"/>
        <v>6.5704536723887319E-2</v>
      </c>
      <c r="R58" s="2902"/>
      <c r="S58" s="2901"/>
      <c r="T58" s="2887"/>
      <c r="U58" s="2887"/>
      <c r="V58" s="2887"/>
      <c r="X58" s="2962"/>
      <c r="Y58" s="2962"/>
      <c r="Z58" s="2962"/>
    </row>
    <row r="59" spans="1:26">
      <c r="A59" s="2898" t="s">
        <v>2591</v>
      </c>
      <c r="B59" s="2899">
        <f t="shared" si="144"/>
        <v>163.84913591779542</v>
      </c>
      <c r="C59" s="2899">
        <f t="shared" si="144"/>
        <v>145.0283378746594</v>
      </c>
      <c r="D59" s="2899">
        <f t="shared" si="123"/>
        <v>145.0283378746594</v>
      </c>
      <c r="E59" s="2899">
        <f t="shared" si="145"/>
        <v>204.95180722891567</v>
      </c>
      <c r="F59" s="2899">
        <f t="shared" si="145"/>
        <v>125.95920303605313</v>
      </c>
      <c r="G59" s="3589">
        <v>2007</v>
      </c>
      <c r="H59" s="2900">
        <v>1</v>
      </c>
      <c r="I59" s="2900">
        <v>3.58</v>
      </c>
      <c r="J59" s="2900">
        <v>3.08</v>
      </c>
      <c r="K59" s="2900">
        <v>4.34</v>
      </c>
      <c r="L59" s="2906">
        <v>3.21</v>
      </c>
      <c r="N59" s="2963">
        <f t="shared" si="142"/>
        <v>3.0497710174814063E-2</v>
      </c>
      <c r="O59" s="2964">
        <f t="shared" si="142"/>
        <v>2.8569772160704998E-2</v>
      </c>
      <c r="P59" s="2964">
        <f t="shared" si="143"/>
        <v>5.1034908866234296E-2</v>
      </c>
      <c r="Q59" s="2964">
        <f t="shared" si="143"/>
        <v>3.245248390207478E-2</v>
      </c>
      <c r="R59" s="2902"/>
      <c r="S59" s="2903">
        <f>B59/B60-1</f>
        <v>3.0497710174814063E-2</v>
      </c>
      <c r="T59" s="2904">
        <f>C59/C60-1</f>
        <v>2.8569772160704998E-2</v>
      </c>
      <c r="U59" s="2904">
        <f>E59/E60-1</f>
        <v>5.1034908866234296E-2</v>
      </c>
      <c r="V59" s="2904">
        <f>F59/F60-1</f>
        <v>3.245248390207478E-2</v>
      </c>
      <c r="X59" s="2962"/>
      <c r="Y59" s="2962"/>
      <c r="Z59" s="2962"/>
    </row>
    <row r="60" spans="1:26" ht="13.5" thickBot="1">
      <c r="A60" s="2898" t="s">
        <v>2592</v>
      </c>
      <c r="B60" s="2927">
        <v>159</v>
      </c>
      <c r="C60" s="2927">
        <v>141</v>
      </c>
      <c r="D60" s="2927">
        <f t="shared" si="123"/>
        <v>141</v>
      </c>
      <c r="E60" s="2927">
        <v>195</v>
      </c>
      <c r="F60" s="2928">
        <v>122</v>
      </c>
      <c r="G60" s="3588">
        <v>2006</v>
      </c>
      <c r="H60" s="2922">
        <v>4</v>
      </c>
      <c r="I60" s="2922">
        <v>3.79</v>
      </c>
      <c r="J60" s="2922">
        <v>2.21</v>
      </c>
      <c r="K60" s="2922">
        <v>5.65</v>
      </c>
      <c r="L60" s="2923">
        <v>5.41</v>
      </c>
      <c r="N60" s="2960">
        <f t="shared" ref="N60:O63" si="146">I60/SUM(I$60:I$63)*(B$60/B$64-1)</f>
        <v>7.245466462748526E-2</v>
      </c>
      <c r="O60" s="2961">
        <f t="shared" si="146"/>
        <v>2.3237230038062766E-2</v>
      </c>
      <c r="P60" s="2961">
        <f t="shared" ref="P60:Q63" si="147">K60/SUM(K$60:K$63)*(E$60/E$64-1)</f>
        <v>0.16146893866323722</v>
      </c>
      <c r="Q60" s="2961">
        <f t="shared" si="147"/>
        <v>5.0755230321793784E-2</v>
      </c>
      <c r="R60" s="2902"/>
      <c r="S60" s="2911"/>
      <c r="T60" s="2912"/>
      <c r="U60" s="2912"/>
      <c r="V60" s="2912"/>
      <c r="X60" s="2962"/>
      <c r="Y60" s="2962"/>
      <c r="Z60" s="2962"/>
    </row>
    <row r="61" spans="1:26">
      <c r="A61" s="2898" t="s">
        <v>2593</v>
      </c>
      <c r="B61" s="2899">
        <f t="shared" ref="B61:C63" si="148">B62+(B$60-B$64)*I61/SUM(I$60:I$63)</f>
        <v>149.00125628140702</v>
      </c>
      <c r="C61" s="2899">
        <f t="shared" si="148"/>
        <v>137.95592286501378</v>
      </c>
      <c r="D61" s="2899">
        <f t="shared" si="123"/>
        <v>137.95592286501378</v>
      </c>
      <c r="E61" s="2899">
        <f t="shared" ref="E61:F63" si="149">E62+(E$60-E$64)*K61/SUM(K$60:K$63)</f>
        <v>169.97231450719823</v>
      </c>
      <c r="F61" s="2899">
        <f t="shared" si="149"/>
        <v>116.21390374331551</v>
      </c>
      <c r="G61" s="3586">
        <v>2006</v>
      </c>
      <c r="H61" s="2925">
        <v>3</v>
      </c>
      <c r="I61" s="2925">
        <v>0.92</v>
      </c>
      <c r="J61" s="2925">
        <v>1.08</v>
      </c>
      <c r="K61" s="2925">
        <v>0.73</v>
      </c>
      <c r="L61" s="2926">
        <v>1.08</v>
      </c>
      <c r="N61" s="2960">
        <f t="shared" si="146"/>
        <v>1.7587939698492462E-2</v>
      </c>
      <c r="O61" s="2961">
        <f t="shared" si="146"/>
        <v>1.1355750425840628E-2</v>
      </c>
      <c r="P61" s="2961">
        <f t="shared" si="147"/>
        <v>2.0862358446754544E-2</v>
      </c>
      <c r="Q61" s="2961">
        <f t="shared" si="147"/>
        <v>1.0132282578103011E-2</v>
      </c>
      <c r="R61" s="2902"/>
      <c r="S61" s="2901"/>
      <c r="T61" s="2887"/>
      <c r="U61" s="2887"/>
      <c r="V61" s="2887"/>
      <c r="X61" s="2962"/>
      <c r="Y61" s="2962"/>
      <c r="Z61" s="2962"/>
    </row>
    <row r="62" spans="1:26">
      <c r="A62" s="2898" t="s">
        <v>2594</v>
      </c>
      <c r="B62" s="2899">
        <f t="shared" si="148"/>
        <v>146.57412060301507</v>
      </c>
      <c r="C62" s="2899">
        <f t="shared" si="148"/>
        <v>136.46831955922866</v>
      </c>
      <c r="D62" s="2899">
        <f t="shared" si="123"/>
        <v>136.46831955922866</v>
      </c>
      <c r="E62" s="2899">
        <f t="shared" si="149"/>
        <v>166.73864894795128</v>
      </c>
      <c r="F62" s="2899">
        <f t="shared" si="149"/>
        <v>115.05882352941177</v>
      </c>
      <c r="G62" s="3586">
        <v>2006</v>
      </c>
      <c r="H62" s="2913">
        <v>2</v>
      </c>
      <c r="I62" s="2913">
        <v>0.96</v>
      </c>
      <c r="J62" s="2913">
        <v>0.25</v>
      </c>
      <c r="K62" s="2913">
        <v>1.9</v>
      </c>
      <c r="L62" s="2914">
        <v>0.95</v>
      </c>
      <c r="N62" s="2960">
        <f t="shared" si="146"/>
        <v>1.8352632728861701E-2</v>
      </c>
      <c r="O62" s="2961">
        <f t="shared" si="146"/>
        <v>2.6286459319075526E-3</v>
      </c>
      <c r="P62" s="2961">
        <f t="shared" si="147"/>
        <v>5.4299289107991269E-2</v>
      </c>
      <c r="Q62" s="2961">
        <f t="shared" si="147"/>
        <v>8.9126559714794995E-3</v>
      </c>
      <c r="R62" s="2902"/>
      <c r="S62" s="2901"/>
      <c r="T62" s="2887"/>
      <c r="U62" s="2887"/>
      <c r="V62" s="2887"/>
      <c r="X62" s="2962"/>
      <c r="Y62" s="2962"/>
      <c r="Z62" s="2962"/>
    </row>
    <row r="63" spans="1:26">
      <c r="A63" s="2898" t="s">
        <v>2595</v>
      </c>
      <c r="B63" s="2899">
        <f t="shared" si="148"/>
        <v>144.04145728643215</v>
      </c>
      <c r="C63" s="2899">
        <f t="shared" si="148"/>
        <v>136.12396694214877</v>
      </c>
      <c r="D63" s="2899">
        <f t="shared" si="123"/>
        <v>136.12396694214877</v>
      </c>
      <c r="E63" s="2899">
        <f t="shared" si="149"/>
        <v>158.32225913621264</v>
      </c>
      <c r="F63" s="2899">
        <f t="shared" si="149"/>
        <v>114.04278074866311</v>
      </c>
      <c r="G63" s="3589">
        <v>2006</v>
      </c>
      <c r="H63" s="2900">
        <v>1</v>
      </c>
      <c r="I63" s="2900">
        <v>2.29</v>
      </c>
      <c r="J63" s="2900">
        <v>3.72</v>
      </c>
      <c r="K63" s="2900">
        <v>0.75</v>
      </c>
      <c r="L63" s="2906">
        <v>0.04</v>
      </c>
      <c r="N63" s="2963">
        <f t="shared" si="146"/>
        <v>4.3778675988638847E-2</v>
      </c>
      <c r="O63" s="2964">
        <f t="shared" si="146"/>
        <v>3.9114251466784385E-2</v>
      </c>
      <c r="P63" s="2964">
        <f t="shared" si="147"/>
        <v>2.1433929911049188E-2</v>
      </c>
      <c r="Q63" s="2964">
        <f t="shared" si="147"/>
        <v>3.7526972511492629E-4</v>
      </c>
      <c r="R63" s="2902"/>
      <c r="S63" s="2903">
        <f>B63/B64-1</f>
        <v>4.3778675988638716E-2</v>
      </c>
      <c r="T63" s="2904">
        <f>C63/C64-1</f>
        <v>3.91142514667846E-2</v>
      </c>
      <c r="U63" s="2904">
        <f>E63/E64-1</f>
        <v>2.143392991104931E-2</v>
      </c>
      <c r="V63" s="2904">
        <f>F63/F64-1</f>
        <v>3.7526972511492396E-4</v>
      </c>
      <c r="X63" s="2962"/>
      <c r="Y63" s="2962"/>
      <c r="Z63" s="2962"/>
    </row>
    <row r="64" spans="1:26" ht="13.5" thickBot="1">
      <c r="A64" s="2898" t="s">
        <v>2596</v>
      </c>
      <c r="B64" s="2927">
        <v>138</v>
      </c>
      <c r="C64" s="2927">
        <v>131</v>
      </c>
      <c r="D64" s="2927">
        <f t="shared" si="123"/>
        <v>131</v>
      </c>
      <c r="E64" s="2927">
        <v>155</v>
      </c>
      <c r="F64" s="2928">
        <v>114</v>
      </c>
      <c r="G64" s="3588">
        <v>2005</v>
      </c>
      <c r="H64" s="2922">
        <v>4</v>
      </c>
      <c r="I64" s="2922">
        <v>3.29</v>
      </c>
      <c r="J64" s="2922">
        <v>1.44</v>
      </c>
      <c r="K64" s="2922">
        <v>0.66</v>
      </c>
      <c r="L64" s="2923">
        <v>7.78</v>
      </c>
      <c r="N64" s="2960">
        <f t="shared" ref="N64:O67" si="150">I64/SUM(I$64:I$67)*(B$64/B$68-1)</f>
        <v>9.9404603216919935E-2</v>
      </c>
      <c r="O64" s="2961">
        <f t="shared" si="150"/>
        <v>4.7636550760861554E-2</v>
      </c>
      <c r="P64" s="2961">
        <f t="shared" ref="P64:Q67" si="151">K64/SUM(K$64:K$67)*(E$64/E$68-1)</f>
        <v>8.3756345177664976E-2</v>
      </c>
      <c r="Q64" s="2961">
        <f t="shared" si="151"/>
        <v>5.2148766661559584E-2</v>
      </c>
      <c r="R64" s="2902"/>
      <c r="S64" s="2911"/>
      <c r="T64" s="2912"/>
      <c r="U64" s="2912"/>
      <c r="V64" s="2912"/>
      <c r="X64" s="2962"/>
      <c r="Y64" s="2962"/>
      <c r="Z64" s="2962"/>
    </row>
    <row r="65" spans="1:26">
      <c r="A65" s="2898" t="s">
        <v>2597</v>
      </c>
      <c r="B65" s="2899">
        <f t="shared" ref="B65:C67" si="152">B66+(B$64-B$68)*I65/SUM(I$64:I$67)</f>
        <v>125.9720430107527</v>
      </c>
      <c r="C65" s="2899">
        <f t="shared" si="152"/>
        <v>125.1883408071749</v>
      </c>
      <c r="D65" s="2899">
        <f t="shared" si="123"/>
        <v>125.1883408071749</v>
      </c>
      <c r="E65" s="2899">
        <f t="shared" ref="E65:F67" si="153">E66+(E$64-E$68)*K65/SUM(K$64:K$67)</f>
        <v>144.61421319796952</v>
      </c>
      <c r="F65" s="2899">
        <f t="shared" si="153"/>
        <v>108.42008196721311</v>
      </c>
      <c r="G65" s="3586">
        <v>2005</v>
      </c>
      <c r="H65" s="2925">
        <v>3</v>
      </c>
      <c r="I65" s="2925">
        <v>0.46</v>
      </c>
      <c r="J65" s="2925">
        <v>0.32</v>
      </c>
      <c r="K65" s="2925">
        <v>0.42</v>
      </c>
      <c r="L65" s="2926">
        <v>0.64</v>
      </c>
      <c r="N65" s="2960">
        <f t="shared" si="150"/>
        <v>1.3898515951301874E-2</v>
      </c>
      <c r="O65" s="2961">
        <f t="shared" si="150"/>
        <v>1.0585900169080346E-2</v>
      </c>
      <c r="P65" s="2961">
        <f t="shared" si="151"/>
        <v>5.3299492385786795E-2</v>
      </c>
      <c r="Q65" s="2961">
        <f t="shared" si="151"/>
        <v>4.2898728359123568E-3</v>
      </c>
      <c r="R65" s="2902"/>
      <c r="S65" s="2901"/>
      <c r="T65" s="2887"/>
      <c r="U65" s="2887"/>
      <c r="V65" s="2887"/>
      <c r="X65" s="2962"/>
      <c r="Y65" s="2962"/>
      <c r="Z65" s="2962"/>
    </row>
    <row r="66" spans="1:26">
      <c r="A66" s="2898" t="s">
        <v>2598</v>
      </c>
      <c r="B66" s="2899">
        <f t="shared" si="152"/>
        <v>124.29032258064517</v>
      </c>
      <c r="C66" s="2899">
        <f t="shared" si="152"/>
        <v>123.8968609865471</v>
      </c>
      <c r="D66" s="2899">
        <f t="shared" si="123"/>
        <v>123.8968609865471</v>
      </c>
      <c r="E66" s="2899">
        <f t="shared" si="153"/>
        <v>138.00507614213197</v>
      </c>
      <c r="F66" s="2899">
        <f t="shared" si="153"/>
        <v>107.96106557377048</v>
      </c>
      <c r="G66" s="3586">
        <v>2005</v>
      </c>
      <c r="H66" s="2913">
        <v>2</v>
      </c>
      <c r="I66" s="2913">
        <v>0.47</v>
      </c>
      <c r="J66" s="2913">
        <v>0.1</v>
      </c>
      <c r="K66" s="2913">
        <v>0.52</v>
      </c>
      <c r="L66" s="2914">
        <v>0.79</v>
      </c>
      <c r="N66" s="2960">
        <f t="shared" si="150"/>
        <v>1.420065760241713E-2</v>
      </c>
      <c r="O66" s="2961">
        <f t="shared" si="150"/>
        <v>3.3080938028376083E-3</v>
      </c>
      <c r="P66" s="2961">
        <f t="shared" si="151"/>
        <v>6.598984771573603E-2</v>
      </c>
      <c r="Q66" s="2961">
        <f t="shared" si="151"/>
        <v>5.2953117818293153E-3</v>
      </c>
      <c r="R66" s="2902"/>
      <c r="S66" s="2901"/>
      <c r="T66" s="2887"/>
      <c r="U66" s="2887"/>
      <c r="V66" s="2887"/>
      <c r="X66" s="2962"/>
      <c r="Y66" s="2962"/>
      <c r="Z66" s="2962"/>
    </row>
    <row r="67" spans="1:26">
      <c r="A67" s="2898" t="s">
        <v>2599</v>
      </c>
      <c r="B67" s="2899">
        <f t="shared" si="152"/>
        <v>122.57204301075269</v>
      </c>
      <c r="C67" s="2899">
        <f t="shared" si="152"/>
        <v>123.4932735426009</v>
      </c>
      <c r="D67" s="2899">
        <f t="shared" si="123"/>
        <v>123.4932735426009</v>
      </c>
      <c r="E67" s="2899">
        <f t="shared" si="153"/>
        <v>129.82233502538071</v>
      </c>
      <c r="F67" s="2899">
        <f t="shared" si="153"/>
        <v>107.39446721311475</v>
      </c>
      <c r="G67" s="3589">
        <v>2005</v>
      </c>
      <c r="H67" s="2900">
        <v>1</v>
      </c>
      <c r="I67" s="2900">
        <v>0.43</v>
      </c>
      <c r="J67" s="2900">
        <v>0.37</v>
      </c>
      <c r="K67" s="2900">
        <v>0.37</v>
      </c>
      <c r="L67" s="2906">
        <v>0.55000000000000004</v>
      </c>
      <c r="N67" s="2963">
        <f t="shared" si="150"/>
        <v>1.2992090997956099E-2</v>
      </c>
      <c r="O67" s="2964">
        <f t="shared" si="150"/>
        <v>1.2239947070499151E-2</v>
      </c>
      <c r="P67" s="2964">
        <f t="shared" si="151"/>
        <v>4.6954314720812178E-2</v>
      </c>
      <c r="Q67" s="2964">
        <f t="shared" si="151"/>
        <v>3.6866094683621815E-3</v>
      </c>
      <c r="R67" s="2902"/>
      <c r="S67" s="2903">
        <f>B67/B68-1</f>
        <v>1.2992090997956174E-2</v>
      </c>
      <c r="T67" s="2904">
        <f>C67/C68-1</f>
        <v>1.2239947070499246E-2</v>
      </c>
      <c r="U67" s="2904">
        <f>E67/E68-1</f>
        <v>4.695431472081224E-2</v>
      </c>
      <c r="V67" s="2904">
        <f>F67/F68-1</f>
        <v>3.6866094683620787E-3</v>
      </c>
      <c r="X67" s="2962"/>
      <c r="Y67" s="2962"/>
      <c r="Z67" s="2962"/>
    </row>
    <row r="68" spans="1:26" ht="13.5" thickBot="1">
      <c r="A68" s="2898" t="s">
        <v>2600</v>
      </c>
      <c r="B68" s="2948">
        <v>121</v>
      </c>
      <c r="C68" s="2948">
        <v>122</v>
      </c>
      <c r="D68" s="2948">
        <f t="shared" si="123"/>
        <v>122</v>
      </c>
      <c r="E68" s="2948">
        <v>124</v>
      </c>
      <c r="F68" s="2949">
        <v>107</v>
      </c>
      <c r="G68" s="3588">
        <v>2004</v>
      </c>
      <c r="H68" s="2922">
        <v>4</v>
      </c>
      <c r="I68" s="2922">
        <v>0.33</v>
      </c>
      <c r="J68" s="2922">
        <v>0.5</v>
      </c>
      <c r="K68" s="2922">
        <v>0.5</v>
      </c>
      <c r="L68" s="2923">
        <v>0</v>
      </c>
      <c r="N68" s="2960">
        <f t="shared" ref="N68:O71" si="154">I68/SUM(I$68:I$71)*(B$68/B$72-1)</f>
        <v>1.3391770148526898E-2</v>
      </c>
      <c r="O68" s="2961">
        <f t="shared" si="154"/>
        <v>1.063264221158958E-2</v>
      </c>
      <c r="P68" s="2961">
        <f t="shared" ref="P68:Q71" si="155">K68/SUM(K$68:K$71)*(E$68/E$72-1)</f>
        <v>2.2244466688911134E-2</v>
      </c>
      <c r="Q68" s="2961">
        <f t="shared" si="155"/>
        <v>0</v>
      </c>
      <c r="R68" s="2902"/>
      <c r="S68" s="2911"/>
      <c r="T68" s="2912"/>
      <c r="U68" s="2912"/>
      <c r="V68" s="2912"/>
      <c r="X68" s="2962"/>
      <c r="Y68" s="2962"/>
      <c r="Z68" s="2962"/>
    </row>
    <row r="69" spans="1:26">
      <c r="A69" s="2898" t="s">
        <v>2601</v>
      </c>
      <c r="B69" s="2899">
        <f t="shared" ref="B69:C71" si="156">B70+(B$68-B$72)*I69/SUM(I$68:I$71)</f>
        <v>119.51351351351352</v>
      </c>
      <c r="C69" s="2899">
        <f t="shared" si="156"/>
        <v>120.7878787878788</v>
      </c>
      <c r="D69" s="2899">
        <f t="shared" si="123"/>
        <v>120.7878787878788</v>
      </c>
      <c r="E69" s="2899">
        <f t="shared" ref="E69:F71" si="157">E70+(E$68-E$72)*K69/SUM(K$68:K$71)</f>
        <v>121.5975975975976</v>
      </c>
      <c r="F69" s="2899">
        <f t="shared" si="157"/>
        <v>107</v>
      </c>
      <c r="G69" s="3586">
        <v>2004</v>
      </c>
      <c r="H69" s="2925">
        <v>3</v>
      </c>
      <c r="I69" s="2925">
        <v>0.56000000000000005</v>
      </c>
      <c r="J69" s="2925">
        <v>0.8</v>
      </c>
      <c r="K69" s="2925">
        <v>0.83</v>
      </c>
      <c r="L69" s="2926">
        <v>0.06</v>
      </c>
      <c r="N69" s="2960">
        <f t="shared" si="154"/>
        <v>2.2725428130833527E-2</v>
      </c>
      <c r="O69" s="2961">
        <f t="shared" si="154"/>
        <v>1.7012227538543329E-2</v>
      </c>
      <c r="P69" s="2961">
        <f t="shared" si="155"/>
        <v>3.6925814703592477E-2</v>
      </c>
      <c r="Q69" s="2961">
        <f t="shared" si="155"/>
        <v>2.8846153846153744E-2</v>
      </c>
      <c r="R69" s="2902"/>
      <c r="S69" s="2901"/>
      <c r="T69" s="2887"/>
      <c r="U69" s="2887"/>
      <c r="V69" s="2887"/>
      <c r="X69" s="2962"/>
      <c r="Y69" s="2962"/>
      <c r="Z69" s="2962"/>
    </row>
    <row r="70" spans="1:26">
      <c r="A70" s="2898" t="s">
        <v>2602</v>
      </c>
      <c r="B70" s="2899">
        <f t="shared" si="156"/>
        <v>116.99099099099099</v>
      </c>
      <c r="C70" s="2899">
        <f t="shared" si="156"/>
        <v>118.84848484848486</v>
      </c>
      <c r="D70" s="2899">
        <f t="shared" si="123"/>
        <v>118.84848484848486</v>
      </c>
      <c r="E70" s="2899">
        <f t="shared" si="157"/>
        <v>117.60960960960961</v>
      </c>
      <c r="F70" s="2899">
        <f t="shared" si="157"/>
        <v>104</v>
      </c>
      <c r="G70" s="3586">
        <v>2004</v>
      </c>
      <c r="H70" s="2913">
        <v>2</v>
      </c>
      <c r="I70" s="2913">
        <v>1</v>
      </c>
      <c r="J70" s="2913">
        <v>1.5</v>
      </c>
      <c r="K70" s="2913">
        <v>1.5</v>
      </c>
      <c r="L70" s="2914">
        <v>0</v>
      </c>
      <c r="N70" s="2960">
        <f t="shared" si="154"/>
        <v>4.0581121662202721E-2</v>
      </c>
      <c r="O70" s="2961">
        <f t="shared" si="154"/>
        <v>3.1897926634768738E-2</v>
      </c>
      <c r="P70" s="2961">
        <f t="shared" si="155"/>
        <v>6.6733400066733395E-2</v>
      </c>
      <c r="Q70" s="2961">
        <f t="shared" si="155"/>
        <v>0</v>
      </c>
      <c r="R70" s="2902"/>
      <c r="S70" s="2901"/>
      <c r="T70" s="2887"/>
      <c r="U70" s="2887"/>
      <c r="V70" s="2887"/>
      <c r="X70" s="2962"/>
      <c r="Y70" s="2962"/>
      <c r="Z70" s="2962"/>
    </row>
    <row r="71" spans="1:26" s="2954" customFormat="1" ht="13.5" thickBot="1">
      <c r="A71" s="2898" t="s">
        <v>2603</v>
      </c>
      <c r="B71" s="2951">
        <f t="shared" si="156"/>
        <v>112.48648648648648</v>
      </c>
      <c r="C71" s="2951">
        <f t="shared" si="156"/>
        <v>115.21212121212122</v>
      </c>
      <c r="D71" s="2951">
        <f t="shared" si="123"/>
        <v>115.21212121212122</v>
      </c>
      <c r="E71" s="2951">
        <f t="shared" si="157"/>
        <v>110.4024024024024</v>
      </c>
      <c r="F71" s="2951">
        <f t="shared" si="157"/>
        <v>104</v>
      </c>
      <c r="G71" s="3589">
        <v>2004</v>
      </c>
      <c r="H71" s="2952">
        <v>1</v>
      </c>
      <c r="I71" s="2952">
        <v>0.33</v>
      </c>
      <c r="J71" s="2952">
        <v>0.5</v>
      </c>
      <c r="K71" s="2952">
        <v>0.5</v>
      </c>
      <c r="L71" s="2953">
        <v>0</v>
      </c>
      <c r="N71" s="2965">
        <f t="shared" si="154"/>
        <v>1.3391770148526898E-2</v>
      </c>
      <c r="O71" s="2966">
        <f t="shared" si="154"/>
        <v>1.063264221158958E-2</v>
      </c>
      <c r="P71" s="2966">
        <f t="shared" si="155"/>
        <v>2.2244466688911134E-2</v>
      </c>
      <c r="Q71" s="2966">
        <f t="shared" si="155"/>
        <v>0</v>
      </c>
      <c r="R71" s="2957"/>
      <c r="S71" s="2955">
        <f>B71/B72-1</f>
        <v>1.3391770148526883E-2</v>
      </c>
      <c r="T71" s="2956">
        <f>C71/C72-1</f>
        <v>1.063264221158966E-2</v>
      </c>
      <c r="U71" s="2956">
        <f>E71/E72-1</f>
        <v>2.2244466688911224E-2</v>
      </c>
      <c r="V71" s="2956">
        <f>F71/F72-1</f>
        <v>0</v>
      </c>
      <c r="X71" s="2967"/>
      <c r="Y71" s="2967"/>
      <c r="Z71" s="2967"/>
    </row>
    <row r="72" spans="1:26" ht="13.5" thickBot="1">
      <c r="A72" s="2898" t="s">
        <v>2604</v>
      </c>
      <c r="B72" s="2968">
        <v>111</v>
      </c>
      <c r="C72" s="2968">
        <v>114</v>
      </c>
      <c r="D72" s="2968">
        <f t="shared" si="123"/>
        <v>114</v>
      </c>
      <c r="E72" s="2968">
        <v>108</v>
      </c>
      <c r="F72" s="2969">
        <v>104</v>
      </c>
      <c r="G72" s="3588">
        <v>2003</v>
      </c>
      <c r="H72" s="2958">
        <v>4</v>
      </c>
      <c r="I72" s="2970"/>
      <c r="J72" s="2970"/>
      <c r="K72" s="2970"/>
      <c r="L72" s="2970"/>
      <c r="N72" s="2971"/>
      <c r="O72" s="2970"/>
      <c r="P72" s="2970"/>
      <c r="Q72" s="2970"/>
      <c r="S72" s="2971"/>
      <c r="T72" s="2970"/>
      <c r="U72" s="2970"/>
      <c r="V72" s="2970"/>
      <c r="X72" s="2962"/>
      <c r="Y72" s="2962"/>
      <c r="Z72" s="2962"/>
    </row>
    <row r="73" spans="1:26">
      <c r="A73" s="2898" t="s">
        <v>2605</v>
      </c>
      <c r="B73" s="2972">
        <f t="shared" ref="B73:C75" si="158">B74+(B$72-B$76)/4</f>
        <v>109.75</v>
      </c>
      <c r="C73" s="2972">
        <f t="shared" si="158"/>
        <v>112.25</v>
      </c>
      <c r="D73" s="2972">
        <f t="shared" si="123"/>
        <v>112.25</v>
      </c>
      <c r="E73" s="2972">
        <f t="shared" ref="E73:F75" si="159">E74+(E$72-E$76)/4</f>
        <v>107.25</v>
      </c>
      <c r="F73" s="2972">
        <f t="shared" si="159"/>
        <v>103.5</v>
      </c>
      <c r="G73" s="3586">
        <v>2003</v>
      </c>
      <c r="H73" s="2925">
        <v>3</v>
      </c>
      <c r="I73" s="2970"/>
      <c r="J73" s="2970"/>
      <c r="K73" s="2970"/>
      <c r="L73" s="2970"/>
      <c r="X73" s="2962"/>
      <c r="Y73" s="2962"/>
      <c r="Z73" s="2962"/>
    </row>
    <row r="74" spans="1:26">
      <c r="A74" s="2898" t="s">
        <v>2606</v>
      </c>
      <c r="B74" s="2972">
        <f t="shared" si="158"/>
        <v>108.5</v>
      </c>
      <c r="C74" s="2972">
        <f t="shared" si="158"/>
        <v>110.5</v>
      </c>
      <c r="D74" s="2972">
        <f t="shared" si="123"/>
        <v>110.5</v>
      </c>
      <c r="E74" s="2972">
        <f t="shared" si="159"/>
        <v>106.5</v>
      </c>
      <c r="F74" s="2972">
        <f t="shared" si="159"/>
        <v>103</v>
      </c>
      <c r="G74" s="3586">
        <v>2003</v>
      </c>
      <c r="H74" s="2913">
        <v>2</v>
      </c>
      <c r="I74" s="2970"/>
      <c r="J74" s="2970"/>
      <c r="K74" s="2970"/>
      <c r="L74" s="2970"/>
      <c r="X74" s="2962"/>
      <c r="Y74" s="2962"/>
      <c r="Z74" s="2962"/>
    </row>
    <row r="75" spans="1:26" ht="13.5" thickBot="1">
      <c r="A75" s="2898" t="s">
        <v>2607</v>
      </c>
      <c r="B75" s="2972">
        <f t="shared" si="158"/>
        <v>107.25</v>
      </c>
      <c r="C75" s="2972">
        <f t="shared" si="158"/>
        <v>108.75</v>
      </c>
      <c r="D75" s="2972">
        <f t="shared" si="123"/>
        <v>108.75</v>
      </c>
      <c r="E75" s="2972">
        <f t="shared" si="159"/>
        <v>105.75</v>
      </c>
      <c r="F75" s="2972">
        <f t="shared" si="159"/>
        <v>102.5</v>
      </c>
      <c r="G75" s="3589">
        <v>2003</v>
      </c>
      <c r="H75" s="2973">
        <v>1</v>
      </c>
      <c r="I75" s="2970"/>
      <c r="J75" s="2970"/>
      <c r="K75" s="2970"/>
      <c r="L75" s="2970"/>
      <c r="S75" s="2901"/>
      <c r="T75" s="2887"/>
      <c r="U75" s="2887"/>
      <c r="X75" s="2962"/>
      <c r="Y75" s="2962"/>
      <c r="Z75" s="2962"/>
    </row>
    <row r="76" spans="1:26" ht="13.5" thickBot="1">
      <c r="A76" s="2898" t="s">
        <v>2608</v>
      </c>
      <c r="B76" s="2974">
        <v>106</v>
      </c>
      <c r="C76" s="2974">
        <v>107</v>
      </c>
      <c r="D76" s="2974">
        <f t="shared" si="123"/>
        <v>107</v>
      </c>
      <c r="E76" s="2974">
        <v>105</v>
      </c>
      <c r="F76" s="2975">
        <v>102</v>
      </c>
      <c r="G76" s="3588">
        <v>2002</v>
      </c>
      <c r="H76" s="2922">
        <v>4</v>
      </c>
      <c r="I76" s="2970"/>
      <c r="J76" s="2970"/>
      <c r="K76" s="2970"/>
      <c r="L76" s="2970"/>
      <c r="N76" s="2971"/>
      <c r="O76" s="2970"/>
      <c r="P76" s="2970"/>
      <c r="Q76" s="2970"/>
      <c r="S76" s="2971"/>
      <c r="T76" s="2970"/>
      <c r="U76" s="2970"/>
      <c r="V76" s="2970"/>
      <c r="X76" s="2962"/>
      <c r="Y76" s="2962"/>
      <c r="Z76" s="2962"/>
    </row>
    <row r="77" spans="1:26">
      <c r="A77" s="2898" t="s">
        <v>2609</v>
      </c>
      <c r="B77" s="2972">
        <f t="shared" ref="B77:C79" si="160">B78+(B$76-B$80)/4</f>
        <v>105</v>
      </c>
      <c r="C77" s="2972">
        <f t="shared" si="160"/>
        <v>106</v>
      </c>
      <c r="D77" s="2972">
        <f t="shared" si="123"/>
        <v>106</v>
      </c>
      <c r="E77" s="2972">
        <f t="shared" ref="E77:F79" si="161">E78+(E$76-E$80)/4</f>
        <v>104.5</v>
      </c>
      <c r="F77" s="2972">
        <f t="shared" si="161"/>
        <v>101.5</v>
      </c>
      <c r="G77" s="3586">
        <v>2002</v>
      </c>
      <c r="H77" s="2925">
        <v>3</v>
      </c>
      <c r="I77" s="2970"/>
      <c r="J77" s="2970"/>
      <c r="K77" s="2970"/>
      <c r="L77" s="2970"/>
      <c r="X77" s="2962"/>
      <c r="Y77" s="2962"/>
      <c r="Z77" s="2962"/>
    </row>
    <row r="78" spans="1:26">
      <c r="A78" s="2898" t="s">
        <v>2610</v>
      </c>
      <c r="B78" s="2972">
        <f t="shared" si="160"/>
        <v>104</v>
      </c>
      <c r="C78" s="2972">
        <f t="shared" si="160"/>
        <v>105</v>
      </c>
      <c r="D78" s="2972">
        <f t="shared" si="123"/>
        <v>105</v>
      </c>
      <c r="E78" s="2972">
        <f t="shared" si="161"/>
        <v>104</v>
      </c>
      <c r="F78" s="2972">
        <f t="shared" si="161"/>
        <v>101</v>
      </c>
      <c r="G78" s="3586">
        <v>2002</v>
      </c>
      <c r="H78" s="2913">
        <v>2</v>
      </c>
      <c r="I78" s="2970"/>
      <c r="J78" s="2970"/>
      <c r="K78" s="2970"/>
      <c r="L78" s="2970"/>
      <c r="X78" s="2962"/>
      <c r="Y78" s="2962"/>
      <c r="Z78" s="2962"/>
    </row>
    <row r="79" spans="1:26" s="2935" customFormat="1" ht="13.5" thickBot="1">
      <c r="A79" s="2931" t="s">
        <v>2611</v>
      </c>
      <c r="B79" s="2938">
        <f t="shared" si="160"/>
        <v>103</v>
      </c>
      <c r="C79" s="2938">
        <f t="shared" si="160"/>
        <v>104</v>
      </c>
      <c r="D79" s="2938">
        <f t="shared" si="123"/>
        <v>104</v>
      </c>
      <c r="E79" s="2938">
        <f t="shared" si="161"/>
        <v>103.5</v>
      </c>
      <c r="F79" s="2938">
        <f t="shared" si="161"/>
        <v>100.5</v>
      </c>
      <c r="G79" s="3589">
        <v>2002</v>
      </c>
      <c r="H79" s="2976">
        <v>1</v>
      </c>
      <c r="I79" s="2977"/>
      <c r="J79" s="2977"/>
      <c r="K79" s="2977"/>
      <c r="L79" s="2977"/>
      <c r="N79" s="2978"/>
      <c r="S79" s="2978"/>
      <c r="X79" s="2979"/>
      <c r="Y79" s="2979"/>
      <c r="Z79" s="2979"/>
    </row>
    <row r="80" spans="1:26" ht="13.5" thickBot="1">
      <c r="B80" s="2980">
        <v>102</v>
      </c>
      <c r="C80" s="2981">
        <v>103</v>
      </c>
      <c r="D80" s="2981">
        <f t="shared" si="123"/>
        <v>103</v>
      </c>
      <c r="E80" s="2981">
        <v>103</v>
      </c>
      <c r="F80" s="2982">
        <v>100</v>
      </c>
      <c r="I80" s="2970"/>
      <c r="J80" s="2970"/>
      <c r="K80" s="2970"/>
      <c r="L80" s="2970"/>
      <c r="N80" s="2971"/>
      <c r="O80" s="2970"/>
      <c r="P80" s="2970"/>
      <c r="Q80" s="2970"/>
      <c r="S80" s="2971"/>
      <c r="T80" s="2970"/>
      <c r="U80" s="2970"/>
      <c r="V80" s="2970"/>
      <c r="X80" s="2912"/>
      <c r="Y80" s="2912"/>
      <c r="Z80" s="2912"/>
    </row>
    <row r="82" spans="1:22" s="2984" customFormat="1">
      <c r="A82" s="2983" t="s">
        <v>2612</v>
      </c>
      <c r="G82" s="2985"/>
      <c r="N82" s="2985"/>
      <c r="S82" s="2985"/>
    </row>
    <row r="83" spans="1:22" s="2984" customFormat="1">
      <c r="A83" s="2984" t="s">
        <v>2613</v>
      </c>
      <c r="G83" s="2985"/>
      <c r="N83" s="2985"/>
      <c r="S83" s="2985"/>
    </row>
    <row r="84" spans="1:22" s="2984" customFormat="1">
      <c r="A84" s="2984" t="s">
        <v>2614</v>
      </c>
      <c r="G84" s="2985"/>
      <c r="I84" s="2986"/>
      <c r="J84" s="2986"/>
      <c r="K84" s="2986"/>
      <c r="L84" s="2986"/>
      <c r="N84" s="2987"/>
      <c r="O84" s="2986"/>
      <c r="P84" s="2986"/>
      <c r="Q84" s="2986"/>
      <c r="S84" s="2987"/>
      <c r="T84" s="2986"/>
      <c r="U84" s="2986"/>
      <c r="V84" s="2986"/>
    </row>
    <row r="85" spans="1:22" s="2984" customFormat="1">
      <c r="A85" s="2984" t="s">
        <v>2615</v>
      </c>
      <c r="G85" s="2985"/>
      <c r="N85" s="2985"/>
      <c r="S85" s="2985"/>
    </row>
    <row r="92" spans="1:22" ht="13.5" thickBot="1"/>
    <row r="93" spans="1:22">
      <c r="G93" s="2886"/>
      <c r="S93" s="2988" t="s">
        <v>2616</v>
      </c>
      <c r="T93" s="2989" t="s">
        <v>2617</v>
      </c>
      <c r="U93" s="2989" t="s">
        <v>2618</v>
      </c>
      <c r="V93" s="2989" t="s">
        <v>2619</v>
      </c>
    </row>
    <row r="94" spans="1:22">
      <c r="G94" s="2886"/>
      <c r="N94" s="2911"/>
      <c r="O94" s="2912"/>
      <c r="P94" s="2912"/>
      <c r="Q94" s="2912"/>
      <c r="S94" s="2990">
        <v>2006</v>
      </c>
      <c r="T94" s="2991">
        <v>15.1</v>
      </c>
      <c r="U94" s="2991">
        <v>7.43</v>
      </c>
      <c r="V94" s="2991">
        <v>26.26</v>
      </c>
    </row>
    <row r="95" spans="1:22">
      <c r="G95" s="2886"/>
      <c r="N95" s="2911"/>
      <c r="O95" s="2912"/>
      <c r="P95" s="2912"/>
      <c r="Q95" s="2912"/>
      <c r="S95" s="2992">
        <v>2005</v>
      </c>
      <c r="T95" s="2993">
        <v>13.9</v>
      </c>
      <c r="U95" s="2993">
        <v>7.49</v>
      </c>
      <c r="V95" s="2993">
        <v>24.92</v>
      </c>
    </row>
    <row r="96" spans="1:22">
      <c r="G96" s="2886"/>
      <c r="N96" s="2911"/>
      <c r="O96" s="2912"/>
      <c r="P96" s="2912"/>
      <c r="Q96" s="2912"/>
      <c r="S96" s="2990">
        <v>2004</v>
      </c>
      <c r="T96" s="2991">
        <v>9.48</v>
      </c>
      <c r="U96" s="2991">
        <v>7.2</v>
      </c>
      <c r="V96" s="2991">
        <v>14.68</v>
      </c>
    </row>
    <row r="97" spans="7:22">
      <c r="G97" s="2886"/>
      <c r="N97" s="2911"/>
      <c r="O97" s="2912"/>
      <c r="P97" s="2912"/>
      <c r="Q97" s="2912"/>
      <c r="S97" s="2992">
        <v>2003</v>
      </c>
      <c r="T97" s="2993">
        <v>4.5</v>
      </c>
      <c r="U97" s="2993">
        <v>6.12</v>
      </c>
      <c r="V97" s="2993">
        <v>2.34</v>
      </c>
    </row>
    <row r="98" spans="7:22" ht="13.5" thickBot="1">
      <c r="G98" s="2886"/>
      <c r="N98" s="2911"/>
      <c r="O98" s="2912"/>
      <c r="P98" s="2912"/>
      <c r="Q98" s="2912"/>
      <c r="S98" s="2994">
        <v>2002</v>
      </c>
      <c r="T98" s="2995">
        <v>3.59</v>
      </c>
      <c r="U98" s="2995">
        <v>4.54</v>
      </c>
      <c r="V98" s="2995">
        <v>2.5499999999999998</v>
      </c>
    </row>
    <row r="99" spans="7:22">
      <c r="G99" s="2886"/>
      <c r="N99" s="2911"/>
      <c r="O99" s="2912"/>
      <c r="P99" s="2912"/>
      <c r="Q99" s="2912"/>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c r="S109" s="2886"/>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sheetData>
  <sheetProtection password="CEE9" sheet="1" objects="1" scenarios="1" formatCells="0" formatColumns="0" formatRows="0"/>
  <mergeCells count="23">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 ref="G16:G19"/>
    <mergeCell ref="G12:G15"/>
    <mergeCell ref="G40:G43"/>
    <mergeCell ref="G44:G47"/>
    <mergeCell ref="G48:G51"/>
    <mergeCell ref="G20:G23"/>
    <mergeCell ref="G24:G27"/>
  </mergeCells>
  <phoneticPr fontId="229"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2916</v>
      </c>
      <c r="B1" s="3246"/>
      <c r="C1" s="3246"/>
      <c r="D1" s="3246"/>
      <c r="E1" s="3246"/>
      <c r="F1" s="3246"/>
      <c r="G1" s="3247"/>
      <c r="H1" s="3247"/>
      <c r="I1" s="3247"/>
      <c r="J1" s="3247"/>
      <c r="K1" s="3247"/>
      <c r="L1" s="3247"/>
      <c r="M1" s="3247"/>
      <c r="N1" s="3247"/>
    </row>
    <row r="2" spans="1:14" ht="14.25">
      <c r="A2" s="3252" t="s">
        <v>2911</v>
      </c>
      <c r="B2" s="3257">
        <f ca="1">SUMIF(B7:B14,"&lt;&gt;#ref!",B7:B14)</f>
        <v>0</v>
      </c>
      <c r="C2" s="3252" t="s">
        <v>2912</v>
      </c>
      <c r="D2" s="3249"/>
      <c r="E2" s="3249"/>
      <c r="F2" s="3249"/>
      <c r="G2" s="3247"/>
      <c r="H2" s="3247"/>
      <c r="I2" s="3247"/>
      <c r="J2" s="3247"/>
      <c r="K2" s="3247"/>
      <c r="L2" s="3247"/>
      <c r="M2" s="3247"/>
      <c r="N2" s="3247"/>
    </row>
    <row r="3" spans="1:14" ht="14.25">
      <c r="A3" s="3252" t="s">
        <v>2941</v>
      </c>
      <c r="B3" s="3257" t="e">
        <f ca="1">ROUND(B2*10000/E3,0)</f>
        <v>#DIV/0!</v>
      </c>
      <c r="C3" s="3252" t="s">
        <v>2067</v>
      </c>
      <c r="D3" s="3252" t="s">
        <v>2913</v>
      </c>
      <c r="E3" s="3250">
        <f ca="1">SUMIF(E7:E14,"&lt;&gt;#ref!",E7:E14)</f>
        <v>0</v>
      </c>
      <c r="F3" s="3249"/>
      <c r="G3" s="3247"/>
      <c r="H3" s="3247"/>
      <c r="I3" s="3247"/>
      <c r="J3" s="3247"/>
      <c r="K3" s="3247"/>
      <c r="L3" s="3247"/>
      <c r="M3" s="3247"/>
      <c r="N3" s="3247"/>
    </row>
    <row r="4" spans="1:14" ht="14.25">
      <c r="A4" s="3252" t="s">
        <v>2919</v>
      </c>
      <c r="B4" s="3257" t="e">
        <f ca="1">ROUND(B2*10000/E4,0)</f>
        <v>#DIV/0!</v>
      </c>
      <c r="C4" s="3252" t="s">
        <v>2067</v>
      </c>
      <c r="D4" s="3252" t="s">
        <v>2920</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2917</v>
      </c>
      <c r="B6" s="3252" t="s">
        <v>2914</v>
      </c>
      <c r="C6" s="2790"/>
      <c r="D6" s="3249"/>
      <c r="E6" s="3252" t="s">
        <v>2915</v>
      </c>
      <c r="F6" s="3252" t="s">
        <v>2918</v>
      </c>
      <c r="G6" s="3247"/>
      <c r="H6" s="3247"/>
      <c r="I6" s="3247"/>
      <c r="J6" s="3247"/>
      <c r="K6" s="3247"/>
      <c r="L6" s="3247"/>
      <c r="M6" s="3247"/>
      <c r="N6" s="3247"/>
    </row>
    <row r="7" spans="1:14" ht="14.25">
      <c r="A7" s="3255"/>
      <c r="B7" s="3257" t="e">
        <f ca="1">SUMIF(INDIRECT("'"&amp;A7&amp;"'"&amp;"!A:A"),"总价",INDIRECT("'"&amp;A7&amp;"'"&amp;"!B:B"))</f>
        <v>#REF!</v>
      </c>
      <c r="C7" s="3252" t="s">
        <v>2912</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2912</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2912</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2912</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2912</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2912</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2912</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2912</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23300平方米。根据《建设工程规划许可证》[]、《出让合同》[]，估价对象规划建筑面积为23300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2015</v>
      </c>
    </row>
    <row r="11" spans="1:4" ht="18.75">
      <c r="A11" s="1695" t="str">
        <f>TEXT(项目基本情况!D3,"yyyy年m月d日;;")&amp;IF(项目基本情况!B3=项目基本情况!D3,"（评估专业人员勘察现场之日）","")</f>
        <v>2020年8月28日</v>
      </c>
    </row>
    <row r="12" spans="1:4" ht="18.75">
      <c r="A12" s="1712" t="s">
        <v>2014</v>
      </c>
    </row>
    <row r="13" spans="1:4" ht="18.75">
      <c r="A13" s="1706" t="s">
        <v>2909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根据《国有土地使用证》[]，估价对象（分摊）出让国有建设用地使用权面积为23300平方米。根据《建设工程规划许可证》[]、《出让合同》[]，估价对象规划建筑面积为23300平方米。</v>
      </c>
    </row>
    <row r="21" spans="1:1" ht="18.75">
      <c r="A21" s="1706" t="s">
        <v>2063</v>
      </c>
    </row>
    <row r="22" spans="1:1" ht="18.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6" t="str">
        <f>IF(项目基本情况!B16="出让","本次评估设定估价对象剩余土地使用年限为"&amp;项目基本情况!D20&amp;"。","")</f>
        <v/>
      </c>
    </row>
    <row r="24" spans="1:1" ht="18.75">
      <c r="A24" s="1706" t="s">
        <v>2064</v>
      </c>
    </row>
    <row r="25" spans="1:1" ht="75">
      <c r="A25" s="1706" t="str">
        <f>定义!C53</f>
        <v>本次估价的“划拨国有建设用地使用权价格”是指在估价对象土地所有权为国家所有，使用权性质为划拨，在公开市场条件下，于估价期日2020年8月28日在规划利用条件下、设定土地开发程度为红线外“七通”、宗地内场地，设定用途为的划拨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-1</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597" t="s">
        <v>2445</v>
      </c>
      <c r="C8" s="1740">
        <f ca="1">ROUND(F8*F10*F9*(1-F11)/10000,0)</f>
        <v>0</v>
      </c>
      <c r="D8" s="1737" t="s">
        <v>2516</v>
      </c>
      <c r="E8" s="61" t="s">
        <v>631</v>
      </c>
      <c r="F8" s="775">
        <f ca="1">INDIRECT("'数据-取费表'!u"&amp;$G$1)</f>
        <v>0</v>
      </c>
      <c r="G8" s="1527"/>
      <c r="H8" s="2357" t="s">
        <v>1815</v>
      </c>
      <c r="I8" s="3597" t="s">
        <v>2445</v>
      </c>
      <c r="J8" s="773">
        <f ca="1">ROUND(M8*M10*M9*(1-M11)/10000,0)</f>
        <v>0</v>
      </c>
      <c r="K8" s="339" t="s">
        <v>2516</v>
      </c>
      <c r="L8" s="774" t="s">
        <v>1729</v>
      </c>
      <c r="M8" s="775">
        <f ca="1">INDIRECT("'数据-取费表'!z"&amp;$G$1)</f>
        <v>0</v>
      </c>
    </row>
    <row r="9" spans="1:25" ht="18" customHeight="1">
      <c r="A9" s="2353"/>
      <c r="B9" s="3598"/>
      <c r="C9" s="1741"/>
      <c r="D9" s="1738"/>
      <c r="E9" s="61" t="s">
        <v>632</v>
      </c>
      <c r="F9" s="775">
        <f ca="1">IF(INDIRECT("'数据-取费表'!ah"&amp;$G$1)="",INDIRECT("'数据-取费表'!k"&amp;$G$1),INDIRECT("'数据-取费表'!ah"&amp;$G$1))</f>
        <v>0</v>
      </c>
      <c r="G9" s="1527"/>
      <c r="H9" s="2342"/>
      <c r="I9" s="3598"/>
      <c r="J9" s="778"/>
      <c r="K9" s="779"/>
      <c r="L9" s="774" t="s">
        <v>1730</v>
      </c>
      <c r="M9" s="775">
        <f ca="1">F9</f>
        <v>0</v>
      </c>
    </row>
    <row r="10" spans="1:25" ht="18" customHeight="1">
      <c r="A10" s="2346"/>
      <c r="B10" s="3599"/>
      <c r="C10" s="1741"/>
      <c r="D10" s="1738"/>
      <c r="E10" s="61" t="s">
        <v>633</v>
      </c>
      <c r="F10" s="775">
        <f ca="1">INDIRECT("'数据-取费表'!ai"&amp;$G$1)</f>
        <v>0</v>
      </c>
      <c r="G10" s="1527"/>
      <c r="H10" s="2342"/>
      <c r="I10" s="3599"/>
      <c r="J10" s="778"/>
      <c r="K10" s="779"/>
      <c r="L10" s="774" t="s">
        <v>1731</v>
      </c>
      <c r="M10" s="775">
        <f ca="1">INDIRECT("'数据-取费表'!ai"&amp;$G$1)</f>
        <v>0</v>
      </c>
    </row>
    <row r="11" spans="1:25" ht="18" customHeight="1">
      <c r="A11" s="776"/>
      <c r="B11" s="3600"/>
      <c r="C11" s="1741"/>
      <c r="D11" s="1738"/>
      <c r="E11" s="61" t="s">
        <v>634</v>
      </c>
      <c r="F11" s="784">
        <f ca="1">INDIRECT("'数据-取费表'!w"&amp;$G$1)</f>
        <v>0</v>
      </c>
      <c r="G11" s="1527"/>
      <c r="H11" s="2358"/>
      <c r="I11" s="3599"/>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2938</v>
      </c>
      <c r="E12" s="2351" t="s">
        <v>2446</v>
      </c>
      <c r="F12" s="2465"/>
      <c r="G12" s="1527"/>
      <c r="H12" s="2414" t="s">
        <v>1816</v>
      </c>
      <c r="I12" s="2419" t="s">
        <v>2441</v>
      </c>
      <c r="J12" s="773">
        <f ca="1">ROUND(IF(M12="押一",J8/12*M13,IF(M12="押二",J8/12*2*M13,IF(M12="押三",J8/12*3*M13,J13*M13))),0)</f>
        <v>0</v>
      </c>
      <c r="K12" s="2354" t="s">
        <v>2938</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19">
        <f ca="1">ROUND(IF(AND(项目基本情况!B11="自然人",项目基本情况!B10="北京市"),J8*M19/(1+'数据-取费表'!F30),J20+J21+J22),0)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0.01</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0.01</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(建造成本+管理费用)×利率×(建设周期÷2)</v>
      </c>
      <c r="E25" s="774" t="s">
        <v>672</v>
      </c>
      <c r="F25" s="632">
        <f>'数据-取费表'!B20</f>
        <v>1</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2.0000000000000001E-4</v>
      </c>
      <c r="D26" s="2423" t="str">
        <f>IF(F25&lt;=1,"销售费用×利率×(建设周期÷2)","销售费用×((1+利率)^(建设周期÷2)-1)")</f>
        <v>销售费用×利率×(建设周期÷2)</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ROUND(IF(AND(项目基本情况!B11="自然人",项目基本情况!B10="北京市"),C8*F33/(1+'数据-取费表'!F30),C34+C35+C36),0)</f>
        <v>0</v>
      </c>
      <c r="D33" s="1893" t="s">
        <v>651</v>
      </c>
      <c r="E33" s="1891" t="s">
        <v>684</v>
      </c>
      <c r="F33" s="3018" t="str">
        <f>IF(项目基本情况!B11="企业","——",IF('数据-取费表'!B10="住宅",IF(F8*F9*F10/12/(1+'数据-取费表'!F30)&gt;100000,4%,2.5%),IF(F8*F9*F10/12/(1+'数据-取费表'!F30)&gt;100000,12%,7%)))</f>
        <v>——</v>
      </c>
      <c r="G33" s="1945"/>
      <c r="H33" s="3258" t="s">
        <v>2993</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3596"/>
      <c r="J36" s="1962"/>
      <c r="K36" s="1963"/>
      <c r="L36" s="1962"/>
      <c r="M36" s="1962"/>
    </row>
    <row r="37" spans="1:18" ht="18" customHeight="1">
      <c r="A37" s="804"/>
      <c r="B37" s="783"/>
      <c r="C37" s="69"/>
      <c r="D37" s="805"/>
      <c r="E37" s="774" t="s">
        <v>668</v>
      </c>
      <c r="F37" s="775">
        <f ca="1">INDIRECT("'数据-取费表'!r"&amp;$G$1)</f>
        <v>0</v>
      </c>
      <c r="G37" s="1945"/>
      <c r="H37" s="1948"/>
      <c r="I37" s="3596"/>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2927</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2930</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2942</v>
      </c>
      <c r="J54" s="2858">
        <f ca="1">IF(M48="住宅",MAX(J52,L49-'数据-取费表'!B20),MIN(J52,L49-'数据-取费表'!B20))</f>
        <v>-1</v>
      </c>
      <c r="K54" s="3601"/>
      <c r="L54" s="3602"/>
      <c r="O54" s="2256" t="s">
        <v>2373</v>
      </c>
      <c r="P54" s="2254" t="s">
        <v>2374</v>
      </c>
      <c r="Q54" s="2255">
        <f ca="1">J54</f>
        <v>-1</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2910</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K56">
    <cfRule type="expression" dxfId="118" priority="3">
      <formula>$L$48&gt;$J$51</formula>
    </cfRule>
  </conditionalFormatting>
  <conditionalFormatting sqref="I56">
    <cfRule type="expression" dxfId="117" priority="4">
      <formula>$J$51&gt;$L$48</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Normal="60" zoomScaleSheetLayoutView="100" workbookViewId="0">
      <selection activeCell="J56" sqref="J56"/>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3012</v>
      </c>
      <c r="D1" s="2798" t="s">
        <v>943</v>
      </c>
      <c r="E1" s="2242" t="s">
        <v>2359</v>
      </c>
      <c r="F1" s="2243">
        <f ca="1">J53</f>
        <v>50</v>
      </c>
      <c r="G1" s="3259">
        <f>MATCH(C1,'数据-取费表'!A6:A16,0)+5</f>
        <v>6</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27801</v>
      </c>
      <c r="C2" s="3264"/>
      <c r="D2" s="3265"/>
      <c r="E2" s="3266"/>
      <c r="F2" s="3266"/>
      <c r="G2" s="3260"/>
      <c r="H2" s="1940"/>
      <c r="I2" s="1940"/>
      <c r="J2" s="1940"/>
      <c r="K2" s="1941"/>
      <c r="L2" s="1940"/>
      <c r="M2" s="1940"/>
    </row>
    <row r="3" spans="1:33" ht="18" customHeight="1" thickBot="1">
      <c r="A3" s="822" t="s">
        <v>1718</v>
      </c>
      <c r="B3" s="823">
        <f ca="1">IF(ISERROR(B2*10000/F43),0,ROUND(B2*10000/F43,0))</f>
        <v>11932</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1085</v>
      </c>
      <c r="D5" s="2349" t="s">
        <v>2443</v>
      </c>
      <c r="E5" s="2343"/>
      <c r="F5" s="2344"/>
      <c r="G5" s="1945"/>
      <c r="H5" s="771">
        <v>1</v>
      </c>
      <c r="I5" s="772" t="s">
        <v>2440</v>
      </c>
      <c r="J5" s="55">
        <f ca="1">J6+J10+J12</f>
        <v>0</v>
      </c>
      <c r="K5" s="2349" t="s">
        <v>2443</v>
      </c>
      <c r="L5" s="2343"/>
      <c r="M5" s="2344"/>
    </row>
    <row r="6" spans="1:33" ht="18" customHeight="1">
      <c r="A6" s="1745" t="s">
        <v>1815</v>
      </c>
      <c r="B6" s="3597" t="s">
        <v>2445</v>
      </c>
      <c r="C6" s="773">
        <f ca="1">ROUND(F6*F8*F7*(1-F9)/10000,0)</f>
        <v>1084</v>
      </c>
      <c r="D6" s="2350" t="s">
        <v>2444</v>
      </c>
      <c r="E6" s="774" t="s">
        <v>1729</v>
      </c>
      <c r="F6" s="775">
        <f ca="1">INDIRECT("'数据-取费表'!u"&amp;$G$1)</f>
        <v>1.5</v>
      </c>
      <c r="G6" s="1945"/>
      <c r="H6" s="2357" t="s">
        <v>2450</v>
      </c>
      <c r="I6" s="3597" t="s">
        <v>2445</v>
      </c>
      <c r="J6" s="773">
        <f ca="1">ROUND(M6*M8*M7*(1-M9)/10000,0)</f>
        <v>0</v>
      </c>
      <c r="K6" s="339" t="s">
        <v>1728</v>
      </c>
      <c r="L6" s="774" t="s">
        <v>1729</v>
      </c>
      <c r="M6" s="775">
        <f ca="1">INDIRECT("'数据-取费表'!z"&amp;$G$1)</f>
        <v>0</v>
      </c>
    </row>
    <row r="7" spans="1:33" ht="18" customHeight="1">
      <c r="A7" s="2353"/>
      <c r="B7" s="3598"/>
      <c r="C7" s="778"/>
      <c r="D7" s="779"/>
      <c r="E7" s="774" t="s">
        <v>1730</v>
      </c>
      <c r="F7" s="775">
        <f ca="1">IF(INDIRECT("'数据-取费表'!ah"&amp;$G$1)="",INDIRECT("'数据-取费表'!k"&amp;$G$1),INDIRECT("'数据-取费表'!ah"&amp;$G$1))</f>
        <v>23300</v>
      </c>
      <c r="G7" s="1945"/>
      <c r="H7" s="2342"/>
      <c r="I7" s="3598"/>
      <c r="J7" s="778"/>
      <c r="K7" s="779"/>
      <c r="L7" s="774" t="s">
        <v>1730</v>
      </c>
      <c r="M7" s="775">
        <f ca="1">F7</f>
        <v>23300</v>
      </c>
    </row>
    <row r="8" spans="1:33" ht="18" customHeight="1">
      <c r="A8" s="2346"/>
      <c r="B8" s="3599"/>
      <c r="C8" s="778"/>
      <c r="D8" s="779"/>
      <c r="E8" s="774" t="s">
        <v>1731</v>
      </c>
      <c r="F8" s="775">
        <f ca="1">INDIRECT("'数据-取费表'!ai"&amp;$G$1)</f>
        <v>365</v>
      </c>
      <c r="G8" s="1945"/>
      <c r="H8" s="2342"/>
      <c r="I8" s="3599"/>
      <c r="J8" s="778"/>
      <c r="K8" s="779"/>
      <c r="L8" s="774" t="s">
        <v>1731</v>
      </c>
      <c r="M8" s="775">
        <f ca="1">INDIRECT("'数据-取费表'!ai"&amp;$G$1)</f>
        <v>365</v>
      </c>
    </row>
    <row r="9" spans="1:33" ht="18" customHeight="1">
      <c r="A9" s="776"/>
      <c r="B9" s="3600"/>
      <c r="C9" s="778"/>
      <c r="D9" s="779"/>
      <c r="E9" s="774" t="s">
        <v>1732</v>
      </c>
      <c r="F9" s="784">
        <f ca="1">INDIRECT("'数据-取费表'!w"&amp;$G$1)</f>
        <v>0.15</v>
      </c>
      <c r="G9" s="1945"/>
      <c r="H9" s="2358"/>
      <c r="I9" s="3599"/>
      <c r="J9" s="778"/>
      <c r="K9" s="779"/>
      <c r="L9" s="785" t="s">
        <v>1732</v>
      </c>
      <c r="M9" s="786">
        <f ca="1">INDIRECT("'数据-取费表'!ab"&amp;$G$1)</f>
        <v>0</v>
      </c>
    </row>
    <row r="10" spans="1:33" ht="18" customHeight="1">
      <c r="A10" s="1745" t="s">
        <v>2448</v>
      </c>
      <c r="B10" s="2347" t="s">
        <v>2441</v>
      </c>
      <c r="C10" s="789">
        <f ca="1">ROUND(IF(F10="押一",C6/12*F11,IF(F10="押二",C6/12*2*F11,IF(F10="押三",C6/12*3*F11,C11*F11))),0)</f>
        <v>1</v>
      </c>
      <c r="D10" s="2354" t="s">
        <v>2938</v>
      </c>
      <c r="E10" s="2351" t="s">
        <v>2446</v>
      </c>
      <c r="F10" s="2465" t="s">
        <v>3274</v>
      </c>
      <c r="G10" s="1945"/>
      <c r="H10" s="2414" t="s">
        <v>2451</v>
      </c>
      <c r="I10" s="2419" t="s">
        <v>2441</v>
      </c>
      <c r="J10" s="773">
        <f ca="1">ROUND(IF(M10="押一",J6/12*M11,IF(M10="押二",J6/12*2*M11,IF(M10="押三",J6/12*3*M11,J11*M11))),0)</f>
        <v>0</v>
      </c>
      <c r="K10" s="2354" t="s">
        <v>2938</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4766</v>
      </c>
      <c r="D13" s="1749" t="s">
        <v>2285</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3495</v>
      </c>
      <c r="D14" s="1893" t="s">
        <v>1736</v>
      </c>
      <c r="E14" s="1894"/>
      <c r="F14" s="795"/>
      <c r="G14" s="1945"/>
      <c r="H14" s="1578" t="s">
        <v>1821</v>
      </c>
      <c r="I14" s="2111" t="s">
        <v>2806</v>
      </c>
      <c r="J14" s="53">
        <f ca="1">C29</f>
        <v>4766</v>
      </c>
      <c r="K14" s="26"/>
      <c r="L14" s="791"/>
      <c r="M14" s="792"/>
    </row>
    <row r="15" spans="1:33" s="1947" customFormat="1" ht="18" customHeight="1" thickBot="1">
      <c r="A15" s="1577" t="s">
        <v>1876</v>
      </c>
      <c r="B15" s="774" t="s">
        <v>641</v>
      </c>
      <c r="C15" s="53">
        <f ca="1">ROUND(C14*F15,0)</f>
        <v>105</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114</v>
      </c>
      <c r="K16" s="1736" t="s">
        <v>1741</v>
      </c>
      <c r="L16" s="2339"/>
      <c r="M16" s="2344"/>
    </row>
    <row r="17" spans="1:33" s="1947" customFormat="1" ht="18" customHeight="1">
      <c r="A17" s="1577" t="s">
        <v>1878</v>
      </c>
      <c r="B17" s="774" t="s">
        <v>647</v>
      </c>
      <c r="C17" s="53">
        <f ca="1">ROUND(F17*(F43+INDIRECT("'数据-取费表'!S"&amp;$G$1))/10000,0)</f>
        <v>466</v>
      </c>
      <c r="D17" s="774" t="s">
        <v>1742</v>
      </c>
      <c r="E17" s="774" t="s">
        <v>1743</v>
      </c>
      <c r="F17" s="56">
        <f>'数据-取费表'!B35</f>
        <v>200</v>
      </c>
      <c r="G17" s="3261"/>
      <c r="H17" s="1578" t="s">
        <v>1821</v>
      </c>
      <c r="I17" s="774" t="s">
        <v>650</v>
      </c>
      <c r="J17" s="3019">
        <f ca="1">ROUND(IF(AND(项目基本情况!B11="自然人",项目基本情况!B10="北京市"),J6*M17/(1+'数据-取费表'!F30),J18+J19+J20),0)</f>
        <v>43</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52</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4118</v>
      </c>
      <c r="D19" s="259" t="s">
        <v>1748</v>
      </c>
      <c r="E19" s="1896"/>
      <c r="F19" s="56"/>
      <c r="G19" s="1945"/>
      <c r="H19" s="1577" t="s">
        <v>1876</v>
      </c>
      <c r="I19" s="774" t="s">
        <v>1749</v>
      </c>
      <c r="J19" s="53">
        <f ca="1">IF(K19="按租金收入计税",ROUND(J6*M19/(1+'数据-取费表'!C42),1),ROUND(C29*F33*0.7,1))</f>
        <v>40</v>
      </c>
      <c r="K19" s="800" t="s">
        <v>659</v>
      </c>
      <c r="L19" s="774" t="s">
        <v>1738</v>
      </c>
      <c r="M19" s="799">
        <f>IF(K19="按租金收入计税",'数据-取费表'!B51,'数据-取费表'!B50)</f>
        <v>1.2E-2</v>
      </c>
    </row>
    <row r="20" spans="1:33" s="1947" customFormat="1" ht="18" customHeight="1">
      <c r="A20" s="1578" t="s">
        <v>1880</v>
      </c>
      <c r="B20" s="774" t="s">
        <v>660</v>
      </c>
      <c r="C20" s="53">
        <f ca="1">ROUND(C19*F20,0)</f>
        <v>41</v>
      </c>
      <c r="D20" s="801" t="s">
        <v>1750</v>
      </c>
      <c r="E20" s="774" t="s">
        <v>1738</v>
      </c>
      <c r="F20" s="799">
        <f>'数据-取费表'!B37</f>
        <v>0.01</v>
      </c>
      <c r="G20" s="3261"/>
      <c r="H20" s="1580" t="s">
        <v>1871</v>
      </c>
      <c r="I20" s="339" t="s">
        <v>1751</v>
      </c>
      <c r="J20" s="54">
        <f ca="1">ROUND(M20*M21/10000,0)</f>
        <v>3</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0.01</v>
      </c>
      <c r="G21" s="3261"/>
      <c r="H21" s="2359"/>
      <c r="I21" s="783"/>
      <c r="J21" s="69"/>
      <c r="K21" s="805"/>
      <c r="L21" s="774" t="s">
        <v>1757</v>
      </c>
      <c r="M21" s="775">
        <f ca="1">INDIRECT("'数据-取费表'!r"&amp;$G$1)</f>
        <v>23300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f ca="1">ROUND(J14*M22,0)</f>
        <v>71</v>
      </c>
      <c r="K22" s="2337" t="s">
        <v>1760</v>
      </c>
      <c r="L22" s="774" t="s">
        <v>1738</v>
      </c>
      <c r="M22" s="806">
        <f ca="1">INDIRECT("'数据-取费表'!Ak"&amp;$G$1)</f>
        <v>1.4999999999999999E-2</v>
      </c>
    </row>
    <row r="23" spans="1:33" s="1947" customFormat="1" ht="18" customHeight="1">
      <c r="A23" s="1577" t="s">
        <v>1822</v>
      </c>
      <c r="B23" s="774" t="s">
        <v>2517</v>
      </c>
      <c r="C23" s="53">
        <f ca="1">ROUND(IF('数据-取费表'!B22&lt;=1,(C19+C20)*F24*F23/2,(C19+C20)*(POWER((1+F24),F23/2)-1)),0)</f>
        <v>98</v>
      </c>
      <c r="D23" s="2423" t="str">
        <f>IF(F23&lt;=1,"(建造成本+管理费用)×利率×(建设周期÷2)","(建造成本+管理费用)×((1+利率)^(建设周期÷2)-1)")</f>
        <v>(建造成本+管理费用)×利率×(建设周期÷2)</v>
      </c>
      <c r="E23" s="774" t="s">
        <v>1761</v>
      </c>
      <c r="F23" s="632">
        <f>'数据-取费表'!B20</f>
        <v>1</v>
      </c>
      <c r="G23" s="3261"/>
      <c r="H23" s="1578" t="s">
        <v>1881</v>
      </c>
      <c r="I23" s="774" t="s">
        <v>673</v>
      </c>
      <c r="J23" s="53">
        <f ca="1">ROUND(J13*M23,0)</f>
        <v>0</v>
      </c>
      <c r="K23" s="2337" t="s">
        <v>1762</v>
      </c>
      <c r="L23" s="774" t="s">
        <v>1738</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2.0000000000000001E-4</v>
      </c>
      <c r="D24" s="2423" t="str">
        <f>IF(F23&lt;=1,"销售费用×利率×(建设周期÷2)","销售费用×((1+利率)^(建设周期÷2)-1)")</f>
        <v>销售费用×利率×(建设周期÷2)</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-114</v>
      </c>
      <c r="K25" s="2401" t="s">
        <v>1768</v>
      </c>
      <c r="L25" s="2402"/>
      <c r="M25" s="2403"/>
    </row>
    <row r="26" spans="1:33" ht="18" customHeight="1">
      <c r="A26" s="1577" t="s">
        <v>1822</v>
      </c>
      <c r="B26" s="774" t="s">
        <v>2422</v>
      </c>
      <c r="C26" s="53">
        <f ca="1">ROUND((C19+C20)*F26,0)</f>
        <v>208</v>
      </c>
      <c r="D26" s="801" t="s">
        <v>1769</v>
      </c>
      <c r="E26" s="785" t="s">
        <v>1770</v>
      </c>
      <c r="F26" s="784">
        <f ca="1">INDIRECT("'数据-取费表'!q"&amp;$G$1)</f>
        <v>0.05</v>
      </c>
      <c r="G26" s="1945"/>
      <c r="H26" s="2355" t="s">
        <v>1771</v>
      </c>
      <c r="I26" s="2112" t="s">
        <v>2807</v>
      </c>
      <c r="J26" s="773">
        <f ca="1">IF(J5&lt;&gt;0,ROUND(J25*(1-((1+M28)/(1+M26))^M27)/(M26-M28),0),0)</f>
        <v>0</v>
      </c>
      <c r="K26" s="803" t="s">
        <v>1772</v>
      </c>
      <c r="L26" s="774" t="s">
        <v>2404</v>
      </c>
      <c r="M26" s="784">
        <f ca="1">INDIRECT("'数据-取费表'!I"&amp;$G$1)</f>
        <v>0.04</v>
      </c>
    </row>
    <row r="27" spans="1:33" ht="18" customHeight="1">
      <c r="A27" s="1577" t="s">
        <v>1823</v>
      </c>
      <c r="B27" s="774" t="s">
        <v>680</v>
      </c>
      <c r="C27" s="53">
        <f ca="1">ROUND(F21*F26,4)</f>
        <v>5.0000000000000001E-4</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5.2400000000000002E-2</v>
      </c>
      <c r="D28" s="801" t="s">
        <v>2287</v>
      </c>
      <c r="E28" s="774" t="s">
        <v>1776</v>
      </c>
      <c r="F28" s="799">
        <f>'数据-取费表'!B41</f>
        <v>5.5000000000000007E-2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4766</v>
      </c>
      <c r="D29" s="2398"/>
      <c r="E29" s="2399"/>
      <c r="F29" s="2400"/>
      <c r="G29" s="3261"/>
      <c r="H29" s="812" t="s">
        <v>1778</v>
      </c>
      <c r="I29" s="813" t="s">
        <v>1779</v>
      </c>
      <c r="J29" s="814">
        <f ca="1">ROUND(J26/(1+F40)^F41,0)</f>
        <v>0</v>
      </c>
      <c r="K29" s="815" t="s">
        <v>1780</v>
      </c>
      <c r="L29" s="816"/>
      <c r="M29" s="817">
        <f ca="1">INDIRECT("'数据-取费表'!k"&amp;$G$1)</f>
        <v>23300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190</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ROUND(IF(AND(项目基本情况!B11="自然人",项目基本情况!B10="北京市"),C6*F31/(1+'数据-取费表'!F30),C32+C33+C34),0)</f>
        <v>100</v>
      </c>
      <c r="D31" s="1893" t="s">
        <v>1783</v>
      </c>
      <c r="E31" s="1891" t="s">
        <v>1784</v>
      </c>
      <c r="F31" s="3018" t="str">
        <f>IF(项目基本情况!B11="企业","——",IF('数据-取费表'!B10="住宅",IF(F6*F7*F8/12/(1+'数据-取费表'!F30)&gt;100000,4%,2.5%),IF(F6*F7*F8/12/(1+'数据-取费表'!F30)&gt;100000,12%,7%)))</f>
        <v>——</v>
      </c>
      <c r="G31" s="1945"/>
      <c r="H31" s="3258" t="s">
        <v>2994</v>
      </c>
      <c r="I31" s="1949"/>
      <c r="J31" s="1950"/>
      <c r="K31" s="1951"/>
      <c r="L31" s="1952"/>
      <c r="M31" s="1953"/>
    </row>
    <row r="32" spans="1:33" ht="18" customHeight="1">
      <c r="A32" s="1577" t="s">
        <v>1822</v>
      </c>
      <c r="B32" s="774" t="s">
        <v>1785</v>
      </c>
      <c r="C32" s="53">
        <f ca="1">ROUND(C6*F32/(1+'数据-取费表'!C42),1)</f>
        <v>56.8</v>
      </c>
      <c r="D32" s="1891" t="s">
        <v>1786</v>
      </c>
      <c r="E32" s="774" t="s">
        <v>1787</v>
      </c>
      <c r="F32" s="799">
        <f>'数据-取费表'!B41</f>
        <v>5.5000000000000007E-2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40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3.5</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23300</v>
      </c>
      <c r="G35" s="1945"/>
      <c r="H35" s="1948"/>
      <c r="I35" s="826" t="s">
        <v>1805</v>
      </c>
      <c r="J35" s="827">
        <f ca="1">ROUND(C13*J36,0)</f>
        <v>381</v>
      </c>
      <c r="K35" s="1961"/>
      <c r="L35" s="1960"/>
      <c r="M35" s="1960"/>
    </row>
    <row r="36" spans="1:18" ht="18" customHeight="1">
      <c r="A36" s="1578" t="s">
        <v>1880</v>
      </c>
      <c r="B36" s="774" t="s">
        <v>1793</v>
      </c>
      <c r="C36" s="53">
        <f ca="1">ROUND(C29*F36,1)</f>
        <v>71.5</v>
      </c>
      <c r="D36" s="1891" t="s">
        <v>1794</v>
      </c>
      <c r="E36" s="774" t="s">
        <v>1787</v>
      </c>
      <c r="F36" s="806">
        <f ca="1">INDIRECT("'数据-取费表'!Ak"&amp;$G$1)</f>
        <v>1.4999999999999999E-2</v>
      </c>
      <c r="G36" s="1945"/>
      <c r="H36" s="1960"/>
      <c r="I36" s="828" t="s">
        <v>1806</v>
      </c>
      <c r="J36" s="829">
        <f ca="1">INDIRECT("'数据-取费表'!j"&amp;$G$1)</f>
        <v>0.08</v>
      </c>
      <c r="K36" s="1964"/>
      <c r="L36" s="1960"/>
      <c r="M36" s="1960"/>
    </row>
    <row r="37" spans="1:18" ht="18" customHeight="1">
      <c r="A37" s="1578" t="s">
        <v>1881</v>
      </c>
      <c r="B37" s="774" t="s">
        <v>673</v>
      </c>
      <c r="C37" s="53">
        <f ca="1">ROUND(C13*F37,1)</f>
        <v>7.1</v>
      </c>
      <c r="D37" s="1891" t="s">
        <v>1795</v>
      </c>
      <c r="E37" s="774" t="s">
        <v>1787</v>
      </c>
      <c r="F37" s="807">
        <f ca="1">INDIRECT("'数据-取费表'!Al"&amp;$G$1)</f>
        <v>1.5E-3</v>
      </c>
      <c r="G37" s="1945"/>
      <c r="H37" s="1960"/>
      <c r="I37" s="830" t="s">
        <v>1807</v>
      </c>
      <c r="J37" s="831"/>
      <c r="K37" s="1964"/>
      <c r="L37" s="1960"/>
      <c r="M37" s="1960"/>
    </row>
    <row r="38" spans="1:18" ht="18" customHeight="1" thickBot="1">
      <c r="A38" s="2404" t="s">
        <v>1882</v>
      </c>
      <c r="B38" s="2399" t="s">
        <v>660</v>
      </c>
      <c r="C38" s="2397">
        <f ca="1">ROUND(C5*F38,1)</f>
        <v>10.9</v>
      </c>
      <c r="D38" s="2398" t="s">
        <v>1796</v>
      </c>
      <c r="E38" s="2399" t="s">
        <v>1787</v>
      </c>
      <c r="F38" s="2395">
        <f ca="1">INDIRECT("'数据-取费表'!Am"&amp;$G$1)</f>
        <v>0.01</v>
      </c>
      <c r="G38" s="1945"/>
      <c r="H38" s="1960"/>
      <c r="I38" s="832" t="s">
        <v>1808</v>
      </c>
      <c r="J38" s="833"/>
      <c r="K38" s="1965"/>
      <c r="L38" s="1960"/>
      <c r="M38" s="1960"/>
    </row>
    <row r="39" spans="1:18" ht="24.6" customHeight="1" thickTop="1">
      <c r="A39" s="1744" t="s">
        <v>1885</v>
      </c>
      <c r="B39" s="2723" t="s">
        <v>2802</v>
      </c>
      <c r="C39" s="782">
        <f ca="1">C5-C30</f>
        <v>895</v>
      </c>
      <c r="D39" s="2401" t="s">
        <v>1797</v>
      </c>
      <c r="E39" s="2402"/>
      <c r="F39" s="2403"/>
      <c r="G39" s="1945"/>
      <c r="H39" s="1960"/>
      <c r="I39" s="826" t="s">
        <v>1809</v>
      </c>
      <c r="J39" s="834">
        <f ca="1">ROUND(J35/C39,3)</f>
        <v>0.42599999999999999</v>
      </c>
      <c r="K39" s="1965"/>
      <c r="L39" s="1960"/>
      <c r="M39" s="1960"/>
    </row>
    <row r="40" spans="1:18" ht="18" customHeight="1">
      <c r="A40" s="771" t="s">
        <v>1886</v>
      </c>
      <c r="B40" s="2112" t="s">
        <v>2289</v>
      </c>
      <c r="C40" s="773">
        <f ca="1">ROUND(C39*(1-((1+F42)/(1+F40))^F41)/(F40-F42),0)</f>
        <v>27801</v>
      </c>
      <c r="D40" s="803" t="s">
        <v>1798</v>
      </c>
      <c r="E40" s="774" t="s">
        <v>2404</v>
      </c>
      <c r="F40" s="784">
        <f ca="1">INDIRECT("'数据-取费表'!I"&amp;$G$1)</f>
        <v>0.04</v>
      </c>
      <c r="G40" s="1945"/>
      <c r="H40" s="1945"/>
      <c r="I40" s="826" t="s">
        <v>1810</v>
      </c>
      <c r="J40" s="834">
        <f ca="1">1-J39</f>
        <v>0.57400000000000007</v>
      </c>
      <c r="K40" s="1965"/>
      <c r="L40" s="1945"/>
      <c r="M40" s="1945"/>
    </row>
    <row r="41" spans="1:18" ht="18" customHeight="1">
      <c r="A41" s="776"/>
      <c r="B41" s="777"/>
      <c r="C41" s="778"/>
      <c r="D41" s="810" t="s">
        <v>1799</v>
      </c>
      <c r="E41" s="774" t="s">
        <v>2929</v>
      </c>
      <c r="F41" s="811">
        <f ca="1">IF(INDIRECT("'数据-取费表'!af"&amp;$G$1)=0,INDIRECT("'数据-取费表'!ae"&amp;$G$1),INDIRECT("'数据-取费表'!af"&amp;$G$1))</f>
        <v>50</v>
      </c>
      <c r="G41" s="1945"/>
      <c r="H41" s="1900"/>
      <c r="I41" s="832" t="s">
        <v>1811</v>
      </c>
      <c r="J41" s="835"/>
      <c r="K41" s="1964"/>
      <c r="L41" s="1900"/>
      <c r="M41" s="1900"/>
    </row>
    <row r="42" spans="1:18" ht="18" customHeight="1">
      <c r="A42" s="780"/>
      <c r="B42" s="781"/>
      <c r="C42" s="782"/>
      <c r="D42" s="805"/>
      <c r="E42" s="774" t="s">
        <v>1800</v>
      </c>
      <c r="F42" s="784">
        <f ca="1">INDIRECT("'数据-取费表'!v"&amp;$G$1)</f>
        <v>0.02</v>
      </c>
      <c r="G42" s="1945"/>
      <c r="H42" s="1900"/>
      <c r="I42" s="836" t="s">
        <v>1812</v>
      </c>
      <c r="J42" s="834">
        <f ca="1">ROUND(C13/C40,3)</f>
        <v>0.17100000000000001</v>
      </c>
      <c r="K42" s="1964"/>
      <c r="L42" s="1900"/>
      <c r="M42" s="1900"/>
    </row>
    <row r="43" spans="1:18" ht="18" customHeight="1" thickBot="1">
      <c r="A43" s="812" t="s">
        <v>1778</v>
      </c>
      <c r="B43" s="813" t="s">
        <v>1801</v>
      </c>
      <c r="C43" s="814">
        <f ca="1">ROUND(C40*10000/F43,0)</f>
        <v>11932</v>
      </c>
      <c r="D43" s="815" t="s">
        <v>1802</v>
      </c>
      <c r="E43" s="816" t="s">
        <v>1803</v>
      </c>
      <c r="F43" s="817">
        <f ca="1">INDIRECT("'数据-取费表'!k"&amp;$G$1)</f>
        <v>23300</v>
      </c>
      <c r="G43" s="1945"/>
      <c r="H43" s="1900"/>
      <c r="I43" s="836" t="s">
        <v>1813</v>
      </c>
      <c r="J43" s="837">
        <f ca="1">1-J42</f>
        <v>0.82899999999999996</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-30443</v>
      </c>
      <c r="D46" s="3262"/>
      <c r="E46" s="3262"/>
      <c r="F46" s="3262"/>
      <c r="I46" s="2233" t="s">
        <v>2328</v>
      </c>
      <c r="J46" s="2234"/>
      <c r="K46" s="2235"/>
      <c r="L46" s="2811" t="str">
        <f ca="1">IF(OR(M47="住宅",D1="土地（套用方法）"),0,IF(L48&gt;J51,L60,J60))</f>
        <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t="s">
        <v>3019</v>
      </c>
      <c r="K47" s="2808" t="s">
        <v>2334</v>
      </c>
      <c r="L47" s="2812">
        <f ca="1">INDIRECT("'数据-取费表'!d"&amp;$G$1)</f>
        <v>50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t="s">
        <v>2335</v>
      </c>
      <c r="K48" s="2809" t="s">
        <v>2336</v>
      </c>
      <c r="L48" s="1822">
        <f ca="1">INDIRECT("'数据-取费表'!f"&amp;$G$1)</f>
        <v>50</v>
      </c>
      <c r="M48" s="3263"/>
      <c r="O48" s="2253" t="s">
        <v>2364</v>
      </c>
      <c r="P48" s="2254" t="s">
        <v>2390</v>
      </c>
      <c r="Q48" s="2255">
        <f ca="1">C40+J29</f>
        <v>27801</v>
      </c>
      <c r="R48" s="2254" t="s">
        <v>2365</v>
      </c>
    </row>
    <row r="49" spans="1:18" s="1942" customFormat="1" ht="18" customHeight="1" thickBot="1">
      <c r="A49" s="776"/>
      <c r="B49" s="777"/>
      <c r="C49" s="778"/>
      <c r="D49" s="779"/>
      <c r="E49" s="774" t="s">
        <v>1730</v>
      </c>
      <c r="F49" s="775">
        <f ca="1">F7</f>
        <v>23300</v>
      </c>
      <c r="G49" s="1972"/>
      <c r="H49" s="1975"/>
      <c r="I49" s="2799" t="s">
        <v>2331</v>
      </c>
      <c r="J49" s="2238"/>
      <c r="K49" s="2810" t="s">
        <v>2337</v>
      </c>
      <c r="L49" s="2239"/>
      <c r="M49" s="3263"/>
      <c r="O49" s="2253" t="s">
        <v>2366</v>
      </c>
      <c r="P49" s="2254" t="s">
        <v>2391</v>
      </c>
      <c r="Q49" s="2255" t="str">
        <f ca="1">J60</f>
        <v>0</v>
      </c>
      <c r="R49" s="2254" t="s">
        <v>2367</v>
      </c>
    </row>
    <row r="50" spans="1:18" s="1942" customFormat="1" ht="18" customHeight="1" thickBot="1">
      <c r="A50" s="776"/>
      <c r="B50" s="777"/>
      <c r="C50" s="778"/>
      <c r="D50" s="779"/>
      <c r="E50" s="774" t="s">
        <v>1731</v>
      </c>
      <c r="F50" s="775">
        <f ca="1">F8</f>
        <v>365</v>
      </c>
      <c r="G50" s="1977"/>
      <c r="H50" s="1975"/>
      <c r="I50" s="2799" t="s">
        <v>2332</v>
      </c>
      <c r="J50" s="2806">
        <f>SUMPRODUCT((I63:I65=J47)*(J62:L62=J48)*(J63:L65))</f>
        <v>50</v>
      </c>
      <c r="K50" s="2810" t="s">
        <v>2338</v>
      </c>
      <c r="L50" s="2239"/>
      <c r="M50" s="3263"/>
      <c r="O50" s="2256" t="s">
        <v>2368</v>
      </c>
      <c r="P50" s="2254" t="s">
        <v>2392</v>
      </c>
      <c r="Q50" s="2255">
        <f ca="1">C29</f>
        <v>4766</v>
      </c>
      <c r="R50" s="2254" t="s">
        <v>2365</v>
      </c>
    </row>
    <row r="51" spans="1:18" s="1942" customFormat="1" ht="18" customHeight="1" thickBot="1">
      <c r="A51" s="776"/>
      <c r="B51" s="777"/>
      <c r="C51" s="778"/>
      <c r="D51" s="779"/>
      <c r="E51" s="774" t="s">
        <v>634</v>
      </c>
      <c r="F51" s="2226"/>
      <c r="H51" s="1975"/>
      <c r="I51" s="2803" t="s">
        <v>2333</v>
      </c>
      <c r="J51" s="2807">
        <f>IF(J49="",J50,J49+J50-YEAR('数据-取费表'!B2))</f>
        <v>50</v>
      </c>
      <c r="K51" s="2799" t="s">
        <v>2339</v>
      </c>
      <c r="L51" s="2813">
        <f ca="1">ROUND(-PV(INDIRECT("'数据-取费表'!h"&amp;$G$1),J51,(C39-C13*J36),0),0)</f>
        <v>12050</v>
      </c>
      <c r="M51" s="3263"/>
      <c r="O51" s="2256" t="s">
        <v>2369</v>
      </c>
      <c r="P51" s="2254" t="s">
        <v>2370</v>
      </c>
      <c r="Q51" s="2257" t="e">
        <f ca="1">J58</f>
        <v>#VALUE!</v>
      </c>
      <c r="R51" s="2258"/>
    </row>
    <row r="52" spans="1:18" s="1942" customFormat="1" ht="18" customHeight="1" thickBot="1">
      <c r="A52" s="771" t="s">
        <v>2518</v>
      </c>
      <c r="B52" s="2347" t="s">
        <v>2441</v>
      </c>
      <c r="C52" s="789">
        <f ca="1">ROUND(IF(F52="押一",C48/12*F11,IF(F52="押二",C48/12*2*F11,IF(F52="押三",C48/12*3*F11,C53*F11))),0)</f>
        <v>0</v>
      </c>
      <c r="D52" s="2354" t="s">
        <v>2939</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2942</v>
      </c>
      <c r="J53" s="2858">
        <f ca="1">IF(M47="住宅",IF(D1="——",MAX(J51,L48),MAX(J51,L48-'数据-取费表'!B20)),IF(D1="——",MIN(J51,L48),MIN(J51,L48-'数据-取费表'!B20)))</f>
        <v>50</v>
      </c>
      <c r="K53" s="3603" t="s">
        <v>2931</v>
      </c>
      <c r="L53" s="3604"/>
      <c r="M53" s="3263"/>
      <c r="O53" s="2256" t="s">
        <v>2373</v>
      </c>
      <c r="P53" s="2254" t="s">
        <v>2374</v>
      </c>
      <c r="Q53" s="2255">
        <f ca="1">J53</f>
        <v>50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f ca="1">Q48+Q49</f>
        <v>27801</v>
      </c>
      <c r="R54" s="2258" t="s">
        <v>2377</v>
      </c>
    </row>
    <row r="55" spans="1:18" s="1942" customFormat="1" ht="18" customHeight="1" thickTop="1" thickBot="1">
      <c r="A55" s="787">
        <v>2</v>
      </c>
      <c r="B55" s="788" t="s">
        <v>638</v>
      </c>
      <c r="C55" s="789">
        <f ca="1">C13</f>
        <v>4766</v>
      </c>
      <c r="D55" s="785"/>
      <c r="E55" s="785"/>
      <c r="F55" s="790"/>
      <c r="I55" s="2816" t="s">
        <v>2340</v>
      </c>
      <c r="J55" s="2788" t="e">
        <f ca="1">ROUND(IF(J47="钢混",J57/J50,1-(1-2%)*(J50-J57)/J50),3)</f>
        <v>#VALUE!</v>
      </c>
      <c r="K55" s="2817" t="s">
        <v>2341</v>
      </c>
      <c r="L55" s="2241"/>
      <c r="M55" s="3263"/>
      <c r="O55" s="2259" t="s">
        <v>2396</v>
      </c>
      <c r="P55" s="1527"/>
      <c r="Q55" s="1535"/>
      <c r="R55" s="1527"/>
    </row>
    <row r="56" spans="1:18" s="1942" customFormat="1" ht="42.75" customHeight="1" thickBot="1">
      <c r="A56" s="1579"/>
      <c r="B56" s="2111" t="s">
        <v>2290</v>
      </c>
      <c r="C56" s="53">
        <f ca="1">C29</f>
        <v>4766</v>
      </c>
      <c r="D56" s="2481"/>
      <c r="E56" s="774"/>
      <c r="F56" s="799"/>
      <c r="I56" s="2818" t="s">
        <v>2342</v>
      </c>
      <c r="J56" s="2828" t="s">
        <v>1669</v>
      </c>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123</v>
      </c>
      <c r="D57" s="26" t="s">
        <v>1741</v>
      </c>
      <c r="E57" s="2482"/>
      <c r="F57" s="56"/>
      <c r="I57" s="2819" t="s">
        <v>2343</v>
      </c>
      <c r="J57" s="2820" t="str">
        <f ca="1">IF(OR(M47="住宅",J51&lt;L48,J56="是"),"——",J51-L48)</f>
        <v>——</v>
      </c>
      <c r="K57" s="2799" t="s">
        <v>2348</v>
      </c>
      <c r="L57" s="1822">
        <f ca="1">IF(L48&lt;J51,"——",IF(L55="比较法",L49,IF(L55="基准地价",L50,L51)))</f>
        <v>12050</v>
      </c>
      <c r="M57" s="3263"/>
      <c r="O57" s="2253" t="s">
        <v>2364</v>
      </c>
      <c r="P57" s="2254" t="s">
        <v>2394</v>
      </c>
      <c r="Q57" s="2255">
        <f ca="1">C40+J29</f>
        <v>27801</v>
      </c>
      <c r="R57" s="2254" t="s">
        <v>2365</v>
      </c>
    </row>
    <row r="58" spans="1:18" s="1942" customFormat="1" ht="28.5" customHeight="1" thickBot="1">
      <c r="A58" s="1578" t="s">
        <v>1815</v>
      </c>
      <c r="B58" s="774" t="s">
        <v>650</v>
      </c>
      <c r="C58" s="3019">
        <f ca="1">ROUND(IF(AND(项目基本情况!B11="自然人",项目基本情况!B10="北京市"),C48*F58/(1+'数据-取费表'!F30),C59+C60+C61),0)</f>
        <v>44</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#VALUE!</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5.5000000000000007E-2</v>
      </c>
      <c r="I59" s="2819" t="s">
        <v>2345</v>
      </c>
      <c r="J59" s="2820" t="str">
        <f ca="1">IF(OR(M47="住宅",J51&lt;L48,J56="是"),"——",ROUND(C29*J58,0))</f>
        <v>——</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40</v>
      </c>
      <c r="D60" s="2481" t="str">
        <f>D33</f>
        <v>按房产原值计税</v>
      </c>
      <c r="E60" s="774" t="s">
        <v>1738</v>
      </c>
      <c r="F60" s="799">
        <f t="shared" si="0"/>
        <v>1.2E-2</v>
      </c>
      <c r="I60" s="2821" t="s">
        <v>2346</v>
      </c>
      <c r="J60" s="2822" t="str">
        <f ca="1">IF(OR(M47="住宅",J51&lt;L48,J56="是"),"0",ROUND(J59/(1+J52)^J53,0))</f>
        <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3.5</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23300</v>
      </c>
      <c r="I62" s="2824" t="s">
        <v>2352</v>
      </c>
      <c r="J62" s="2825" t="s">
        <v>2353</v>
      </c>
      <c r="K62" s="2825" t="s">
        <v>2354</v>
      </c>
      <c r="L62" s="2825" t="s">
        <v>2335</v>
      </c>
      <c r="M62" s="2826" t="s">
        <v>2910</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71.5</v>
      </c>
      <c r="D63" s="2481" t="s">
        <v>1794</v>
      </c>
      <c r="E63" s="774" t="s">
        <v>1738</v>
      </c>
      <c r="F63" s="806">
        <f t="shared" ca="1" si="0"/>
        <v>1.4999999999999999E-2</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7.1</v>
      </c>
      <c r="D64" s="2481" t="s">
        <v>674</v>
      </c>
      <c r="E64" s="774" t="s">
        <v>1738</v>
      </c>
      <c r="F64" s="807">
        <f t="shared" ca="1" si="0"/>
        <v>1.5E-3</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0.01</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-123</v>
      </c>
      <c r="D66" s="2480" t="s">
        <v>694</v>
      </c>
      <c r="E66" s="2479"/>
      <c r="F66" s="809"/>
      <c r="K66" s="1968"/>
      <c r="O66" s="2253" t="s">
        <v>2364</v>
      </c>
      <c r="P66" s="2254" t="s">
        <v>2394</v>
      </c>
      <c r="Q66" s="2255">
        <f ca="1">C40+J29</f>
        <v>27801</v>
      </c>
      <c r="R66" s="2254" t="s">
        <v>2365</v>
      </c>
    </row>
    <row r="67" spans="1:18" s="1942" customFormat="1" ht="20.25" thickBot="1">
      <c r="A67" s="771" t="s">
        <v>1771</v>
      </c>
      <c r="B67" s="2112" t="s">
        <v>2289</v>
      </c>
      <c r="C67" s="773">
        <f ca="1">ROUND(C66*(1-((1+F69)/(1+F67))^F68)/(F67-F69),0)</f>
        <v>-2642</v>
      </c>
      <c r="D67" s="803" t="s">
        <v>698</v>
      </c>
      <c r="E67" s="774" t="s">
        <v>699</v>
      </c>
      <c r="F67" s="784">
        <f ca="1">F40</f>
        <v>0.04</v>
      </c>
      <c r="K67" s="1968"/>
      <c r="O67" s="2253" t="s">
        <v>2366</v>
      </c>
      <c r="P67" s="2254" t="s">
        <v>2397</v>
      </c>
      <c r="Q67" s="2255" t="e">
        <f ca="1">L60</f>
        <v>#DIV/0!</v>
      </c>
      <c r="R67" s="2258" t="s">
        <v>2399</v>
      </c>
    </row>
    <row r="68" spans="1:18" ht="21.75" thickBot="1">
      <c r="A68" s="776"/>
      <c r="B68" s="777"/>
      <c r="C68" s="778"/>
      <c r="D68" s="810" t="s">
        <v>1799</v>
      </c>
      <c r="E68" s="774" t="s">
        <v>1775</v>
      </c>
      <c r="F68" s="811">
        <f ca="1">F41</f>
        <v>50</v>
      </c>
      <c r="O68" s="2256" t="s">
        <v>2368</v>
      </c>
      <c r="P68" s="2254" t="s">
        <v>2398</v>
      </c>
      <c r="Q68" s="2260">
        <f ca="1">L51</f>
        <v>12050</v>
      </c>
      <c r="R68" s="2261" t="s">
        <v>2401</v>
      </c>
    </row>
    <row r="69" spans="1:18" ht="20.25" thickBot="1">
      <c r="A69" s="780"/>
      <c r="B69" s="781"/>
      <c r="C69" s="782"/>
      <c r="D69" s="805"/>
      <c r="E69" s="774" t="s">
        <v>704</v>
      </c>
      <c r="F69" s="2226"/>
      <c r="O69" s="2256" t="s">
        <v>2369</v>
      </c>
      <c r="P69" s="2262" t="s">
        <v>2383</v>
      </c>
      <c r="Q69" s="2255">
        <f ca="1">ROUND(Q70-Q71*Q72,0)</f>
        <v>514</v>
      </c>
      <c r="R69" s="2258"/>
    </row>
    <row r="70" spans="1:18" ht="15.75" thickBot="1">
      <c r="A70" s="812" t="s">
        <v>1778</v>
      </c>
      <c r="B70" s="813" t="s">
        <v>1801</v>
      </c>
      <c r="C70" s="814">
        <f ca="1">ROUND(C67*10000/F70,0)</f>
        <v>-1134</v>
      </c>
      <c r="D70" s="815" t="s">
        <v>1802</v>
      </c>
      <c r="E70" s="816" t="s">
        <v>1803</v>
      </c>
      <c r="F70" s="817">
        <f ca="1">F43</f>
        <v>23300</v>
      </c>
      <c r="O70" s="2256" t="s">
        <v>2384</v>
      </c>
      <c r="P70" s="2262" t="s">
        <v>2385</v>
      </c>
      <c r="Q70" s="2255">
        <f ca="1">C39</f>
        <v>895</v>
      </c>
      <c r="R70" s="2254" t="s">
        <v>2365</v>
      </c>
    </row>
    <row r="71" spans="1:18" ht="15.75" thickBot="1">
      <c r="O71" s="2256" t="s">
        <v>2386</v>
      </c>
      <c r="P71" s="2262" t="s">
        <v>2387</v>
      </c>
      <c r="Q71" s="2255">
        <f ca="1">C13</f>
        <v>4766</v>
      </c>
      <c r="R71" s="2254" t="s">
        <v>2365</v>
      </c>
    </row>
    <row r="72" spans="1:18" ht="15.75" thickBot="1">
      <c r="O72" s="2256" t="s">
        <v>2388</v>
      </c>
      <c r="P72" s="2262" t="s">
        <v>2389</v>
      </c>
      <c r="Q72" s="2257">
        <f ca="1">J36</f>
        <v>0.08</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14" priority="7">
      <formula>$L$48&gt;$J$51</formula>
    </cfRule>
  </conditionalFormatting>
  <conditionalFormatting sqref="I55">
    <cfRule type="expression" dxfId="113" priority="8">
      <formula>$J$51&gt;$L$48</formula>
    </cfRule>
  </conditionalFormatting>
  <conditionalFormatting sqref="I60">
    <cfRule type="expression" dxfId="112" priority="6">
      <formula>$J$51&gt;$L$48</formula>
    </cfRule>
  </conditionalFormatting>
  <conditionalFormatting sqref="K60">
    <cfRule type="expression" dxfId="111" priority="5">
      <formula>$L$48&gt;$J$51</formula>
    </cfRule>
  </conditionalFormatting>
  <conditionalFormatting sqref="C11">
    <cfRule type="expression" dxfId="110" priority="4">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05" t="s">
        <v>2453</v>
      </c>
      <c r="B1" s="3606"/>
      <c r="C1" s="3607"/>
      <c r="D1" s="3608">
        <f>SUM(I10,I15,I20,I21,I23)</f>
        <v>0</v>
      </c>
      <c r="E1" s="3608"/>
      <c r="F1" s="3608"/>
      <c r="G1" s="3608"/>
      <c r="H1" s="3608"/>
      <c r="I1" s="3609"/>
    </row>
    <row r="2" spans="1:9">
      <c r="A2" s="3610" t="s">
        <v>2454</v>
      </c>
      <c r="B2" s="3611" t="s">
        <v>2455</v>
      </c>
      <c r="C2" s="3611"/>
      <c r="D2" s="2360" t="s">
        <v>2456</v>
      </c>
      <c r="E2" s="2360" t="s">
        <v>2457</v>
      </c>
      <c r="F2" s="2360" t="s">
        <v>2458</v>
      </c>
      <c r="G2" s="2360" t="s">
        <v>2459</v>
      </c>
      <c r="H2" s="2360" t="s">
        <v>2460</v>
      </c>
      <c r="I2" s="2361" t="s">
        <v>2461</v>
      </c>
    </row>
    <row r="3" spans="1:9">
      <c r="A3" s="3610"/>
      <c r="B3" s="3611" t="s">
        <v>2462</v>
      </c>
      <c r="C3" s="3611"/>
      <c r="D3" s="2362"/>
      <c r="E3" s="2360"/>
      <c r="F3" s="2363"/>
      <c r="G3" s="2363"/>
      <c r="H3" s="2364"/>
      <c r="I3" s="2365">
        <f>ROUND(D3*E3*F3*G3*H3/10000,0)</f>
        <v>0</v>
      </c>
    </row>
    <row r="4" spans="1:9">
      <c r="A4" s="3610"/>
      <c r="B4" s="3611" t="s">
        <v>2463</v>
      </c>
      <c r="C4" s="3611"/>
      <c r="D4" s="2362"/>
      <c r="E4" s="2360"/>
      <c r="F4" s="2363"/>
      <c r="G4" s="2363"/>
      <c r="H4" s="2364"/>
      <c r="I4" s="2365">
        <f t="shared" ref="I4:I9" si="0">ROUND(D4*E4*F4*G4*H4/10000,0)</f>
        <v>0</v>
      </c>
    </row>
    <row r="5" spans="1:9">
      <c r="A5" s="3610"/>
      <c r="B5" s="3611" t="s">
        <v>2464</v>
      </c>
      <c r="C5" s="3611"/>
      <c r="D5" s="2362"/>
      <c r="E5" s="2360"/>
      <c r="F5" s="2363"/>
      <c r="G5" s="2363"/>
      <c r="H5" s="2364"/>
      <c r="I5" s="2365">
        <f t="shared" si="0"/>
        <v>0</v>
      </c>
    </row>
    <row r="6" spans="1:9">
      <c r="A6" s="3610"/>
      <c r="B6" s="3611" t="s">
        <v>2465</v>
      </c>
      <c r="C6" s="3611"/>
      <c r="D6" s="2362"/>
      <c r="E6" s="2360"/>
      <c r="F6" s="2363"/>
      <c r="G6" s="2363"/>
      <c r="H6" s="2364"/>
      <c r="I6" s="2365">
        <f t="shared" si="0"/>
        <v>0</v>
      </c>
    </row>
    <row r="7" spans="1:9">
      <c r="A7" s="3610"/>
      <c r="B7" s="3611" t="s">
        <v>2466</v>
      </c>
      <c r="C7" s="3611"/>
      <c r="D7" s="2362"/>
      <c r="E7" s="2360"/>
      <c r="F7" s="2363"/>
      <c r="G7" s="2363"/>
      <c r="H7" s="2364"/>
      <c r="I7" s="2365">
        <f t="shared" si="0"/>
        <v>0</v>
      </c>
    </row>
    <row r="8" spans="1:9">
      <c r="A8" s="3610"/>
      <c r="B8" s="3611" t="s">
        <v>2467</v>
      </c>
      <c r="C8" s="3611"/>
      <c r="D8" s="2362"/>
      <c r="E8" s="2360"/>
      <c r="F8" s="2363"/>
      <c r="G8" s="2363"/>
      <c r="H8" s="2364"/>
      <c r="I8" s="2365">
        <f t="shared" si="0"/>
        <v>0</v>
      </c>
    </row>
    <row r="9" spans="1:9">
      <c r="A9" s="3610"/>
      <c r="B9" s="3611" t="s">
        <v>2468</v>
      </c>
      <c r="C9" s="3611"/>
      <c r="D9" s="2362"/>
      <c r="E9" s="2360"/>
      <c r="F9" s="2363"/>
      <c r="G9" s="2363"/>
      <c r="H9" s="2364"/>
      <c r="I9" s="2365">
        <f t="shared" si="0"/>
        <v>0</v>
      </c>
    </row>
    <row r="10" spans="1:9">
      <c r="A10" s="3610"/>
      <c r="B10" s="3612" t="s">
        <v>2469</v>
      </c>
      <c r="C10" s="3612"/>
      <c r="D10" s="2366">
        <v>527</v>
      </c>
      <c r="E10" s="2366" t="e">
        <f>ROUND(D1*10000/D10/H9,0)</f>
        <v>#DIV/0!</v>
      </c>
      <c r="F10" s="2367"/>
      <c r="G10" s="2367"/>
      <c r="H10" s="2368"/>
      <c r="I10" s="2369">
        <f>SUM(I3:I9)</f>
        <v>0</v>
      </c>
    </row>
    <row r="11" spans="1:9" ht="14.25">
      <c r="A11" s="3610" t="s">
        <v>2470</v>
      </c>
      <c r="B11" s="3611" t="s">
        <v>2471</v>
      </c>
      <c r="C11" s="3611"/>
      <c r="D11" s="2362" t="s">
        <v>2472</v>
      </c>
      <c r="E11" s="2362" t="s">
        <v>2473</v>
      </c>
      <c r="F11" s="2363" t="s">
        <v>2474</v>
      </c>
      <c r="G11" s="2363" t="s">
        <v>2475</v>
      </c>
      <c r="H11" s="2370" t="s">
        <v>2476</v>
      </c>
      <c r="I11" s="2361" t="s">
        <v>2477</v>
      </c>
    </row>
    <row r="12" spans="1:9">
      <c r="A12" s="3610"/>
      <c r="B12" s="3611" t="s">
        <v>2478</v>
      </c>
      <c r="C12" s="3611"/>
      <c r="D12" s="2362"/>
      <c r="E12" s="2362"/>
      <c r="F12" s="2363"/>
      <c r="G12" s="2364"/>
      <c r="H12" s="2371"/>
      <c r="I12" s="2361">
        <f>ROUND(D12*E12*F12*G12/10000,0)</f>
        <v>0</v>
      </c>
    </row>
    <row r="13" spans="1:9">
      <c r="A13" s="3610"/>
      <c r="B13" s="3611" t="s">
        <v>2479</v>
      </c>
      <c r="C13" s="3611"/>
      <c r="D13" s="2362"/>
      <c r="E13" s="2362"/>
      <c r="F13" s="2363"/>
      <c r="G13" s="2364"/>
      <c r="H13" s="2371"/>
      <c r="I13" s="2361">
        <f>ROUND(D13*E13*F13*G13/10000,0)</f>
        <v>0</v>
      </c>
    </row>
    <row r="14" spans="1:9">
      <c r="A14" s="3610"/>
      <c r="B14" s="3611" t="s">
        <v>2480</v>
      </c>
      <c r="C14" s="3611"/>
      <c r="D14" s="2362"/>
      <c r="E14" s="2362"/>
      <c r="F14" s="2363"/>
      <c r="G14" s="2364"/>
      <c r="H14" s="2371"/>
      <c r="I14" s="2361">
        <f>ROUND(D14*E14*F14*G14/10000,0)</f>
        <v>0</v>
      </c>
    </row>
    <row r="15" spans="1:9">
      <c r="A15" s="3610"/>
      <c r="B15" s="3612" t="s">
        <v>2469</v>
      </c>
      <c r="C15" s="3612"/>
      <c r="D15" s="2366"/>
      <c r="E15" s="2366">
        <f>SUM(E12:E14)</f>
        <v>0</v>
      </c>
      <c r="F15" s="2367"/>
      <c r="G15" s="2364"/>
      <c r="H15" s="2371"/>
      <c r="I15" s="2372">
        <f>SUM(I12:I14)</f>
        <v>0</v>
      </c>
    </row>
    <row r="16" spans="1:9" ht="24">
      <c r="A16" s="3610" t="s">
        <v>2481</v>
      </c>
      <c r="B16" s="3611" t="s">
        <v>2482</v>
      </c>
      <c r="C16" s="3611"/>
      <c r="D16" s="2362" t="s">
        <v>2483</v>
      </c>
      <c r="E16" s="2373" t="s">
        <v>2484</v>
      </c>
      <c r="F16" s="2363" t="s">
        <v>2485</v>
      </c>
      <c r="G16" s="2364" t="s">
        <v>2475</v>
      </c>
      <c r="H16" s="2370" t="s">
        <v>2476</v>
      </c>
      <c r="I16" s="2361" t="s">
        <v>2477</v>
      </c>
    </row>
    <row r="17" spans="1:9" ht="14.25">
      <c r="A17" s="3610"/>
      <c r="B17" s="3611" t="s">
        <v>2486</v>
      </c>
      <c r="C17" s="3611"/>
      <c r="D17" s="2362"/>
      <c r="E17" s="2362"/>
      <c r="F17" s="2363"/>
      <c r="G17" s="2364"/>
      <c r="H17" s="2374"/>
      <c r="I17" s="2375">
        <f>ROUND(D17*E17*F17*G17/10000,0)</f>
        <v>0</v>
      </c>
    </row>
    <row r="18" spans="1:9" ht="14.25">
      <c r="A18" s="3610"/>
      <c r="B18" s="3611" t="s">
        <v>2487</v>
      </c>
      <c r="C18" s="3611"/>
      <c r="D18" s="2362"/>
      <c r="E18" s="2362"/>
      <c r="F18" s="2363"/>
      <c r="G18" s="2364"/>
      <c r="H18" s="2374"/>
      <c r="I18" s="2375">
        <f>ROUND(D18*E18*F18*G18/10000,0)</f>
        <v>0</v>
      </c>
    </row>
    <row r="19" spans="1:9" ht="14.25">
      <c r="A19" s="3610"/>
      <c r="B19" s="3611" t="s">
        <v>2488</v>
      </c>
      <c r="C19" s="3611"/>
      <c r="D19" s="2362"/>
      <c r="E19" s="2362"/>
      <c r="F19" s="2363"/>
      <c r="G19" s="2364"/>
      <c r="H19" s="2374"/>
      <c r="I19" s="2375">
        <f>ROUND(D19*E19*F19*G19/10000,0)</f>
        <v>0</v>
      </c>
    </row>
    <row r="20" spans="1:9">
      <c r="A20" s="3610"/>
      <c r="B20" s="3612" t="s">
        <v>2469</v>
      </c>
      <c r="C20" s="3612"/>
      <c r="D20" s="2366">
        <f>SUM(D17:D19)</f>
        <v>0</v>
      </c>
      <c r="E20" s="2366"/>
      <c r="F20" s="2367"/>
      <c r="G20" s="2364"/>
      <c r="H20" s="2371"/>
      <c r="I20" s="2372">
        <f>SUM(I17:I19)</f>
        <v>0</v>
      </c>
    </row>
    <row r="21" spans="1:9">
      <c r="A21" s="3610" t="s">
        <v>2489</v>
      </c>
      <c r="B21" s="3614"/>
      <c r="C21" s="3614"/>
      <c r="D21" s="3614"/>
      <c r="E21" s="3614"/>
      <c r="F21" s="3614"/>
      <c r="G21" s="3614"/>
      <c r="H21" s="2376">
        <v>0.1</v>
      </c>
      <c r="I21" s="2369">
        <f>ROUND(I10*H21,0)</f>
        <v>0</v>
      </c>
    </row>
    <row r="22" spans="1:9" ht="14.25">
      <c r="A22" s="3615" t="s">
        <v>2490</v>
      </c>
      <c r="B22" s="3616"/>
      <c r="C22" s="3617"/>
      <c r="D22" s="2377" t="s">
        <v>2491</v>
      </c>
      <c r="E22" s="2377" t="s">
        <v>2492</v>
      </c>
      <c r="F22" s="2378" t="s">
        <v>2493</v>
      </c>
      <c r="G22" s="2378" t="s">
        <v>2494</v>
      </c>
      <c r="H22" s="2370" t="s">
        <v>2495</v>
      </c>
      <c r="I22" s="2361" t="s">
        <v>2496</v>
      </c>
    </row>
    <row r="23" spans="1:9" ht="14.25" thickBot="1">
      <c r="A23" s="3618"/>
      <c r="B23" s="3619"/>
      <c r="C23" s="3620"/>
      <c r="D23" s="2379"/>
      <c r="E23" s="2379"/>
      <c r="F23" s="2379"/>
      <c r="G23" s="2380"/>
      <c r="H23" s="2381"/>
      <c r="I23" s="2382">
        <f>ROUND(E23*D23*F23*(1-G23)/10000,0)</f>
        <v>0</v>
      </c>
    </row>
    <row r="26" spans="1:9">
      <c r="A26" s="2383" t="s">
        <v>2497</v>
      </c>
      <c r="B26" s="2383"/>
      <c r="C26" s="2383"/>
      <c r="D26" s="2383"/>
      <c r="E26" s="3621">
        <f>C27-C30-C31-C32</f>
        <v>0</v>
      </c>
      <c r="F26" s="3621"/>
      <c r="G26" s="3621"/>
      <c r="H26" s="2756" t="s">
        <v>2822</v>
      </c>
    </row>
    <row r="27" spans="1:9">
      <c r="A27" s="2384">
        <v>1</v>
      </c>
      <c r="B27" s="2385" t="s">
        <v>2498</v>
      </c>
      <c r="C27" s="2385"/>
      <c r="D27" s="2385"/>
      <c r="E27" s="3622"/>
      <c r="F27" s="3622"/>
      <c r="G27" s="3622"/>
    </row>
    <row r="28" spans="1:9">
      <c r="A28" s="2386" t="s">
        <v>2499</v>
      </c>
      <c r="B28" s="2385" t="s">
        <v>2500</v>
      </c>
      <c r="C28" s="2385"/>
      <c r="D28" s="2385"/>
      <c r="E28" s="3622"/>
      <c r="F28" s="3622"/>
      <c r="G28" s="3622"/>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613"/>
      <c r="F32" s="3613"/>
      <c r="G32" s="3613"/>
    </row>
    <row r="33" spans="1:7" hidden="1">
      <c r="A33" s="3623" t="s">
        <v>2508</v>
      </c>
      <c r="B33" s="3624"/>
      <c r="C33" s="3624"/>
      <c r="D33" s="3625"/>
      <c r="E33" s="3621"/>
      <c r="F33" s="3621"/>
      <c r="G33" s="3621"/>
    </row>
    <row r="34" spans="1:7" hidden="1">
      <c r="A34" s="2388">
        <v>1</v>
      </c>
      <c r="B34" s="2385" t="s">
        <v>2509</v>
      </c>
      <c r="C34" s="2385"/>
      <c r="D34" s="2385"/>
      <c r="E34" s="3622"/>
      <c r="F34" s="3622"/>
      <c r="G34" s="3622"/>
    </row>
    <row r="35" spans="1:7" hidden="1">
      <c r="A35" s="2388">
        <v>2</v>
      </c>
      <c r="B35" s="2385" t="s">
        <v>2510</v>
      </c>
      <c r="C35" s="2385"/>
      <c r="D35" s="2385"/>
      <c r="E35" s="3622"/>
      <c r="F35" s="3622"/>
      <c r="G35" s="3622"/>
    </row>
    <row r="36" spans="1:7" hidden="1">
      <c r="A36" s="2388">
        <v>3</v>
      </c>
      <c r="B36" s="2385" t="s">
        <v>2511</v>
      </c>
      <c r="C36" s="2385"/>
      <c r="D36" s="2385"/>
      <c r="E36" s="3622"/>
      <c r="F36" s="3622"/>
      <c r="G36" s="3622"/>
    </row>
    <row r="37" spans="1:7" hidden="1">
      <c r="A37" s="2388">
        <v>4</v>
      </c>
      <c r="B37" s="2385" t="s">
        <v>2512</v>
      </c>
      <c r="C37" s="2385"/>
      <c r="D37" s="2385"/>
      <c r="E37" s="3622"/>
      <c r="F37" s="3622"/>
      <c r="G37" s="3622"/>
    </row>
    <row r="38" spans="1:7" hidden="1">
      <c r="A38" s="3623" t="s">
        <v>2513</v>
      </c>
      <c r="B38" s="3624"/>
      <c r="C38" s="3624"/>
      <c r="D38" s="3625"/>
      <c r="E38" s="3621"/>
      <c r="F38" s="3621"/>
      <c r="G38" s="362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E9" sqref="E9"/>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9896</v>
      </c>
      <c r="C2" s="3268"/>
      <c r="D2" s="3268"/>
      <c r="E2" s="3268"/>
      <c r="F2" s="3268"/>
      <c r="G2" s="3268"/>
    </row>
    <row r="3" spans="1:25" s="1942" customFormat="1" ht="18" customHeight="1">
      <c r="A3" s="1331" t="s">
        <v>1676</v>
      </c>
      <c r="B3" s="419">
        <f ca="1">ROUND(B2*10000/'数据-汇总表'!E3,0)</f>
        <v>4247</v>
      </c>
      <c r="C3" s="3268"/>
      <c r="D3" s="3268"/>
      <c r="E3" s="3268"/>
      <c r="F3" s="3268"/>
      <c r="G3" s="3268"/>
    </row>
    <row r="4" spans="1:25" s="1942" customFormat="1" ht="18" customHeight="1">
      <c r="A4" s="420" t="s">
        <v>462</v>
      </c>
      <c r="B4" s="421">
        <f ca="1">ROUND(B2*10000/'数据-汇总表'!D3,0)</f>
        <v>4247</v>
      </c>
      <c r="C4" s="3221"/>
      <c r="D4" s="3268"/>
      <c r="E4" s="3268"/>
      <c r="F4" s="3268"/>
      <c r="G4" s="3268"/>
    </row>
    <row r="5" spans="1:25" s="1942" customFormat="1" ht="18" customHeight="1" thickBot="1">
      <c r="A5" s="423"/>
      <c r="B5" s="424">
        <f ca="1">ROUND(B2/('数据-汇总表'!D3/666.67),0)</f>
        <v>283</v>
      </c>
      <c r="C5" s="425" t="s">
        <v>463</v>
      </c>
      <c r="D5" s="3268"/>
      <c r="E5" s="3268"/>
      <c r="F5" s="3268"/>
      <c r="G5" s="3268"/>
    </row>
    <row r="6" spans="1:25" s="2064" customFormat="1" ht="13.5" customHeight="1">
      <c r="A6" s="735"/>
      <c r="B6" s="736" t="s">
        <v>598</v>
      </c>
      <c r="C6" s="737" t="s">
        <v>599</v>
      </c>
      <c r="D6" s="737" t="s">
        <v>600</v>
      </c>
      <c r="E6" s="738" t="s">
        <v>601</v>
      </c>
      <c r="F6" s="738" t="s">
        <v>602</v>
      </c>
      <c r="G6" s="3267" t="s">
        <v>2995</v>
      </c>
    </row>
    <row r="7" spans="1:25" s="2064" customFormat="1" ht="13.5" customHeight="1">
      <c r="A7" s="2323">
        <v>1</v>
      </c>
      <c r="B7" s="739" t="s">
        <v>603</v>
      </c>
      <c r="C7" s="740">
        <f>C8+C9</f>
        <v>9233</v>
      </c>
      <c r="D7" s="740"/>
      <c r="E7" s="741"/>
      <c r="F7" s="741"/>
      <c r="G7" s="2332" t="s">
        <v>3185</v>
      </c>
    </row>
    <row r="8" spans="1:25" s="2064" customFormat="1" ht="13.5" customHeight="1">
      <c r="A8" s="2323" t="s">
        <v>2423</v>
      </c>
      <c r="B8" s="2326" t="s">
        <v>2425</v>
      </c>
      <c r="C8" s="3271">
        <f t="shared" ref="C8:C9" si="0">ROUND(D8*E8/10000,0)</f>
        <v>9233</v>
      </c>
      <c r="D8" s="3271">
        <f>'数据-基础表'!A3</f>
        <v>23300</v>
      </c>
      <c r="E8" s="3272">
        <f>'土地案例 (自来水)'!P15</f>
        <v>3962.5411932959341</v>
      </c>
      <c r="F8" s="741"/>
      <c r="G8" s="742"/>
    </row>
    <row r="9" spans="1:25" s="2064" customFormat="1" ht="13.5" customHeight="1">
      <c r="A9" s="2323" t="s">
        <v>2424</v>
      </c>
      <c r="B9" s="2326" t="s">
        <v>2426</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0</v>
      </c>
      <c r="F12" s="746"/>
      <c r="G12" s="749"/>
    </row>
    <row r="13" spans="1:25" s="2064" customFormat="1" ht="13.5" customHeight="1">
      <c r="A13" s="2329" t="s">
        <v>2430</v>
      </c>
      <c r="B13" s="747" t="s">
        <v>606</v>
      </c>
      <c r="C13" s="748">
        <f>ROUND(D13*E13/10000,0)</f>
        <v>466</v>
      </c>
      <c r="D13" s="3271">
        <f>'数据-汇总表'!E6</f>
        <v>23300</v>
      </c>
      <c r="E13" s="3271">
        <f>'数据-取费表'!B28</f>
        <v>200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201</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462</v>
      </c>
      <c r="D18" s="752"/>
      <c r="E18" s="753"/>
      <c r="F18" s="1302">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9896</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9896</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9896</v>
      </c>
      <c r="D22" s="750"/>
      <c r="E22" s="740"/>
      <c r="F22" s="756">
        <v>1</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9896</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515" t="s">
        <v>516</v>
      </c>
      <c r="D4" s="3516"/>
      <c r="E4" s="3549" t="s">
        <v>517</v>
      </c>
      <c r="F4" s="3550"/>
      <c r="G4" s="3515" t="s">
        <v>518</v>
      </c>
      <c r="H4" s="3516"/>
      <c r="I4" s="3515" t="s">
        <v>519</v>
      </c>
      <c r="J4" s="3516"/>
      <c r="K4" s="842" t="s">
        <v>520</v>
      </c>
      <c r="L4" s="2015"/>
      <c r="M4" s="2016"/>
      <c r="N4" s="2016"/>
      <c r="O4" s="2016"/>
      <c r="P4" s="3517" t="s">
        <v>521</v>
      </c>
      <c r="Q4" s="3518"/>
      <c r="R4" s="3523" t="s">
        <v>517</v>
      </c>
      <c r="S4" s="3524"/>
      <c r="T4" s="3523" t="s">
        <v>518</v>
      </c>
      <c r="U4" s="3524"/>
      <c r="V4" s="3510" t="s">
        <v>519</v>
      </c>
      <c r="W4" s="3510"/>
      <c r="X4" s="1502"/>
      <c r="Y4" s="3523" t="s">
        <v>521</v>
      </c>
      <c r="Z4" s="3524"/>
      <c r="AA4" s="3512" t="s">
        <v>517</v>
      </c>
      <c r="AB4" s="3512" t="s">
        <v>518</v>
      </c>
      <c r="AC4" s="3512" t="s">
        <v>519</v>
      </c>
    </row>
    <row r="5" spans="1:29" ht="15">
      <c r="A5" s="509"/>
      <c r="B5" s="510"/>
      <c r="C5" s="3531" t="s">
        <v>2897</v>
      </c>
      <c r="D5" s="3532"/>
      <c r="E5" s="3551" t="s">
        <v>2898</v>
      </c>
      <c r="F5" s="3552"/>
      <c r="G5" s="3531" t="s">
        <v>2899</v>
      </c>
      <c r="H5" s="3532"/>
      <c r="I5" s="3531" t="s">
        <v>2900</v>
      </c>
      <c r="J5" s="3532"/>
      <c r="K5" s="843"/>
      <c r="L5" s="2015"/>
      <c r="M5" s="2016"/>
      <c r="N5" s="2016"/>
      <c r="O5" s="2016"/>
      <c r="P5" s="3519"/>
      <c r="Q5" s="3520"/>
      <c r="R5" s="3525"/>
      <c r="S5" s="3526"/>
      <c r="T5" s="3525"/>
      <c r="U5" s="3526"/>
      <c r="V5" s="3510"/>
      <c r="W5" s="3510"/>
      <c r="X5" s="1502"/>
      <c r="Y5" s="3525"/>
      <c r="Z5" s="3526"/>
      <c r="AA5" s="3513"/>
      <c r="AB5" s="3513"/>
      <c r="AC5" s="3513"/>
    </row>
    <row r="6" spans="1:29" ht="15.75" thickBot="1">
      <c r="A6" s="511"/>
      <c r="B6" s="512"/>
      <c r="C6" s="3529" t="s">
        <v>2901</v>
      </c>
      <c r="D6" s="3530"/>
      <c r="E6" s="3547" t="s">
        <v>2901</v>
      </c>
      <c r="F6" s="3548"/>
      <c r="G6" s="3529" t="s">
        <v>2901</v>
      </c>
      <c r="H6" s="3530"/>
      <c r="I6" s="3529" t="s">
        <v>2901</v>
      </c>
      <c r="J6" s="3530"/>
      <c r="K6" s="843" t="s">
        <v>522</v>
      </c>
      <c r="L6" s="2015"/>
      <c r="M6" s="2016"/>
      <c r="N6" s="2016"/>
      <c r="O6" s="2016"/>
      <c r="P6" s="3521"/>
      <c r="Q6" s="3522"/>
      <c r="R6" s="3525"/>
      <c r="S6" s="3526"/>
      <c r="T6" s="3527"/>
      <c r="U6" s="3528"/>
      <c r="V6" s="3510"/>
      <c r="W6" s="3510"/>
      <c r="X6" s="1502"/>
      <c r="Y6" s="3527"/>
      <c r="Z6" s="3528"/>
      <c r="AA6" s="3514"/>
      <c r="AB6" s="3514"/>
      <c r="AC6" s="3514"/>
    </row>
    <row r="7" spans="1:29" s="1203" customFormat="1" ht="15.75" thickBot="1">
      <c r="A7" s="2629"/>
      <c r="B7" s="2636" t="s">
        <v>523</v>
      </c>
      <c r="C7" s="513">
        <f>'数据-取费表'!B2</f>
        <v>44071</v>
      </c>
      <c r="D7" s="514">
        <v>100</v>
      </c>
      <c r="E7" s="515"/>
      <c r="F7" s="516">
        <f>SUMIF(58:58,YEAR(E7)&amp;"-"&amp;MONTH(E7),59:59)</f>
        <v>0</v>
      </c>
      <c r="G7" s="517"/>
      <c r="H7" s="514">
        <f>SUMIF(58:58,YEAR(G7)&amp;"-"&amp;MONTH(G7),59:59)</f>
        <v>0</v>
      </c>
      <c r="I7" s="517"/>
      <c r="J7" s="514">
        <f>SUMIF(58:58,YEAR(I7)&amp;"-"&amp;MONTH(I7),59:59)</f>
        <v>0</v>
      </c>
      <c r="K7" s="844"/>
      <c r="L7" s="2017"/>
      <c r="M7" s="2018"/>
      <c r="N7" s="2018"/>
      <c r="O7" s="2018"/>
      <c r="P7" s="3540" t="s">
        <v>524</v>
      </c>
      <c r="Q7" s="3542"/>
      <c r="R7" s="1503" t="s">
        <v>13</v>
      </c>
      <c r="S7" s="1504">
        <f t="shared" ref="S7:S15" si="0">F7</f>
        <v>0</v>
      </c>
      <c r="T7" s="1503" t="s">
        <v>13</v>
      </c>
      <c r="U7" s="1504">
        <f t="shared" ref="U7:U15" si="1">H7</f>
        <v>0</v>
      </c>
      <c r="V7" s="1503" t="s">
        <v>13</v>
      </c>
      <c r="W7" s="1504">
        <f t="shared" ref="W7:W15" si="2">J7</f>
        <v>0</v>
      </c>
      <c r="X7" s="1505"/>
      <c r="Y7" s="3540" t="s">
        <v>524</v>
      </c>
      <c r="Z7" s="3541"/>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540" t="s">
        <v>527</v>
      </c>
      <c r="Q8" s="3541"/>
      <c r="R8" s="1503" t="s">
        <v>13</v>
      </c>
      <c r="S8" s="1504">
        <f t="shared" si="0"/>
        <v>0</v>
      </c>
      <c r="T8" s="1503" t="s">
        <v>13</v>
      </c>
      <c r="U8" s="1504">
        <f t="shared" si="1"/>
        <v>0</v>
      </c>
      <c r="V8" s="1503" t="s">
        <v>13</v>
      </c>
      <c r="W8" s="1504">
        <f t="shared" si="2"/>
        <v>0</v>
      </c>
      <c r="X8" s="1505"/>
      <c r="Y8" s="3540" t="s">
        <v>527</v>
      </c>
      <c r="Z8" s="3541"/>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509" t="s">
        <v>529</v>
      </c>
      <c r="Q9" s="1134" t="str">
        <f t="shared" ref="Q9:Q15" si="6">B9</f>
        <v>用途</v>
      </c>
      <c r="R9" s="1503" t="s">
        <v>8</v>
      </c>
      <c r="S9" s="1504">
        <f t="shared" si="0"/>
        <v>100</v>
      </c>
      <c r="T9" s="1503" t="s">
        <v>8</v>
      </c>
      <c r="U9" s="1504">
        <f t="shared" si="1"/>
        <v>100</v>
      </c>
      <c r="V9" s="1503" t="s">
        <v>8</v>
      </c>
      <c r="W9" s="1504">
        <f t="shared" si="2"/>
        <v>100</v>
      </c>
      <c r="X9" s="1505"/>
      <c r="Y9" s="345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509"/>
      <c r="Q10" s="1134" t="str">
        <f t="shared" si="6"/>
        <v>土地使用年限（年）</v>
      </c>
      <c r="R10" s="1503" t="s">
        <v>8</v>
      </c>
      <c r="S10" s="1504">
        <f t="shared" si="0"/>
        <v>100</v>
      </c>
      <c r="T10" s="1503" t="s">
        <v>8</v>
      </c>
      <c r="U10" s="1504">
        <f t="shared" si="1"/>
        <v>100</v>
      </c>
      <c r="V10" s="1503" t="s">
        <v>8</v>
      </c>
      <c r="W10" s="1504">
        <f t="shared" si="2"/>
        <v>100</v>
      </c>
      <c r="X10" s="1505"/>
      <c r="Y10" s="3455"/>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509"/>
      <c r="Q11" s="1134" t="str">
        <f t="shared" si="6"/>
        <v>容积率</v>
      </c>
      <c r="R11" s="1503" t="s">
        <v>11</v>
      </c>
      <c r="S11" s="1504" t="e">
        <f t="shared" si="0"/>
        <v>#N/A</v>
      </c>
      <c r="T11" s="1503" t="s">
        <v>11</v>
      </c>
      <c r="U11" s="1504" t="e">
        <f t="shared" si="1"/>
        <v>#N/A</v>
      </c>
      <c r="V11" s="1503" t="s">
        <v>11</v>
      </c>
      <c r="W11" s="1504" t="e">
        <f t="shared" si="2"/>
        <v>#N/A</v>
      </c>
      <c r="X11" s="1505"/>
      <c r="Y11" s="345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09"/>
      <c r="Q12" s="1134">
        <f t="shared" si="6"/>
        <v>111</v>
      </c>
      <c r="R12" s="1503" t="s">
        <v>11</v>
      </c>
      <c r="S12" s="1504">
        <f t="shared" si="0"/>
        <v>100</v>
      </c>
      <c r="T12" s="1503" t="s">
        <v>11</v>
      </c>
      <c r="U12" s="1504">
        <f t="shared" si="1"/>
        <v>100</v>
      </c>
      <c r="V12" s="1503" t="s">
        <v>11</v>
      </c>
      <c r="W12" s="1504">
        <f t="shared" si="2"/>
        <v>100</v>
      </c>
      <c r="X12" s="1505"/>
      <c r="Y12" s="3455"/>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09"/>
      <c r="Q13" s="1134">
        <f t="shared" si="6"/>
        <v>111</v>
      </c>
      <c r="R13" s="1503" t="s">
        <v>11</v>
      </c>
      <c r="S13" s="1504">
        <f t="shared" si="0"/>
        <v>100</v>
      </c>
      <c r="T13" s="1503" t="s">
        <v>11</v>
      </c>
      <c r="U13" s="1504">
        <f t="shared" si="1"/>
        <v>100</v>
      </c>
      <c r="V13" s="1503" t="s">
        <v>11</v>
      </c>
      <c r="W13" s="1504">
        <f t="shared" si="2"/>
        <v>100</v>
      </c>
      <c r="X13" s="1505"/>
      <c r="Y13" s="3455"/>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09"/>
      <c r="Q14" s="1134">
        <f t="shared" si="6"/>
        <v>111</v>
      </c>
      <c r="R14" s="1503" t="s">
        <v>11</v>
      </c>
      <c r="S14" s="1504">
        <f t="shared" si="0"/>
        <v>100</v>
      </c>
      <c r="T14" s="1503" t="s">
        <v>11</v>
      </c>
      <c r="U14" s="1504">
        <f t="shared" si="1"/>
        <v>100</v>
      </c>
      <c r="V14" s="1503" t="s">
        <v>11</v>
      </c>
      <c r="W14" s="1504">
        <f t="shared" si="2"/>
        <v>100</v>
      </c>
      <c r="X14" s="1505"/>
      <c r="Y14" s="3455"/>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43" t="s">
        <v>534</v>
      </c>
      <c r="Q15" s="1507" t="str">
        <f t="shared" si="6"/>
        <v>居住社区成熟度</v>
      </c>
      <c r="R15" s="1508" t="s">
        <v>11</v>
      </c>
      <c r="S15" s="1509">
        <f t="shared" si="0"/>
        <v>100</v>
      </c>
      <c r="T15" s="1508" t="s">
        <v>11</v>
      </c>
      <c r="U15" s="1509">
        <f t="shared" si="1"/>
        <v>100</v>
      </c>
      <c r="V15" s="1508" t="s">
        <v>11</v>
      </c>
      <c r="W15" s="1509">
        <f t="shared" si="2"/>
        <v>100</v>
      </c>
      <c r="X15" s="1502"/>
      <c r="Y15" s="3543"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544"/>
      <c r="Q16" s="1507"/>
      <c r="R16" s="1508"/>
      <c r="S16" s="1509"/>
      <c r="T16" s="1508"/>
      <c r="U16" s="1509"/>
      <c r="V16" s="1508"/>
      <c r="W16" s="1509"/>
      <c r="X16" s="1502"/>
      <c r="Y16" s="3544"/>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44"/>
      <c r="Q17" s="1507" t="str">
        <f>B17</f>
        <v>交通便捷度</v>
      </c>
      <c r="R17" s="1508" t="s">
        <v>11</v>
      </c>
      <c r="S17" s="1509">
        <f>F17</f>
        <v>100</v>
      </c>
      <c r="T17" s="1508" t="s">
        <v>11</v>
      </c>
      <c r="U17" s="1509">
        <f>H17</f>
        <v>100</v>
      </c>
      <c r="V17" s="1508" t="s">
        <v>11</v>
      </c>
      <c r="W17" s="1509">
        <f>J17</f>
        <v>100</v>
      </c>
      <c r="X17" s="1502"/>
      <c r="Y17" s="354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544"/>
      <c r="Q18" s="1507"/>
      <c r="R18" s="1508"/>
      <c r="S18" s="1509"/>
      <c r="T18" s="1508"/>
      <c r="U18" s="1509"/>
      <c r="V18" s="1508"/>
      <c r="W18" s="1509"/>
      <c r="X18" s="1502"/>
      <c r="Y18" s="3544"/>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44"/>
      <c r="Q19" s="1507" t="str">
        <f>B19</f>
        <v>公共配套设施</v>
      </c>
      <c r="R19" s="1508" t="s">
        <v>11</v>
      </c>
      <c r="S19" s="1509">
        <f>F19</f>
        <v>100</v>
      </c>
      <c r="T19" s="1508" t="s">
        <v>11</v>
      </c>
      <c r="U19" s="1509">
        <f>H19</f>
        <v>100</v>
      </c>
      <c r="V19" s="1508" t="s">
        <v>11</v>
      </c>
      <c r="W19" s="1509">
        <f>J19</f>
        <v>100</v>
      </c>
      <c r="X19" s="1502"/>
      <c r="Y19" s="3544"/>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544"/>
      <c r="Q20" s="1507"/>
      <c r="R20" s="1508"/>
      <c r="S20" s="1509"/>
      <c r="T20" s="1508"/>
      <c r="U20" s="1509"/>
      <c r="V20" s="1508"/>
      <c r="W20" s="1509"/>
      <c r="X20" s="1502"/>
      <c r="Y20" s="3544"/>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44"/>
      <c r="Q21" s="2429" t="str">
        <f>B21</f>
        <v>基础设施水平</v>
      </c>
      <c r="R21" s="1508" t="s">
        <v>11</v>
      </c>
      <c r="S21" s="1509">
        <f>F21</f>
        <v>100</v>
      </c>
      <c r="T21" s="1508" t="s">
        <v>11</v>
      </c>
      <c r="U21" s="1509">
        <f>H21</f>
        <v>100</v>
      </c>
      <c r="V21" s="1508" t="s">
        <v>11</v>
      </c>
      <c r="W21" s="1509">
        <f>J21</f>
        <v>100</v>
      </c>
      <c r="X21" s="2431"/>
      <c r="Y21" s="3544"/>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544"/>
      <c r="Q22" s="2429"/>
      <c r="R22" s="1508"/>
      <c r="S22" s="1509"/>
      <c r="T22" s="1508"/>
      <c r="U22" s="1509"/>
      <c r="V22" s="1508"/>
      <c r="W22" s="1509"/>
      <c r="X22" s="2431"/>
      <c r="Y22" s="3544"/>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44"/>
      <c r="Q23" s="1507" t="str">
        <f>B23</f>
        <v>自然及人文环境</v>
      </c>
      <c r="R23" s="1508" t="s">
        <v>11</v>
      </c>
      <c r="S23" s="1509">
        <f>F23</f>
        <v>100</v>
      </c>
      <c r="T23" s="1508" t="s">
        <v>11</v>
      </c>
      <c r="U23" s="1509">
        <f>H23</f>
        <v>100</v>
      </c>
      <c r="V23" s="1508" t="s">
        <v>11</v>
      </c>
      <c r="W23" s="1509">
        <f>J23</f>
        <v>100</v>
      </c>
      <c r="X23" s="1502"/>
      <c r="Y23" s="3544"/>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544"/>
      <c r="Q24" s="1507"/>
      <c r="R24" s="1508"/>
      <c r="S24" s="1509"/>
      <c r="T24" s="1508"/>
      <c r="U24" s="1509"/>
      <c r="V24" s="1508"/>
      <c r="W24" s="1509"/>
      <c r="X24" s="1502"/>
      <c r="Y24" s="3544"/>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44"/>
      <c r="Q25" s="1507" t="str">
        <f t="shared" ref="Q25:Q46" si="11">B25</f>
        <v>楼层-1</v>
      </c>
      <c r="R25" s="1508" t="s">
        <v>11</v>
      </c>
      <c r="S25" s="1509">
        <f>F25</f>
        <v>100</v>
      </c>
      <c r="T25" s="1508" t="s">
        <v>11</v>
      </c>
      <c r="U25" s="1509">
        <f>H25</f>
        <v>100</v>
      </c>
      <c r="V25" s="1508" t="s">
        <v>11</v>
      </c>
      <c r="W25" s="1509">
        <f>J25</f>
        <v>100</v>
      </c>
      <c r="X25" s="1502"/>
      <c r="Y25" s="3544"/>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44"/>
      <c r="Q26" s="1507" t="str">
        <f t="shared" si="11"/>
        <v>朝向</v>
      </c>
      <c r="R26" s="1508" t="s">
        <v>11</v>
      </c>
      <c r="S26" s="1509">
        <f>F26</f>
        <v>100</v>
      </c>
      <c r="T26" s="1508" t="s">
        <v>11</v>
      </c>
      <c r="U26" s="1509">
        <f>H26</f>
        <v>100</v>
      </c>
      <c r="V26" s="1508" t="s">
        <v>11</v>
      </c>
      <c r="W26" s="1509">
        <f>J26</f>
        <v>100</v>
      </c>
      <c r="X26" s="1502"/>
      <c r="Y26" s="3544"/>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44"/>
      <c r="Q27" s="1134" t="str">
        <f t="shared" si="11"/>
        <v>道路级别</v>
      </c>
      <c r="R27" s="1503" t="s">
        <v>11</v>
      </c>
      <c r="S27" s="1504">
        <f>F27</f>
        <v>100</v>
      </c>
      <c r="T27" s="1503" t="s">
        <v>11</v>
      </c>
      <c r="U27" s="1504">
        <f>H27</f>
        <v>100</v>
      </c>
      <c r="V27" s="1503" t="s">
        <v>11</v>
      </c>
      <c r="W27" s="1504">
        <f>J27</f>
        <v>100</v>
      </c>
      <c r="X27" s="1505"/>
      <c r="Y27" s="3544"/>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44"/>
      <c r="Q28" s="1507">
        <f t="shared" si="11"/>
        <v>111</v>
      </c>
      <c r="R28" s="1508" t="s">
        <v>11</v>
      </c>
      <c r="S28" s="1509">
        <f t="shared" ref="S28:S46" si="12">F28</f>
        <v>100</v>
      </c>
      <c r="T28" s="1508" t="s">
        <v>11</v>
      </c>
      <c r="U28" s="1509">
        <f t="shared" ref="U28:U46" si="13">H28</f>
        <v>100</v>
      </c>
      <c r="V28" s="1508" t="s">
        <v>11</v>
      </c>
      <c r="W28" s="1509">
        <f t="shared" ref="W28:W46" si="14">J28</f>
        <v>100</v>
      </c>
      <c r="X28" s="1502"/>
      <c r="Y28" s="3544"/>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44"/>
      <c r="Q29" s="1507">
        <f t="shared" si="11"/>
        <v>111</v>
      </c>
      <c r="R29" s="1508" t="s">
        <v>11</v>
      </c>
      <c r="S29" s="1509">
        <f t="shared" si="12"/>
        <v>100</v>
      </c>
      <c r="T29" s="1508" t="s">
        <v>11</v>
      </c>
      <c r="U29" s="1509">
        <f t="shared" si="13"/>
        <v>100</v>
      </c>
      <c r="V29" s="1508" t="s">
        <v>11</v>
      </c>
      <c r="W29" s="1509">
        <f t="shared" si="14"/>
        <v>100</v>
      </c>
      <c r="X29" s="1502"/>
      <c r="Y29" s="3544"/>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44"/>
      <c r="Q30" s="1507">
        <f t="shared" si="11"/>
        <v>111</v>
      </c>
      <c r="R30" s="1508" t="s">
        <v>11</v>
      </c>
      <c r="S30" s="1509">
        <f t="shared" si="12"/>
        <v>100</v>
      </c>
      <c r="T30" s="1508" t="s">
        <v>11</v>
      </c>
      <c r="U30" s="1509">
        <f t="shared" si="13"/>
        <v>100</v>
      </c>
      <c r="V30" s="1508" t="s">
        <v>11</v>
      </c>
      <c r="W30" s="1509">
        <f t="shared" si="14"/>
        <v>100</v>
      </c>
      <c r="X30" s="1502"/>
      <c r="Y30" s="3544"/>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44"/>
      <c r="Q31" s="1507">
        <f t="shared" si="11"/>
        <v>111</v>
      </c>
      <c r="R31" s="1508" t="s">
        <v>11</v>
      </c>
      <c r="S31" s="1509">
        <f t="shared" si="12"/>
        <v>100</v>
      </c>
      <c r="T31" s="1508" t="s">
        <v>11</v>
      </c>
      <c r="U31" s="1509">
        <f t="shared" si="13"/>
        <v>100</v>
      </c>
      <c r="V31" s="1508" t="s">
        <v>11</v>
      </c>
      <c r="W31" s="1509">
        <f t="shared" si="14"/>
        <v>100</v>
      </c>
      <c r="X31" s="1502"/>
      <c r="Y31" s="3544"/>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545" t="s">
        <v>544</v>
      </c>
      <c r="Q32" s="1507" t="str">
        <f t="shared" si="11"/>
        <v>建筑类型</v>
      </c>
      <c r="R32" s="1508" t="s">
        <v>11</v>
      </c>
      <c r="S32" s="1509">
        <f t="shared" si="12"/>
        <v>100</v>
      </c>
      <c r="T32" s="1508" t="s">
        <v>11</v>
      </c>
      <c r="U32" s="1509">
        <f t="shared" si="13"/>
        <v>100</v>
      </c>
      <c r="V32" s="1508" t="s">
        <v>11</v>
      </c>
      <c r="W32" s="1509">
        <f t="shared" si="14"/>
        <v>100</v>
      </c>
      <c r="X32" s="1502"/>
      <c r="Y32" s="3546"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546"/>
      <c r="Q33" s="1536" t="str">
        <f t="shared" si="11"/>
        <v>项目建筑规模</v>
      </c>
      <c r="R33" s="1512" t="s">
        <v>11</v>
      </c>
      <c r="S33" s="1513" t="e">
        <f t="shared" si="12"/>
        <v>#N/A</v>
      </c>
      <c r="T33" s="1512" t="s">
        <v>11</v>
      </c>
      <c r="U33" s="1513" t="e">
        <f t="shared" si="13"/>
        <v>#N/A</v>
      </c>
      <c r="V33" s="1512" t="s">
        <v>11</v>
      </c>
      <c r="W33" s="1513" t="e">
        <f t="shared" si="14"/>
        <v>#N/A</v>
      </c>
      <c r="X33" s="1514"/>
      <c r="Y33" s="3546"/>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546"/>
      <c r="Q34" s="1507" t="str">
        <f t="shared" si="11"/>
        <v>建筑结构</v>
      </c>
      <c r="R34" s="1508" t="s">
        <v>11</v>
      </c>
      <c r="S34" s="1509">
        <f t="shared" si="12"/>
        <v>100</v>
      </c>
      <c r="T34" s="1508" t="s">
        <v>11</v>
      </c>
      <c r="U34" s="1509">
        <f t="shared" si="13"/>
        <v>100</v>
      </c>
      <c r="V34" s="1508" t="s">
        <v>11</v>
      </c>
      <c r="W34" s="1509">
        <f t="shared" si="14"/>
        <v>100</v>
      </c>
      <c r="X34" s="1502"/>
      <c r="Y34" s="3546"/>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46"/>
      <c r="Q35" s="1507" t="str">
        <f t="shared" si="11"/>
        <v>建筑品质</v>
      </c>
      <c r="R35" s="1508" t="s">
        <v>11</v>
      </c>
      <c r="S35" s="1509">
        <f t="shared" si="12"/>
        <v>100</v>
      </c>
      <c r="T35" s="1508" t="s">
        <v>11</v>
      </c>
      <c r="U35" s="1509">
        <f t="shared" si="13"/>
        <v>100</v>
      </c>
      <c r="V35" s="1508" t="s">
        <v>11</v>
      </c>
      <c r="W35" s="1509">
        <f t="shared" si="14"/>
        <v>100</v>
      </c>
      <c r="X35" s="1502"/>
      <c r="Y35" s="3546"/>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46"/>
      <c r="Q36" s="1507" t="str">
        <f t="shared" si="11"/>
        <v>公共部分装修</v>
      </c>
      <c r="R36" s="1508" t="s">
        <v>11</v>
      </c>
      <c r="S36" s="1509">
        <f t="shared" si="12"/>
        <v>100</v>
      </c>
      <c r="T36" s="1508" t="s">
        <v>11</v>
      </c>
      <c r="U36" s="1509">
        <f t="shared" si="13"/>
        <v>100</v>
      </c>
      <c r="V36" s="1508" t="s">
        <v>11</v>
      </c>
      <c r="W36" s="1509">
        <f t="shared" si="14"/>
        <v>100</v>
      </c>
      <c r="X36" s="1502"/>
      <c r="Y36" s="3546"/>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546"/>
      <c r="Q37" s="1134" t="str">
        <f t="shared" si="11"/>
        <v>成新度</v>
      </c>
      <c r="R37" s="1503" t="s">
        <v>11</v>
      </c>
      <c r="S37" s="1504" t="e">
        <f t="shared" si="12"/>
        <v>#N/A</v>
      </c>
      <c r="T37" s="1503" t="s">
        <v>11</v>
      </c>
      <c r="U37" s="1504" t="e">
        <f t="shared" si="13"/>
        <v>#N/A</v>
      </c>
      <c r="V37" s="1503" t="s">
        <v>11</v>
      </c>
      <c r="W37" s="1504" t="e">
        <f t="shared" si="14"/>
        <v>#N/A</v>
      </c>
      <c r="X37" s="1505"/>
      <c r="Y37" s="3546"/>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46" t="s">
        <v>544</v>
      </c>
      <c r="Q38" s="1507" t="str">
        <f t="shared" si="11"/>
        <v>物业管理</v>
      </c>
      <c r="R38" s="1508" t="s">
        <v>11</v>
      </c>
      <c r="S38" s="1509">
        <f t="shared" si="12"/>
        <v>100</v>
      </c>
      <c r="T38" s="1508" t="s">
        <v>11</v>
      </c>
      <c r="U38" s="1509">
        <f t="shared" si="13"/>
        <v>100</v>
      </c>
      <c r="V38" s="1508" t="s">
        <v>11</v>
      </c>
      <c r="W38" s="1509">
        <f t="shared" si="14"/>
        <v>100</v>
      </c>
      <c r="X38" s="1502"/>
      <c r="Y38" s="3546"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46"/>
      <c r="Q39" s="1507" t="str">
        <f t="shared" si="11"/>
        <v>市政基础设施</v>
      </c>
      <c r="R39" s="1508" t="s">
        <v>11</v>
      </c>
      <c r="S39" s="1509">
        <f t="shared" si="12"/>
        <v>100</v>
      </c>
      <c r="T39" s="1508" t="s">
        <v>11</v>
      </c>
      <c r="U39" s="1509">
        <f t="shared" si="13"/>
        <v>100</v>
      </c>
      <c r="V39" s="1508" t="s">
        <v>11</v>
      </c>
      <c r="W39" s="1509">
        <f t="shared" si="14"/>
        <v>100</v>
      </c>
      <c r="X39" s="1502"/>
      <c r="Y39" s="3546"/>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46"/>
      <c r="Q40" s="1507" t="str">
        <f t="shared" si="11"/>
        <v>房型</v>
      </c>
      <c r="R40" s="1508" t="s">
        <v>11</v>
      </c>
      <c r="S40" s="1509">
        <f t="shared" si="12"/>
        <v>100</v>
      </c>
      <c r="T40" s="1508" t="s">
        <v>11</v>
      </c>
      <c r="U40" s="1509">
        <f t="shared" si="13"/>
        <v>100</v>
      </c>
      <c r="V40" s="1508" t="s">
        <v>11</v>
      </c>
      <c r="W40" s="1509">
        <f t="shared" si="14"/>
        <v>100</v>
      </c>
      <c r="X40" s="1502"/>
      <c r="Y40" s="3546"/>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46"/>
      <c r="Q41" s="1536" t="str">
        <f t="shared" si="11"/>
        <v>单套/主力户型建筑面积</v>
      </c>
      <c r="R41" s="1512" t="s">
        <v>11</v>
      </c>
      <c r="S41" s="1513">
        <f t="shared" si="12"/>
        <v>100</v>
      </c>
      <c r="T41" s="1512" t="s">
        <v>11</v>
      </c>
      <c r="U41" s="1513">
        <f t="shared" si="13"/>
        <v>100</v>
      </c>
      <c r="V41" s="1512" t="s">
        <v>11</v>
      </c>
      <c r="W41" s="1513">
        <f t="shared" si="14"/>
        <v>100</v>
      </c>
      <c r="X41" s="1514"/>
      <c r="Y41" s="3546"/>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546"/>
      <c r="Q42" s="1507" t="str">
        <f t="shared" si="11"/>
        <v>内部装修</v>
      </c>
      <c r="R42" s="1508" t="s">
        <v>11</v>
      </c>
      <c r="S42" s="1509">
        <f t="shared" si="12"/>
        <v>100</v>
      </c>
      <c r="T42" s="1508" t="s">
        <v>11</v>
      </c>
      <c r="U42" s="1509">
        <f t="shared" si="13"/>
        <v>100</v>
      </c>
      <c r="V42" s="1508" t="s">
        <v>11</v>
      </c>
      <c r="W42" s="1509">
        <f t="shared" si="14"/>
        <v>100</v>
      </c>
      <c r="X42" s="1502"/>
      <c r="Y42" s="3546"/>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46"/>
      <c r="Q43" s="1507" t="str">
        <f t="shared" si="11"/>
        <v>内部装修维护情况</v>
      </c>
      <c r="R43" s="1508" t="s">
        <v>11</v>
      </c>
      <c r="S43" s="1509">
        <f t="shared" si="12"/>
        <v>100</v>
      </c>
      <c r="T43" s="1508" t="s">
        <v>11</v>
      </c>
      <c r="U43" s="1509">
        <f t="shared" si="13"/>
        <v>100</v>
      </c>
      <c r="V43" s="1508" t="s">
        <v>11</v>
      </c>
      <c r="W43" s="1509">
        <f t="shared" si="14"/>
        <v>100</v>
      </c>
      <c r="X43" s="1502"/>
      <c r="Y43" s="3546"/>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46"/>
      <c r="Q44" s="1134">
        <f t="shared" si="11"/>
        <v>111</v>
      </c>
      <c r="R44" s="1503" t="s">
        <v>11</v>
      </c>
      <c r="S44" s="1504">
        <f t="shared" si="12"/>
        <v>100</v>
      </c>
      <c r="T44" s="1503" t="s">
        <v>11</v>
      </c>
      <c r="U44" s="1504">
        <f t="shared" si="13"/>
        <v>100</v>
      </c>
      <c r="V44" s="1503" t="s">
        <v>11</v>
      </c>
      <c r="W44" s="1504">
        <f t="shared" si="14"/>
        <v>100</v>
      </c>
      <c r="X44" s="1505"/>
      <c r="Y44" s="3546"/>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46"/>
      <c r="Q45" s="1507">
        <f t="shared" si="11"/>
        <v>111</v>
      </c>
      <c r="R45" s="1508" t="s">
        <v>11</v>
      </c>
      <c r="S45" s="1509">
        <f t="shared" si="12"/>
        <v>100</v>
      </c>
      <c r="T45" s="1508" t="s">
        <v>11</v>
      </c>
      <c r="U45" s="1509">
        <f t="shared" si="13"/>
        <v>100</v>
      </c>
      <c r="V45" s="1508" t="s">
        <v>11</v>
      </c>
      <c r="W45" s="1509">
        <f t="shared" si="14"/>
        <v>100</v>
      </c>
      <c r="X45" s="1502"/>
      <c r="Y45" s="3546"/>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28"/>
      <c r="Q46" s="1507">
        <f t="shared" si="11"/>
        <v>111</v>
      </c>
      <c r="R46" s="1508" t="s">
        <v>10</v>
      </c>
      <c r="S46" s="1509">
        <f t="shared" si="12"/>
        <v>100</v>
      </c>
      <c r="T46" s="1508" t="s">
        <v>10</v>
      </c>
      <c r="U46" s="1509">
        <f t="shared" si="13"/>
        <v>100</v>
      </c>
      <c r="V46" s="1508" t="s">
        <v>10</v>
      </c>
      <c r="W46" s="1509">
        <f t="shared" si="14"/>
        <v>100</v>
      </c>
      <c r="X46" s="1502"/>
      <c r="Y46" s="3628"/>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509" t="str">
        <f>A47</f>
        <v>成交单价（元/平方米）</v>
      </c>
      <c r="Q47" s="3509"/>
      <c r="R47" s="3627">
        <f>E47</f>
        <v>0</v>
      </c>
      <c r="S47" s="3627"/>
      <c r="T47" s="3627">
        <f>G47</f>
        <v>0</v>
      </c>
      <c r="U47" s="3627"/>
      <c r="V47" s="3627">
        <f>I47</f>
        <v>0</v>
      </c>
      <c r="W47" s="3627"/>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27"/>
      <c r="O48" s="2027"/>
      <c r="P48" s="3509" t="str">
        <f>A48</f>
        <v>比较价格（元/平方米）</v>
      </c>
      <c r="Q48" s="3509"/>
      <c r="R48" s="3627" t="e">
        <f>IF(F1="售价",ROUND(PRODUCT(R47,AA7:AA46),0),ROUND(PRODUCT(R47,AA7:AA46),1))</f>
        <v>#DIV/0!</v>
      </c>
      <c r="S48" s="3627"/>
      <c r="T48" s="3627" t="e">
        <f>IF(F1="售价",ROUND(PRODUCT(T47,AB7:AB46),0),ROUND(PRODUCT(T47,AB7:AB46),1))</f>
        <v>#DIV/0!</v>
      </c>
      <c r="U48" s="3627"/>
      <c r="V48" s="3627" t="e">
        <f>IF(F1="售价",ROUND(PRODUCT(V47,AC7:AC46),0),ROUND(PRODUCT(V47,AC7:AC46),1))</f>
        <v>#DIV/0!</v>
      </c>
      <c r="W48" s="3627"/>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38"/>
      <c r="L49" s="2026"/>
      <c r="M49" s="2027"/>
      <c r="N49" s="2027"/>
      <c r="O49" s="2027"/>
      <c r="P49" s="3506" t="str">
        <f>A49</f>
        <v>估价对象XX用房的比较价格（楼面单价，元/平方米）</v>
      </c>
      <c r="Q49" s="3507"/>
      <c r="R49" s="3626" t="e">
        <f>IF(F1="售价",ROUND(IF(D48="简单平均",AVERAGE(R48:V48),R48*F48+T48*H48+V48*J48),0),ROUND(IF(D48="简单平均",AVERAGE(R48:V48),R48*F48+T48*H48+V48*J48),1))</f>
        <v>#DIV/0!</v>
      </c>
      <c r="S49" s="3626"/>
      <c r="T49" s="3626"/>
      <c r="U49" s="3626"/>
      <c r="V49" s="3626"/>
      <c r="W49" s="3626"/>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2020-8</v>
      </c>
      <c r="D58" s="2521">
        <f>EDATE(C58,-1)</f>
        <v>44013</v>
      </c>
      <c r="E58" s="2521">
        <f t="shared" ref="E58:O58" si="16">EDATE(D58,-1)</f>
        <v>43983</v>
      </c>
      <c r="F58" s="2521">
        <f t="shared" si="16"/>
        <v>43952</v>
      </c>
      <c r="G58" s="2521">
        <f t="shared" si="16"/>
        <v>43922</v>
      </c>
      <c r="H58" s="2521">
        <f t="shared" si="16"/>
        <v>43891</v>
      </c>
      <c r="I58" s="2521">
        <f t="shared" si="16"/>
        <v>43862</v>
      </c>
      <c r="J58" s="2521">
        <f t="shared" si="16"/>
        <v>43831</v>
      </c>
      <c r="K58" s="2521">
        <f t="shared" si="16"/>
        <v>43800</v>
      </c>
      <c r="L58" s="2521">
        <f t="shared" si="16"/>
        <v>43770</v>
      </c>
      <c r="M58" s="2521">
        <f t="shared" si="16"/>
        <v>43739</v>
      </c>
      <c r="N58" s="2521">
        <f t="shared" si="16"/>
        <v>43709</v>
      </c>
      <c r="O58" s="2521">
        <f t="shared" si="16"/>
        <v>43678</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07" priority="18" stopIfTrue="1" operator="containsText" text="超过">
      <formula>NOT(ISERROR(SEARCH("超过",F52)))</formula>
    </cfRule>
  </conditionalFormatting>
  <conditionalFormatting sqref="J54">
    <cfRule type="containsText" dxfId="106" priority="17" stopIfTrue="1" operator="containsText" text="超过">
      <formula>NOT(ISERROR(SEARCH("超过",J54)))</formula>
    </cfRule>
  </conditionalFormatting>
  <conditionalFormatting sqref="H54">
    <cfRule type="containsText" dxfId="105" priority="16" stopIfTrue="1" operator="containsText" text="超过">
      <formula>NOT(ISERROR(SEARCH("超过",H54)))</formula>
    </cfRule>
  </conditionalFormatting>
  <conditionalFormatting sqref="F54">
    <cfRule type="containsText" dxfId="104" priority="15" stopIfTrue="1" operator="containsText" text="超过">
      <formula>NOT(ISERROR(SEARCH("超过",F54)))</formula>
    </cfRule>
  </conditionalFormatting>
  <conditionalFormatting sqref="F53 H53 J53">
    <cfRule type="containsText" dxfId="103" priority="14" stopIfTrue="1" operator="containsText" text="超过">
      <formula>NOT(ISERROR(SEARCH("超过",F53)))</formula>
    </cfRule>
  </conditionalFormatting>
  <conditionalFormatting sqref="E52">
    <cfRule type="expression" dxfId="102" priority="13" stopIfTrue="1">
      <formula>$F$52="超过30%"</formula>
    </cfRule>
  </conditionalFormatting>
  <conditionalFormatting sqref="G54">
    <cfRule type="expression" dxfId="101" priority="11" stopIfTrue="1">
      <formula>$H$54="超过30%"</formula>
    </cfRule>
  </conditionalFormatting>
  <conditionalFormatting sqref="E53">
    <cfRule type="expression" dxfId="100" priority="10" stopIfTrue="1">
      <formula>$F$53="超过20%"</formula>
    </cfRule>
  </conditionalFormatting>
  <conditionalFormatting sqref="E54">
    <cfRule type="expression" dxfId="99" priority="9" stopIfTrue="1">
      <formula>$F$54="超过30%"</formula>
    </cfRule>
  </conditionalFormatting>
  <conditionalFormatting sqref="G52">
    <cfRule type="expression" dxfId="98" priority="8" stopIfTrue="1">
      <formula>$H$52="超过30%"</formula>
    </cfRule>
  </conditionalFormatting>
  <conditionalFormatting sqref="G53">
    <cfRule type="expression" dxfId="97" priority="7" stopIfTrue="1">
      <formula>$H$53="超过20%"</formula>
    </cfRule>
  </conditionalFormatting>
  <conditionalFormatting sqref="I52">
    <cfRule type="expression" dxfId="96" priority="6" stopIfTrue="1">
      <formula>$J$52="超过30%"</formula>
    </cfRule>
  </conditionalFormatting>
  <conditionalFormatting sqref="I53">
    <cfRule type="expression" dxfId="95" priority="5" stopIfTrue="1">
      <formula>$J$53="超过20%"</formula>
    </cfRule>
  </conditionalFormatting>
  <conditionalFormatting sqref="I54">
    <cfRule type="expression" dxfId="94" priority="4" stopIfTrue="1">
      <formula>$J$54="超过30%"</formula>
    </cfRule>
  </conditionalFormatting>
  <conditionalFormatting sqref="F48">
    <cfRule type="expression" dxfId="93" priority="3">
      <formula>$D$48="简单平均"</formula>
    </cfRule>
  </conditionalFormatting>
  <conditionalFormatting sqref="H48">
    <cfRule type="expression" dxfId="92" priority="2">
      <formula>$D$48="简单平均"</formula>
    </cfRule>
  </conditionalFormatting>
  <conditionalFormatting sqref="J48">
    <cfRule type="expression" dxfId="91" priority="1">
      <formula>$D$48="简单平均"</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15" t="s">
        <v>516</v>
      </c>
      <c r="D4" s="3516"/>
      <c r="E4" s="3549" t="s">
        <v>517</v>
      </c>
      <c r="F4" s="3550"/>
      <c r="G4" s="3515" t="s">
        <v>518</v>
      </c>
      <c r="H4" s="3516"/>
      <c r="I4" s="3515" t="s">
        <v>519</v>
      </c>
      <c r="J4" s="3516"/>
      <c r="K4" s="508" t="s">
        <v>520</v>
      </c>
      <c r="L4" s="2015"/>
      <c r="M4" s="2016"/>
      <c r="N4" s="2016"/>
      <c r="O4" s="2016"/>
      <c r="P4" s="3517" t="s">
        <v>521</v>
      </c>
      <c r="Q4" s="3518"/>
      <c r="R4" s="3523" t="s">
        <v>517</v>
      </c>
      <c r="S4" s="3524"/>
      <c r="T4" s="3523" t="s">
        <v>518</v>
      </c>
      <c r="U4" s="3524"/>
      <c r="V4" s="3510" t="s">
        <v>519</v>
      </c>
      <c r="W4" s="3510"/>
      <c r="X4" s="1502"/>
      <c r="Y4" s="3523" t="s">
        <v>521</v>
      </c>
      <c r="Z4" s="3524"/>
      <c r="AA4" s="3512" t="s">
        <v>517</v>
      </c>
      <c r="AB4" s="3510" t="s">
        <v>518</v>
      </c>
      <c r="AC4" s="3512" t="s">
        <v>519</v>
      </c>
    </row>
    <row r="5" spans="1:29" ht="15">
      <c r="A5" s="509"/>
      <c r="B5" s="510"/>
      <c r="C5" s="3531" t="s">
        <v>2897</v>
      </c>
      <c r="D5" s="3532"/>
      <c r="E5" s="3551" t="s">
        <v>2898</v>
      </c>
      <c r="F5" s="3552"/>
      <c r="G5" s="3531" t="s">
        <v>2899</v>
      </c>
      <c r="H5" s="3532"/>
      <c r="I5" s="3531" t="s">
        <v>2900</v>
      </c>
      <c r="J5" s="3532"/>
      <c r="K5" s="508"/>
      <c r="L5" s="2015"/>
      <c r="M5" s="2016"/>
      <c r="N5" s="2016"/>
      <c r="O5" s="2016"/>
      <c r="P5" s="3519"/>
      <c r="Q5" s="3520"/>
      <c r="R5" s="3525"/>
      <c r="S5" s="3526"/>
      <c r="T5" s="3525"/>
      <c r="U5" s="3526"/>
      <c r="V5" s="3510"/>
      <c r="W5" s="3510"/>
      <c r="X5" s="1502"/>
      <c r="Y5" s="3525"/>
      <c r="Z5" s="3526"/>
      <c r="AA5" s="3513"/>
      <c r="AB5" s="3510"/>
      <c r="AC5" s="3513"/>
    </row>
    <row r="6" spans="1:29" ht="15.75" thickBot="1">
      <c r="A6" s="511"/>
      <c r="B6" s="512"/>
      <c r="C6" s="3529" t="s">
        <v>2901</v>
      </c>
      <c r="D6" s="3530"/>
      <c r="E6" s="3547" t="s">
        <v>2901</v>
      </c>
      <c r="F6" s="3548"/>
      <c r="G6" s="3529" t="s">
        <v>2901</v>
      </c>
      <c r="H6" s="3530"/>
      <c r="I6" s="3529" t="s">
        <v>2901</v>
      </c>
      <c r="J6" s="3530"/>
      <c r="K6" s="508" t="s">
        <v>522</v>
      </c>
      <c r="L6" s="2015"/>
      <c r="M6" s="2016"/>
      <c r="N6" s="2016"/>
      <c r="O6" s="2016"/>
      <c r="P6" s="3521"/>
      <c r="Q6" s="3522"/>
      <c r="R6" s="3525"/>
      <c r="S6" s="3526"/>
      <c r="T6" s="3527"/>
      <c r="U6" s="3528"/>
      <c r="V6" s="3510"/>
      <c r="W6" s="3510"/>
      <c r="X6" s="1502"/>
      <c r="Y6" s="3527"/>
      <c r="Z6" s="3528"/>
      <c r="AA6" s="3514"/>
      <c r="AB6" s="3510"/>
      <c r="AC6" s="3514"/>
    </row>
    <row r="7" spans="1:29" s="1203" customFormat="1" ht="15.75" thickBot="1">
      <c r="A7" s="2629"/>
      <c r="B7" s="2636" t="s">
        <v>523</v>
      </c>
      <c r="C7" s="513">
        <f>'数据-取费表'!B2</f>
        <v>44071</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40" t="s">
        <v>524</v>
      </c>
      <c r="Q7" s="3542"/>
      <c r="R7" s="1503" t="s">
        <v>8</v>
      </c>
      <c r="S7" s="1504">
        <f t="shared" ref="S7:S15" si="0">F7</f>
        <v>0</v>
      </c>
      <c r="T7" s="1503" t="s">
        <v>8</v>
      </c>
      <c r="U7" s="1504">
        <f t="shared" ref="U7:U15" si="1">H7</f>
        <v>0</v>
      </c>
      <c r="V7" s="1503" t="s">
        <v>8</v>
      </c>
      <c r="W7" s="1504">
        <f t="shared" ref="W7:W15" si="2">J7</f>
        <v>0</v>
      </c>
      <c r="X7" s="1505"/>
      <c r="Y7" s="3540" t="s">
        <v>524</v>
      </c>
      <c r="Z7" s="3541"/>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40" t="s">
        <v>527</v>
      </c>
      <c r="Q8" s="3541"/>
      <c r="R8" s="1503" t="s">
        <v>8</v>
      </c>
      <c r="S8" s="1504">
        <f t="shared" si="0"/>
        <v>0</v>
      </c>
      <c r="T8" s="1503" t="s">
        <v>8</v>
      </c>
      <c r="U8" s="1504">
        <f t="shared" si="1"/>
        <v>0</v>
      </c>
      <c r="V8" s="1503" t="s">
        <v>8</v>
      </c>
      <c r="W8" s="1504">
        <f t="shared" si="2"/>
        <v>0</v>
      </c>
      <c r="X8" s="1505"/>
      <c r="Y8" s="3540" t="s">
        <v>527</v>
      </c>
      <c r="Z8" s="3541"/>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09" t="s">
        <v>529</v>
      </c>
      <c r="Q9" s="1134" t="str">
        <f t="shared" ref="Q9:Q15" si="6">B9</f>
        <v>用途</v>
      </c>
      <c r="R9" s="1503" t="s">
        <v>8</v>
      </c>
      <c r="S9" s="1504">
        <f t="shared" si="0"/>
        <v>100</v>
      </c>
      <c r="T9" s="1503" t="s">
        <v>8</v>
      </c>
      <c r="U9" s="1504">
        <f t="shared" si="1"/>
        <v>100</v>
      </c>
      <c r="V9" s="1503" t="s">
        <v>8</v>
      </c>
      <c r="W9" s="1504">
        <f t="shared" si="2"/>
        <v>100</v>
      </c>
      <c r="X9" s="1505"/>
      <c r="Y9" s="345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09"/>
      <c r="Q10" s="1134" t="str">
        <f t="shared" si="6"/>
        <v>土地使用年限（年）</v>
      </c>
      <c r="R10" s="1503" t="s">
        <v>8</v>
      </c>
      <c r="S10" s="1504">
        <f t="shared" si="0"/>
        <v>100</v>
      </c>
      <c r="T10" s="1503" t="s">
        <v>8</v>
      </c>
      <c r="U10" s="1504">
        <f t="shared" si="1"/>
        <v>100</v>
      </c>
      <c r="V10" s="1503" t="s">
        <v>8</v>
      </c>
      <c r="W10" s="1504">
        <f t="shared" si="2"/>
        <v>100</v>
      </c>
      <c r="X10" s="1505"/>
      <c r="Y10" s="345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09"/>
      <c r="Q11" s="1134" t="str">
        <f t="shared" si="6"/>
        <v>容积率</v>
      </c>
      <c r="R11" s="1503" t="s">
        <v>8</v>
      </c>
      <c r="S11" s="1504" t="e">
        <f t="shared" si="0"/>
        <v>#N/A</v>
      </c>
      <c r="T11" s="1503" t="s">
        <v>8</v>
      </c>
      <c r="U11" s="1504" t="e">
        <f t="shared" si="1"/>
        <v>#N/A</v>
      </c>
      <c r="V11" s="1503" t="s">
        <v>8</v>
      </c>
      <c r="W11" s="1504" t="e">
        <f t="shared" si="2"/>
        <v>#N/A</v>
      </c>
      <c r="X11" s="1505"/>
      <c r="Y11" s="345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509"/>
      <c r="Q12" s="1134">
        <f t="shared" si="6"/>
        <v>111</v>
      </c>
      <c r="R12" s="1503" t="s">
        <v>8</v>
      </c>
      <c r="S12" s="1504">
        <f t="shared" si="0"/>
        <v>100</v>
      </c>
      <c r="T12" s="1503" t="s">
        <v>8</v>
      </c>
      <c r="U12" s="1504">
        <f t="shared" si="1"/>
        <v>100</v>
      </c>
      <c r="V12" s="1503" t="s">
        <v>8</v>
      </c>
      <c r="W12" s="1504">
        <f t="shared" si="2"/>
        <v>100</v>
      </c>
      <c r="X12" s="1505"/>
      <c r="Y12" s="3455"/>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509"/>
      <c r="Q13" s="1134">
        <f t="shared" si="6"/>
        <v>111</v>
      </c>
      <c r="R13" s="1503" t="s">
        <v>8</v>
      </c>
      <c r="S13" s="1504">
        <f t="shared" si="0"/>
        <v>100</v>
      </c>
      <c r="T13" s="1503" t="s">
        <v>8</v>
      </c>
      <c r="U13" s="1504">
        <f t="shared" si="1"/>
        <v>100</v>
      </c>
      <c r="V13" s="1503" t="s">
        <v>8</v>
      </c>
      <c r="W13" s="1504">
        <f t="shared" si="2"/>
        <v>100</v>
      </c>
      <c r="X13" s="1505"/>
      <c r="Y13" s="3455"/>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509"/>
      <c r="Q14" s="1134">
        <f t="shared" si="6"/>
        <v>111</v>
      </c>
      <c r="R14" s="1503" t="s">
        <v>8</v>
      </c>
      <c r="S14" s="1504">
        <f t="shared" si="0"/>
        <v>100</v>
      </c>
      <c r="T14" s="1503" t="s">
        <v>8</v>
      </c>
      <c r="U14" s="1504">
        <f t="shared" si="1"/>
        <v>100</v>
      </c>
      <c r="V14" s="1503" t="s">
        <v>8</v>
      </c>
      <c r="W14" s="1504">
        <f t="shared" si="2"/>
        <v>100</v>
      </c>
      <c r="X14" s="1505"/>
      <c r="Y14" s="3455"/>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43" t="s">
        <v>534</v>
      </c>
      <c r="Q15" s="1507" t="str">
        <f t="shared" si="6"/>
        <v>商业繁华度</v>
      </c>
      <c r="R15" s="1508" t="s">
        <v>8</v>
      </c>
      <c r="S15" s="1509">
        <f t="shared" si="0"/>
        <v>100</v>
      </c>
      <c r="T15" s="1508" t="s">
        <v>8</v>
      </c>
      <c r="U15" s="1509">
        <f t="shared" si="1"/>
        <v>100</v>
      </c>
      <c r="V15" s="1508" t="s">
        <v>8</v>
      </c>
      <c r="W15" s="1509">
        <f t="shared" si="2"/>
        <v>100</v>
      </c>
      <c r="X15" s="1502"/>
      <c r="Y15" s="3543"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44"/>
      <c r="Q16" s="1507"/>
      <c r="R16" s="1508"/>
      <c r="S16" s="1509"/>
      <c r="T16" s="1508"/>
      <c r="U16" s="1509"/>
      <c r="V16" s="1508"/>
      <c r="W16" s="1509"/>
      <c r="X16" s="1502"/>
      <c r="Y16" s="3544"/>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44"/>
      <c r="Q17" s="1507" t="str">
        <f>B17</f>
        <v>交通便捷度</v>
      </c>
      <c r="R17" s="1508" t="s">
        <v>8</v>
      </c>
      <c r="S17" s="1509">
        <f>F17</f>
        <v>100</v>
      </c>
      <c r="T17" s="1508" t="s">
        <v>8</v>
      </c>
      <c r="U17" s="1509">
        <f>H17</f>
        <v>100</v>
      </c>
      <c r="V17" s="1508" t="s">
        <v>8</v>
      </c>
      <c r="W17" s="1509">
        <f>J17</f>
        <v>100</v>
      </c>
      <c r="X17" s="1502"/>
      <c r="Y17" s="354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44"/>
      <c r="Q18" s="1507"/>
      <c r="R18" s="1508"/>
      <c r="S18" s="1509"/>
      <c r="T18" s="1508"/>
      <c r="U18" s="1509"/>
      <c r="V18" s="1508"/>
      <c r="W18" s="1509"/>
      <c r="X18" s="1502"/>
      <c r="Y18" s="3544"/>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44"/>
      <c r="Q19" s="1507" t="str">
        <f>B19</f>
        <v>公共配套设施</v>
      </c>
      <c r="R19" s="1508" t="s">
        <v>8</v>
      </c>
      <c r="S19" s="1509">
        <f>F19</f>
        <v>100</v>
      </c>
      <c r="T19" s="1508" t="s">
        <v>8</v>
      </c>
      <c r="U19" s="1509">
        <f>H19</f>
        <v>100</v>
      </c>
      <c r="V19" s="1508" t="s">
        <v>8</v>
      </c>
      <c r="W19" s="1509">
        <f>J19</f>
        <v>100</v>
      </c>
      <c r="X19" s="1502"/>
      <c r="Y19" s="3544"/>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544"/>
      <c r="Q20" s="1507"/>
      <c r="R20" s="1508"/>
      <c r="S20" s="1509"/>
      <c r="T20" s="1508"/>
      <c r="U20" s="1509"/>
      <c r="V20" s="1508"/>
      <c r="W20" s="1509"/>
      <c r="X20" s="1502"/>
      <c r="Y20" s="3544"/>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44"/>
      <c r="Q21" s="2429" t="str">
        <f>B21</f>
        <v>基础设施水平</v>
      </c>
      <c r="R21" s="1508" t="s">
        <v>8</v>
      </c>
      <c r="S21" s="1509">
        <f>F21</f>
        <v>100</v>
      </c>
      <c r="T21" s="1508" t="s">
        <v>8</v>
      </c>
      <c r="U21" s="1509">
        <f>H21</f>
        <v>100</v>
      </c>
      <c r="V21" s="1508" t="s">
        <v>8</v>
      </c>
      <c r="W21" s="1509">
        <f>J21</f>
        <v>100</v>
      </c>
      <c r="X21" s="2431"/>
      <c r="Y21" s="3544"/>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544"/>
      <c r="Q22" s="2429"/>
      <c r="R22" s="1508"/>
      <c r="S22" s="1509"/>
      <c r="T22" s="1508"/>
      <c r="U22" s="1509"/>
      <c r="V22" s="1508"/>
      <c r="W22" s="1509"/>
      <c r="X22" s="2431"/>
      <c r="Y22" s="3544"/>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44"/>
      <c r="Q23" s="1507" t="str">
        <f>B23</f>
        <v>自然及人文环境</v>
      </c>
      <c r="R23" s="1508" t="s">
        <v>8</v>
      </c>
      <c r="S23" s="1509">
        <f>F23</f>
        <v>100</v>
      </c>
      <c r="T23" s="1508" t="s">
        <v>8</v>
      </c>
      <c r="U23" s="1509">
        <f>H23</f>
        <v>100</v>
      </c>
      <c r="V23" s="1508" t="s">
        <v>8</v>
      </c>
      <c r="W23" s="1509">
        <f>J23</f>
        <v>100</v>
      </c>
      <c r="X23" s="1502"/>
      <c r="Y23" s="3544"/>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544"/>
      <c r="Q24" s="1507"/>
      <c r="R24" s="1508"/>
      <c r="S24" s="1509"/>
      <c r="T24" s="1508"/>
      <c r="U24" s="1509"/>
      <c r="V24" s="1508"/>
      <c r="W24" s="1509"/>
      <c r="X24" s="1502"/>
      <c r="Y24" s="3544"/>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44"/>
      <c r="Q25" s="1507" t="str">
        <f t="shared" ref="Q25:Q46" si="11">B25</f>
        <v>临街状况</v>
      </c>
      <c r="R25" s="1508" t="s">
        <v>8</v>
      </c>
      <c r="S25" s="1509">
        <f>F25</f>
        <v>100</v>
      </c>
      <c r="T25" s="1508" t="s">
        <v>8</v>
      </c>
      <c r="U25" s="1509">
        <f>H25</f>
        <v>100</v>
      </c>
      <c r="V25" s="1508" t="s">
        <v>8</v>
      </c>
      <c r="W25" s="1509">
        <f>J25</f>
        <v>100</v>
      </c>
      <c r="X25" s="1502"/>
      <c r="Y25" s="3544"/>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44"/>
      <c r="Q26" s="1507" t="str">
        <f t="shared" si="11"/>
        <v>平面位置/可视性</v>
      </c>
      <c r="R26" s="1508" t="s">
        <v>8</v>
      </c>
      <c r="S26" s="1509">
        <f>F26</f>
        <v>100</v>
      </c>
      <c r="T26" s="1508" t="s">
        <v>8</v>
      </c>
      <c r="U26" s="1509">
        <f>H26</f>
        <v>100</v>
      </c>
      <c r="V26" s="1508" t="s">
        <v>8</v>
      </c>
      <c r="W26" s="1509">
        <f>J26</f>
        <v>100</v>
      </c>
      <c r="X26" s="1502"/>
      <c r="Y26" s="3544"/>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44"/>
      <c r="Q27" s="1134" t="str">
        <f t="shared" si="11"/>
        <v>人流量</v>
      </c>
      <c r="R27" s="1503" t="s">
        <v>8</v>
      </c>
      <c r="S27" s="1504">
        <f>F27</f>
        <v>100</v>
      </c>
      <c r="T27" s="1503" t="s">
        <v>8</v>
      </c>
      <c r="U27" s="1504">
        <f>H27</f>
        <v>100</v>
      </c>
      <c r="V27" s="1503" t="s">
        <v>8</v>
      </c>
      <c r="W27" s="1504">
        <f>J27</f>
        <v>100</v>
      </c>
      <c r="X27" s="1505"/>
      <c r="Y27" s="3544"/>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44"/>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44"/>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44"/>
      <c r="Q29" s="1507">
        <f t="shared" si="11"/>
        <v>111</v>
      </c>
      <c r="R29" s="1508" t="s">
        <v>8</v>
      </c>
      <c r="S29" s="1509">
        <f t="shared" si="12"/>
        <v>100</v>
      </c>
      <c r="T29" s="1508" t="s">
        <v>8</v>
      </c>
      <c r="U29" s="1509">
        <f t="shared" si="13"/>
        <v>100</v>
      </c>
      <c r="V29" s="1508" t="s">
        <v>8</v>
      </c>
      <c r="W29" s="1509">
        <f t="shared" si="14"/>
        <v>100</v>
      </c>
      <c r="X29" s="1502"/>
      <c r="Y29" s="3544"/>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44"/>
      <c r="Q30" s="1507">
        <f t="shared" si="11"/>
        <v>111</v>
      </c>
      <c r="R30" s="1508" t="s">
        <v>8</v>
      </c>
      <c r="S30" s="1509">
        <f t="shared" si="12"/>
        <v>100</v>
      </c>
      <c r="T30" s="1508" t="s">
        <v>8</v>
      </c>
      <c r="U30" s="1509">
        <f t="shared" si="13"/>
        <v>100</v>
      </c>
      <c r="V30" s="1508" t="s">
        <v>8</v>
      </c>
      <c r="W30" s="1509">
        <f t="shared" si="14"/>
        <v>100</v>
      </c>
      <c r="X30" s="1502"/>
      <c r="Y30" s="3544"/>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44"/>
      <c r="Q31" s="1507">
        <f t="shared" si="11"/>
        <v>111</v>
      </c>
      <c r="R31" s="1508" t="s">
        <v>8</v>
      </c>
      <c r="S31" s="1509">
        <f t="shared" si="12"/>
        <v>100</v>
      </c>
      <c r="T31" s="1508" t="s">
        <v>8</v>
      </c>
      <c r="U31" s="1509">
        <f t="shared" si="13"/>
        <v>100</v>
      </c>
      <c r="V31" s="1508" t="s">
        <v>8</v>
      </c>
      <c r="W31" s="1509">
        <f t="shared" si="14"/>
        <v>100</v>
      </c>
      <c r="X31" s="1502"/>
      <c r="Y31" s="3544"/>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45" t="s">
        <v>544</v>
      </c>
      <c r="Q32" s="1507" t="str">
        <f t="shared" si="11"/>
        <v>商业类型</v>
      </c>
      <c r="R32" s="1508" t="s">
        <v>8</v>
      </c>
      <c r="S32" s="1509">
        <f t="shared" si="12"/>
        <v>100</v>
      </c>
      <c r="T32" s="1508" t="s">
        <v>8</v>
      </c>
      <c r="U32" s="1509">
        <f t="shared" si="13"/>
        <v>100</v>
      </c>
      <c r="V32" s="1508" t="s">
        <v>8</v>
      </c>
      <c r="W32" s="1509">
        <f t="shared" si="14"/>
        <v>100</v>
      </c>
      <c r="X32" s="1502"/>
      <c r="Y32" s="3546"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46"/>
      <c r="Q33" s="1536" t="str">
        <f t="shared" si="11"/>
        <v>项目建筑规模</v>
      </c>
      <c r="R33" s="1512" t="s">
        <v>8</v>
      </c>
      <c r="S33" s="1513" t="e">
        <f t="shared" si="12"/>
        <v>#N/A</v>
      </c>
      <c r="T33" s="1512" t="s">
        <v>8</v>
      </c>
      <c r="U33" s="1513" t="e">
        <f t="shared" si="13"/>
        <v>#N/A</v>
      </c>
      <c r="V33" s="1512" t="s">
        <v>8</v>
      </c>
      <c r="W33" s="1513" t="e">
        <f t="shared" si="14"/>
        <v>#N/A</v>
      </c>
      <c r="X33" s="1514"/>
      <c r="Y33" s="3546"/>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46"/>
      <c r="Q34" s="1507" t="str">
        <f t="shared" si="11"/>
        <v>建筑结构</v>
      </c>
      <c r="R34" s="1508" t="s">
        <v>8</v>
      </c>
      <c r="S34" s="1509">
        <f t="shared" si="12"/>
        <v>100</v>
      </c>
      <c r="T34" s="1508" t="s">
        <v>8</v>
      </c>
      <c r="U34" s="1509">
        <f t="shared" si="13"/>
        <v>100</v>
      </c>
      <c r="V34" s="1508" t="s">
        <v>8</v>
      </c>
      <c r="W34" s="1509">
        <f t="shared" si="14"/>
        <v>100</v>
      </c>
      <c r="X34" s="1502"/>
      <c r="Y34" s="3546"/>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46"/>
      <c r="Q35" s="1507" t="str">
        <f t="shared" si="11"/>
        <v>公共部分装修</v>
      </c>
      <c r="R35" s="1508" t="s">
        <v>8</v>
      </c>
      <c r="S35" s="1509">
        <f t="shared" si="12"/>
        <v>100</v>
      </c>
      <c r="T35" s="1508" t="s">
        <v>8</v>
      </c>
      <c r="U35" s="1509">
        <f t="shared" si="13"/>
        <v>100</v>
      </c>
      <c r="V35" s="1508" t="s">
        <v>8</v>
      </c>
      <c r="W35" s="1509">
        <f t="shared" si="14"/>
        <v>100</v>
      </c>
      <c r="X35" s="1502"/>
      <c r="Y35" s="3546"/>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46"/>
      <c r="Q36" s="1507" t="str">
        <f t="shared" si="11"/>
        <v>成新度</v>
      </c>
      <c r="R36" s="1508" t="s">
        <v>8</v>
      </c>
      <c r="S36" s="1509" t="e">
        <f t="shared" si="12"/>
        <v>#N/A</v>
      </c>
      <c r="T36" s="1508" t="s">
        <v>8</v>
      </c>
      <c r="U36" s="1509" t="e">
        <f t="shared" si="13"/>
        <v>#N/A</v>
      </c>
      <c r="V36" s="1508" t="s">
        <v>8</v>
      </c>
      <c r="W36" s="1509" t="e">
        <f t="shared" si="14"/>
        <v>#N/A</v>
      </c>
      <c r="X36" s="1502"/>
      <c r="Y36" s="3546"/>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46"/>
      <c r="Q37" s="1134" t="str">
        <f t="shared" si="11"/>
        <v>市政基础设施</v>
      </c>
      <c r="R37" s="1503" t="s">
        <v>8</v>
      </c>
      <c r="S37" s="1504">
        <f t="shared" si="12"/>
        <v>100</v>
      </c>
      <c r="T37" s="1503" t="s">
        <v>8</v>
      </c>
      <c r="U37" s="1504">
        <f t="shared" si="13"/>
        <v>100</v>
      </c>
      <c r="V37" s="1503" t="s">
        <v>8</v>
      </c>
      <c r="W37" s="1504">
        <f t="shared" si="14"/>
        <v>100</v>
      </c>
      <c r="X37" s="1505"/>
      <c r="Y37" s="3546"/>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46" t="s">
        <v>760</v>
      </c>
      <c r="Q38" s="1507" t="str">
        <f t="shared" si="11"/>
        <v>业态</v>
      </c>
      <c r="R38" s="1508" t="s">
        <v>8</v>
      </c>
      <c r="S38" s="1509">
        <f t="shared" si="12"/>
        <v>100</v>
      </c>
      <c r="T38" s="1508" t="s">
        <v>8</v>
      </c>
      <c r="U38" s="1509">
        <f t="shared" si="13"/>
        <v>100</v>
      </c>
      <c r="V38" s="1508" t="s">
        <v>8</v>
      </c>
      <c r="W38" s="1509">
        <f t="shared" si="14"/>
        <v>100</v>
      </c>
      <c r="X38" s="1502"/>
      <c r="Y38" s="3546"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46"/>
      <c r="Q39" s="1507" t="str">
        <f t="shared" si="11"/>
        <v>层高</v>
      </c>
      <c r="R39" s="1508" t="s">
        <v>8</v>
      </c>
      <c r="S39" s="1509">
        <f t="shared" si="12"/>
        <v>100</v>
      </c>
      <c r="T39" s="1508" t="s">
        <v>8</v>
      </c>
      <c r="U39" s="1509">
        <f t="shared" si="13"/>
        <v>100</v>
      </c>
      <c r="V39" s="1508" t="s">
        <v>8</v>
      </c>
      <c r="W39" s="1509">
        <f t="shared" si="14"/>
        <v>100</v>
      </c>
      <c r="X39" s="1502"/>
      <c r="Y39" s="3546"/>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46"/>
      <c r="Q40" s="1507" t="str">
        <f t="shared" si="11"/>
        <v>单套建筑面积</v>
      </c>
      <c r="R40" s="1508" t="s">
        <v>8</v>
      </c>
      <c r="S40" s="1509">
        <f t="shared" si="12"/>
        <v>100</v>
      </c>
      <c r="T40" s="1508" t="s">
        <v>8</v>
      </c>
      <c r="U40" s="1509">
        <f t="shared" si="13"/>
        <v>100</v>
      </c>
      <c r="V40" s="1508" t="s">
        <v>8</v>
      </c>
      <c r="W40" s="1509">
        <f t="shared" si="14"/>
        <v>100</v>
      </c>
      <c r="X40" s="1502"/>
      <c r="Y40" s="3546"/>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46"/>
      <c r="Q41" s="1536" t="str">
        <f t="shared" si="11"/>
        <v>进深比</v>
      </c>
      <c r="R41" s="1512" t="s">
        <v>8</v>
      </c>
      <c r="S41" s="1513">
        <f t="shared" si="12"/>
        <v>100</v>
      </c>
      <c r="T41" s="1512" t="s">
        <v>8</v>
      </c>
      <c r="U41" s="1513">
        <f t="shared" si="13"/>
        <v>100</v>
      </c>
      <c r="V41" s="1512" t="s">
        <v>8</v>
      </c>
      <c r="W41" s="1513">
        <f t="shared" si="14"/>
        <v>100</v>
      </c>
      <c r="X41" s="1514"/>
      <c r="Y41" s="3546"/>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46"/>
      <c r="Q42" s="1507" t="str">
        <f t="shared" si="11"/>
        <v>内部装修</v>
      </c>
      <c r="R42" s="1508" t="s">
        <v>8</v>
      </c>
      <c r="S42" s="1509">
        <f t="shared" si="12"/>
        <v>100</v>
      </c>
      <c r="T42" s="1508" t="s">
        <v>8</v>
      </c>
      <c r="U42" s="1509">
        <f t="shared" si="13"/>
        <v>100</v>
      </c>
      <c r="V42" s="1508" t="s">
        <v>8</v>
      </c>
      <c r="W42" s="1509">
        <f t="shared" si="14"/>
        <v>100</v>
      </c>
      <c r="X42" s="1502"/>
      <c r="Y42" s="3546"/>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46"/>
      <c r="Q43" s="1507" t="str">
        <f t="shared" si="11"/>
        <v>内部装修维护情况</v>
      </c>
      <c r="R43" s="1508" t="s">
        <v>8</v>
      </c>
      <c r="S43" s="1509">
        <f t="shared" si="12"/>
        <v>100</v>
      </c>
      <c r="T43" s="1508" t="s">
        <v>8</v>
      </c>
      <c r="U43" s="1509">
        <f t="shared" si="13"/>
        <v>100</v>
      </c>
      <c r="V43" s="1508" t="s">
        <v>8</v>
      </c>
      <c r="W43" s="1509">
        <f t="shared" si="14"/>
        <v>100</v>
      </c>
      <c r="X43" s="1502"/>
      <c r="Y43" s="3546"/>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46"/>
      <c r="Q44" s="1134">
        <f t="shared" si="11"/>
        <v>111</v>
      </c>
      <c r="R44" s="1503" t="s">
        <v>8</v>
      </c>
      <c r="S44" s="1504">
        <f t="shared" si="12"/>
        <v>100</v>
      </c>
      <c r="T44" s="1503" t="s">
        <v>8</v>
      </c>
      <c r="U44" s="1504">
        <f t="shared" si="13"/>
        <v>100</v>
      </c>
      <c r="V44" s="1503" t="s">
        <v>8</v>
      </c>
      <c r="W44" s="1504">
        <f t="shared" si="14"/>
        <v>100</v>
      </c>
      <c r="X44" s="1505"/>
      <c r="Y44" s="3546"/>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46"/>
      <c r="Q45" s="1507">
        <f t="shared" si="11"/>
        <v>111</v>
      </c>
      <c r="R45" s="1508" t="s">
        <v>8</v>
      </c>
      <c r="S45" s="1509">
        <f t="shared" si="12"/>
        <v>100</v>
      </c>
      <c r="T45" s="1508" t="s">
        <v>8</v>
      </c>
      <c r="U45" s="1509">
        <f t="shared" si="13"/>
        <v>100</v>
      </c>
      <c r="V45" s="1508" t="s">
        <v>8</v>
      </c>
      <c r="W45" s="1509">
        <f t="shared" si="14"/>
        <v>100</v>
      </c>
      <c r="X45" s="1502"/>
      <c r="Y45" s="3546"/>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28"/>
      <c r="Q46" s="1507">
        <f t="shared" si="11"/>
        <v>111</v>
      </c>
      <c r="R46" s="1508" t="s">
        <v>8</v>
      </c>
      <c r="S46" s="1509">
        <f t="shared" si="12"/>
        <v>100</v>
      </c>
      <c r="T46" s="1508" t="s">
        <v>8</v>
      </c>
      <c r="U46" s="1509">
        <f t="shared" si="13"/>
        <v>100</v>
      </c>
      <c r="V46" s="1508" t="s">
        <v>8</v>
      </c>
      <c r="W46" s="1509">
        <f t="shared" si="14"/>
        <v>100</v>
      </c>
      <c r="X46" s="1502"/>
      <c r="Y46" s="3628"/>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509" t="str">
        <f>A47</f>
        <v>成交单价（元/平方米）</v>
      </c>
      <c r="Q47" s="3509"/>
      <c r="R47" s="3627">
        <f>E47</f>
        <v>0</v>
      </c>
      <c r="S47" s="3627"/>
      <c r="T47" s="3627">
        <f>G47</f>
        <v>0</v>
      </c>
      <c r="U47" s="3627"/>
      <c r="V47" s="3627">
        <f>I47</f>
        <v>0</v>
      </c>
      <c r="W47" s="3627"/>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16"/>
      <c r="O48" s="2027"/>
      <c r="P48" s="3509" t="str">
        <f>A48</f>
        <v>比较价格（元/平方米）</v>
      </c>
      <c r="Q48" s="3509"/>
      <c r="R48" s="3627" t="e">
        <f>IF(F1="售价",ROUND(PRODUCT(R47,AA7:AA46),0),ROUND(PRODUCT(R47,AA7:AA46),1))</f>
        <v>#DIV/0!</v>
      </c>
      <c r="S48" s="3627"/>
      <c r="T48" s="3627" t="e">
        <f>IF(F1="售价",ROUND(PRODUCT(T47,AB7:AB46),0),ROUND(PRODUCT(T47,AB7:AB46),1))</f>
        <v>#DIV/0!</v>
      </c>
      <c r="U48" s="3627"/>
      <c r="V48" s="3627" t="e">
        <f>IF(F1="售价",ROUND(PRODUCT(V47,AC7:AC46),0),ROUND(PRODUCT(V47,AC7:AC46),1))</f>
        <v>#DIV/0!</v>
      </c>
      <c r="W48" s="3627"/>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42"/>
      <c r="L49" s="2026"/>
      <c r="M49" s="2027"/>
      <c r="N49" s="2016"/>
      <c r="O49" s="2027"/>
      <c r="P49" s="3506" t="str">
        <f>A49</f>
        <v>估价对象XX用房的比较价格（楼面单价，元/平方米）</v>
      </c>
      <c r="Q49" s="3507"/>
      <c r="R49" s="3626" t="e">
        <f>IF(F1="售价",ROUND(IF(D48="简单平均",AVERAGE(R48:V48),R48*F48+T48*H48+V48*J48),0),ROUND(IF(D48="简单平均",AVERAGE(R48:V48),R48*F48+T48*H48+V48*J48),1))</f>
        <v>#DIV/0!</v>
      </c>
      <c r="S49" s="3626"/>
      <c r="T49" s="3626"/>
      <c r="U49" s="3626"/>
      <c r="V49" s="3626"/>
      <c r="W49" s="3626"/>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2020-8</v>
      </c>
      <c r="D58" s="2521">
        <f>EDATE(C58,-1)</f>
        <v>44013</v>
      </c>
      <c r="E58" s="2521">
        <f t="shared" ref="E58:O58" si="16">EDATE(D58,-1)</f>
        <v>43983</v>
      </c>
      <c r="F58" s="2521">
        <f t="shared" si="16"/>
        <v>43952</v>
      </c>
      <c r="G58" s="2521">
        <f t="shared" si="16"/>
        <v>43922</v>
      </c>
      <c r="H58" s="2521">
        <f t="shared" si="16"/>
        <v>43891</v>
      </c>
      <c r="I58" s="2521">
        <f t="shared" si="16"/>
        <v>43862</v>
      </c>
      <c r="J58" s="2521">
        <f t="shared" si="16"/>
        <v>43831</v>
      </c>
      <c r="K58" s="2521">
        <f t="shared" si="16"/>
        <v>43800</v>
      </c>
      <c r="L58" s="2521">
        <f t="shared" si="16"/>
        <v>43770</v>
      </c>
      <c r="M58" s="2521">
        <f t="shared" si="16"/>
        <v>43739</v>
      </c>
      <c r="N58" s="2521">
        <f t="shared" si="16"/>
        <v>43709</v>
      </c>
      <c r="O58" s="2521">
        <f t="shared" si="16"/>
        <v>43678</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90" priority="20" stopIfTrue="1" operator="containsText" text="超过">
      <formula>NOT(ISERROR(SEARCH("超过",F52)))</formula>
    </cfRule>
  </conditionalFormatting>
  <conditionalFormatting sqref="H54">
    <cfRule type="containsText" dxfId="89" priority="18" stopIfTrue="1" operator="containsText" text="超过">
      <formula>NOT(ISERROR(SEARCH("超过",H54)))</formula>
    </cfRule>
  </conditionalFormatting>
  <conditionalFormatting sqref="F54">
    <cfRule type="containsText" dxfId="88" priority="17" stopIfTrue="1" operator="containsText" text="超过">
      <formula>NOT(ISERROR(SEARCH("超过",F54)))</formula>
    </cfRule>
  </conditionalFormatting>
  <conditionalFormatting sqref="F53 H53">
    <cfRule type="containsText" dxfId="87" priority="16" stopIfTrue="1" operator="containsText" text="超过">
      <formula>NOT(ISERROR(SEARCH("超过",F53)))</formula>
    </cfRule>
  </conditionalFormatting>
  <conditionalFormatting sqref="E52">
    <cfRule type="expression" dxfId="86" priority="15" stopIfTrue="1">
      <formula>$F$52="超过30%"</formula>
    </cfRule>
  </conditionalFormatting>
  <conditionalFormatting sqref="E53">
    <cfRule type="expression" dxfId="85" priority="14" stopIfTrue="1">
      <formula>$F$53="超过20%"</formula>
    </cfRule>
  </conditionalFormatting>
  <conditionalFormatting sqref="E54">
    <cfRule type="expression" dxfId="84" priority="13" stopIfTrue="1">
      <formula>$F$54="超过30%"</formula>
    </cfRule>
  </conditionalFormatting>
  <conditionalFormatting sqref="G54">
    <cfRule type="expression" dxfId="83" priority="12" stopIfTrue="1">
      <formula>$H$54="超过30%"</formula>
    </cfRule>
  </conditionalFormatting>
  <conditionalFormatting sqref="G52">
    <cfRule type="expression" dxfId="82" priority="11" stopIfTrue="1">
      <formula>$H$52="超过30%"</formula>
    </cfRule>
  </conditionalFormatting>
  <conditionalFormatting sqref="G53">
    <cfRule type="expression" dxfId="81" priority="10" stopIfTrue="1">
      <formula>$H$53="超过20%"</formula>
    </cfRule>
  </conditionalFormatting>
  <conditionalFormatting sqref="J52">
    <cfRule type="containsText" dxfId="80" priority="9" stopIfTrue="1" operator="containsText" text="超过">
      <formula>NOT(ISERROR(SEARCH("超过",J52)))</formula>
    </cfRule>
  </conditionalFormatting>
  <conditionalFormatting sqref="J54">
    <cfRule type="containsText" dxfId="79" priority="8" stopIfTrue="1" operator="containsText" text="超过">
      <formula>NOT(ISERROR(SEARCH("超过",J54)))</formula>
    </cfRule>
  </conditionalFormatting>
  <conditionalFormatting sqref="J53">
    <cfRule type="containsText" dxfId="78" priority="7" stopIfTrue="1" operator="containsText" text="超过">
      <formula>NOT(ISERROR(SEARCH("超过",J53)))</formula>
    </cfRule>
  </conditionalFormatting>
  <conditionalFormatting sqref="I52">
    <cfRule type="expression" dxfId="77" priority="6" stopIfTrue="1">
      <formula>$J$52="超过30%"</formula>
    </cfRule>
  </conditionalFormatting>
  <conditionalFormatting sqref="I53">
    <cfRule type="expression" dxfId="76" priority="5" stopIfTrue="1">
      <formula>$J$53="超过20%"</formula>
    </cfRule>
  </conditionalFormatting>
  <conditionalFormatting sqref="I54">
    <cfRule type="expression" dxfId="75" priority="4" stopIfTrue="1">
      <formula>$J$54="超过30%"</formula>
    </cfRule>
  </conditionalFormatting>
  <conditionalFormatting sqref="F48">
    <cfRule type="expression" dxfId="74" priority="3">
      <formula>$D$48="简单平均"</formula>
    </cfRule>
  </conditionalFormatting>
  <conditionalFormatting sqref="H48">
    <cfRule type="expression" dxfId="73" priority="2">
      <formula>$D$48="简单平均"</formula>
    </cfRule>
  </conditionalFormatting>
  <conditionalFormatting sqref="J48">
    <cfRule type="expression" dxfId="72" priority="1">
      <formula>$D$48="简单平均"</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515" t="s">
        <v>516</v>
      </c>
      <c r="D4" s="3516"/>
      <c r="E4" s="3549" t="s">
        <v>517</v>
      </c>
      <c r="F4" s="3550"/>
      <c r="G4" s="3515" t="s">
        <v>518</v>
      </c>
      <c r="H4" s="3516"/>
      <c r="I4" s="3515" t="s">
        <v>519</v>
      </c>
      <c r="J4" s="3516"/>
      <c r="K4" s="508" t="s">
        <v>520</v>
      </c>
      <c r="L4" s="2015"/>
      <c r="M4" s="2016"/>
      <c r="N4" s="2016"/>
      <c r="O4" s="2016"/>
      <c r="P4" s="3630" t="s">
        <v>521</v>
      </c>
      <c r="Q4" s="3518"/>
      <c r="R4" s="3523" t="s">
        <v>517</v>
      </c>
      <c r="S4" s="3524"/>
      <c r="T4" s="3523" t="s">
        <v>518</v>
      </c>
      <c r="U4" s="3524"/>
      <c r="V4" s="3510" t="s">
        <v>519</v>
      </c>
      <c r="W4" s="3510"/>
      <c r="X4" s="1502"/>
      <c r="Y4" s="3523" t="s">
        <v>521</v>
      </c>
      <c r="Z4" s="3524"/>
      <c r="AA4" s="3512" t="s">
        <v>517</v>
      </c>
      <c r="AB4" s="3512" t="s">
        <v>518</v>
      </c>
      <c r="AC4" s="3512" t="s">
        <v>519</v>
      </c>
    </row>
    <row r="5" spans="1:29" ht="15">
      <c r="A5" s="509"/>
      <c r="B5" s="510"/>
      <c r="C5" s="3531" t="s">
        <v>2897</v>
      </c>
      <c r="D5" s="3532"/>
      <c r="E5" s="3551" t="s">
        <v>2898</v>
      </c>
      <c r="F5" s="3552"/>
      <c r="G5" s="3531" t="s">
        <v>2899</v>
      </c>
      <c r="H5" s="3532"/>
      <c r="I5" s="3531" t="s">
        <v>2900</v>
      </c>
      <c r="J5" s="3532"/>
      <c r="K5" s="508"/>
      <c r="L5" s="2015"/>
      <c r="M5" s="2016"/>
      <c r="N5" s="2016"/>
      <c r="O5" s="2016"/>
      <c r="P5" s="3631"/>
      <c r="Q5" s="3520"/>
      <c r="R5" s="3525"/>
      <c r="S5" s="3526"/>
      <c r="T5" s="3525"/>
      <c r="U5" s="3526"/>
      <c r="V5" s="3510"/>
      <c r="W5" s="3510"/>
      <c r="X5" s="1502"/>
      <c r="Y5" s="3525"/>
      <c r="Z5" s="3526"/>
      <c r="AA5" s="3513"/>
      <c r="AB5" s="3513"/>
      <c r="AC5" s="3513"/>
    </row>
    <row r="6" spans="1:29" ht="15.75" thickBot="1">
      <c r="A6" s="511"/>
      <c r="B6" s="512"/>
      <c r="C6" s="3529" t="s">
        <v>2901</v>
      </c>
      <c r="D6" s="3530"/>
      <c r="E6" s="3547" t="s">
        <v>2901</v>
      </c>
      <c r="F6" s="3548"/>
      <c r="G6" s="3529" t="s">
        <v>2901</v>
      </c>
      <c r="H6" s="3530"/>
      <c r="I6" s="3529" t="s">
        <v>2901</v>
      </c>
      <c r="J6" s="3530"/>
      <c r="K6" s="508" t="s">
        <v>522</v>
      </c>
      <c r="L6" s="2015"/>
      <c r="M6" s="2016"/>
      <c r="N6" s="2016"/>
      <c r="O6" s="2016"/>
      <c r="P6" s="3632"/>
      <c r="Q6" s="3522"/>
      <c r="R6" s="3525"/>
      <c r="S6" s="3526"/>
      <c r="T6" s="3527"/>
      <c r="U6" s="3528"/>
      <c r="V6" s="3510"/>
      <c r="W6" s="3510"/>
      <c r="X6" s="1502"/>
      <c r="Y6" s="3527"/>
      <c r="Z6" s="3528"/>
      <c r="AA6" s="3514"/>
      <c r="AB6" s="3514"/>
      <c r="AC6" s="3514"/>
    </row>
    <row r="7" spans="1:29" s="1203" customFormat="1" ht="15.75" thickBot="1">
      <c r="A7" s="2629"/>
      <c r="B7" s="2636" t="s">
        <v>523</v>
      </c>
      <c r="C7" s="513">
        <f>'数据-取费表'!B2</f>
        <v>44071</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42" t="s">
        <v>524</v>
      </c>
      <c r="Q7" s="3542"/>
      <c r="R7" s="1503" t="s">
        <v>8</v>
      </c>
      <c r="S7" s="1504">
        <f t="shared" ref="S7:S15" si="0">F7</f>
        <v>0</v>
      </c>
      <c r="T7" s="1503" t="s">
        <v>8</v>
      </c>
      <c r="U7" s="1504">
        <f t="shared" ref="U7:U15" si="1">H7</f>
        <v>0</v>
      </c>
      <c r="V7" s="1503" t="s">
        <v>8</v>
      </c>
      <c r="W7" s="1504">
        <f t="shared" ref="W7:W15" si="2">J7</f>
        <v>0</v>
      </c>
      <c r="X7" s="1505"/>
      <c r="Y7" s="3540" t="s">
        <v>524</v>
      </c>
      <c r="Z7" s="3541"/>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42" t="s">
        <v>527</v>
      </c>
      <c r="Q8" s="3541"/>
      <c r="R8" s="1503" t="s">
        <v>8</v>
      </c>
      <c r="S8" s="1504">
        <f t="shared" si="0"/>
        <v>0</v>
      </c>
      <c r="T8" s="1503" t="s">
        <v>8</v>
      </c>
      <c r="U8" s="1504">
        <f t="shared" si="1"/>
        <v>0</v>
      </c>
      <c r="V8" s="1503" t="s">
        <v>8</v>
      </c>
      <c r="W8" s="1504">
        <f t="shared" si="2"/>
        <v>0</v>
      </c>
      <c r="X8" s="1505"/>
      <c r="Y8" s="3540" t="s">
        <v>527</v>
      </c>
      <c r="Z8" s="3541"/>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09" t="s">
        <v>529</v>
      </c>
      <c r="Q9" s="1134" t="str">
        <f t="shared" ref="Q9:Q15" si="6">B9</f>
        <v>用途</v>
      </c>
      <c r="R9" s="1503" t="s">
        <v>8</v>
      </c>
      <c r="S9" s="1504">
        <f t="shared" si="0"/>
        <v>100</v>
      </c>
      <c r="T9" s="1503" t="s">
        <v>8</v>
      </c>
      <c r="U9" s="1504">
        <f t="shared" si="1"/>
        <v>100</v>
      </c>
      <c r="V9" s="1503" t="s">
        <v>8</v>
      </c>
      <c r="W9" s="1504">
        <f t="shared" si="2"/>
        <v>100</v>
      </c>
      <c r="X9" s="1505"/>
      <c r="Y9" s="345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09"/>
      <c r="Q10" s="1134" t="str">
        <f t="shared" si="6"/>
        <v>土地使用年限（年）</v>
      </c>
      <c r="R10" s="1503" t="s">
        <v>8</v>
      </c>
      <c r="S10" s="1504">
        <f t="shared" si="0"/>
        <v>100</v>
      </c>
      <c r="T10" s="1503" t="s">
        <v>8</v>
      </c>
      <c r="U10" s="1504">
        <f t="shared" si="1"/>
        <v>100</v>
      </c>
      <c r="V10" s="1503" t="s">
        <v>8</v>
      </c>
      <c r="W10" s="1504">
        <f t="shared" si="2"/>
        <v>100</v>
      </c>
      <c r="X10" s="1505"/>
      <c r="Y10" s="345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09"/>
      <c r="Q11" s="1134" t="str">
        <f t="shared" si="6"/>
        <v>容积率</v>
      </c>
      <c r="R11" s="1503" t="s">
        <v>8</v>
      </c>
      <c r="S11" s="1504" t="e">
        <f t="shared" si="0"/>
        <v>#N/A</v>
      </c>
      <c r="T11" s="1503" t="s">
        <v>8</v>
      </c>
      <c r="U11" s="1504" t="e">
        <f t="shared" si="1"/>
        <v>#N/A</v>
      </c>
      <c r="V11" s="1503" t="s">
        <v>8</v>
      </c>
      <c r="W11" s="1504" t="e">
        <f t="shared" si="2"/>
        <v>#N/A</v>
      </c>
      <c r="X11" s="1505"/>
      <c r="Y11" s="345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509"/>
      <c r="Q12" s="1134">
        <f t="shared" si="6"/>
        <v>111</v>
      </c>
      <c r="R12" s="1503" t="s">
        <v>8</v>
      </c>
      <c r="S12" s="1504">
        <f t="shared" si="0"/>
        <v>100</v>
      </c>
      <c r="T12" s="1503" t="s">
        <v>8</v>
      </c>
      <c r="U12" s="1504">
        <f t="shared" si="1"/>
        <v>100</v>
      </c>
      <c r="V12" s="1503" t="s">
        <v>8</v>
      </c>
      <c r="W12" s="1504">
        <f t="shared" si="2"/>
        <v>100</v>
      </c>
      <c r="X12" s="1505"/>
      <c r="Y12" s="3455"/>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509"/>
      <c r="Q13" s="1134">
        <f t="shared" si="6"/>
        <v>111</v>
      </c>
      <c r="R13" s="1503" t="s">
        <v>8</v>
      </c>
      <c r="S13" s="1504">
        <f t="shared" si="0"/>
        <v>100</v>
      </c>
      <c r="T13" s="1503" t="s">
        <v>8</v>
      </c>
      <c r="U13" s="1504">
        <f t="shared" si="1"/>
        <v>100</v>
      </c>
      <c r="V13" s="1503" t="s">
        <v>8</v>
      </c>
      <c r="W13" s="1504">
        <f t="shared" si="2"/>
        <v>100</v>
      </c>
      <c r="X13" s="1505"/>
      <c r="Y13" s="3455"/>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509"/>
      <c r="Q14" s="1134">
        <f t="shared" si="6"/>
        <v>111</v>
      </c>
      <c r="R14" s="1503" t="s">
        <v>8</v>
      </c>
      <c r="S14" s="1504">
        <f t="shared" si="0"/>
        <v>100</v>
      </c>
      <c r="T14" s="1503" t="s">
        <v>8</v>
      </c>
      <c r="U14" s="1504">
        <f t="shared" si="1"/>
        <v>100</v>
      </c>
      <c r="V14" s="1503" t="s">
        <v>8</v>
      </c>
      <c r="W14" s="1504">
        <f t="shared" si="2"/>
        <v>100</v>
      </c>
      <c r="X14" s="1505"/>
      <c r="Y14" s="3455"/>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43" t="s">
        <v>534</v>
      </c>
      <c r="Q15" s="1507" t="str">
        <f t="shared" si="6"/>
        <v>办公集聚程度</v>
      </c>
      <c r="R15" s="1508" t="s">
        <v>8</v>
      </c>
      <c r="S15" s="1509">
        <f t="shared" si="0"/>
        <v>100</v>
      </c>
      <c r="T15" s="1508" t="s">
        <v>8</v>
      </c>
      <c r="U15" s="1509">
        <f t="shared" si="1"/>
        <v>100</v>
      </c>
      <c r="V15" s="1508" t="s">
        <v>8</v>
      </c>
      <c r="W15" s="1509">
        <f t="shared" si="2"/>
        <v>100</v>
      </c>
      <c r="X15" s="1502"/>
      <c r="Y15" s="3543"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544"/>
      <c r="Q16" s="1507"/>
      <c r="R16" s="1508"/>
      <c r="S16" s="1509"/>
      <c r="T16" s="1508"/>
      <c r="U16" s="1509"/>
      <c r="V16" s="1508"/>
      <c r="W16" s="1509"/>
      <c r="X16" s="1502"/>
      <c r="Y16" s="3544"/>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44"/>
      <c r="Q17" s="1507" t="str">
        <f>B17</f>
        <v>交通便捷度</v>
      </c>
      <c r="R17" s="1508" t="s">
        <v>8</v>
      </c>
      <c r="S17" s="1509">
        <f>F17</f>
        <v>100</v>
      </c>
      <c r="T17" s="1508" t="s">
        <v>8</v>
      </c>
      <c r="U17" s="1509">
        <f>H17</f>
        <v>100</v>
      </c>
      <c r="V17" s="1508" t="s">
        <v>8</v>
      </c>
      <c r="W17" s="1509">
        <f>J17</f>
        <v>100</v>
      </c>
      <c r="X17" s="1502"/>
      <c r="Y17" s="3544"/>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544"/>
      <c r="Q18" s="1507"/>
      <c r="R18" s="1508"/>
      <c r="S18" s="1509"/>
      <c r="T18" s="1508"/>
      <c r="U18" s="1509"/>
      <c r="V18" s="1508"/>
      <c r="W18" s="1509"/>
      <c r="X18" s="1502"/>
      <c r="Y18" s="3544"/>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44"/>
      <c r="Q19" s="1507" t="str">
        <f>B19</f>
        <v>公共配套设施</v>
      </c>
      <c r="R19" s="1508" t="s">
        <v>8</v>
      </c>
      <c r="S19" s="1509">
        <f>F19</f>
        <v>100</v>
      </c>
      <c r="T19" s="1508" t="s">
        <v>8</v>
      </c>
      <c r="U19" s="1509">
        <f>H19</f>
        <v>100</v>
      </c>
      <c r="V19" s="1508" t="s">
        <v>8</v>
      </c>
      <c r="W19" s="1509">
        <f>J19</f>
        <v>100</v>
      </c>
      <c r="X19" s="1502"/>
      <c r="Y19" s="3544"/>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544"/>
      <c r="Q20" s="1507"/>
      <c r="R20" s="1508"/>
      <c r="S20" s="1509"/>
      <c r="T20" s="1508"/>
      <c r="U20" s="1509"/>
      <c r="V20" s="1508"/>
      <c r="W20" s="1509"/>
      <c r="X20" s="1502"/>
      <c r="Y20" s="3544"/>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44"/>
      <c r="Q21" s="2429" t="str">
        <f>B21</f>
        <v>基础设施水平</v>
      </c>
      <c r="R21" s="1508" t="s">
        <v>8</v>
      </c>
      <c r="S21" s="1509">
        <f>F21</f>
        <v>100</v>
      </c>
      <c r="T21" s="1508" t="s">
        <v>8</v>
      </c>
      <c r="U21" s="1509">
        <f>H21</f>
        <v>100</v>
      </c>
      <c r="V21" s="1508" t="s">
        <v>8</v>
      </c>
      <c r="W21" s="1509">
        <f>J21</f>
        <v>100</v>
      </c>
      <c r="X21" s="2431"/>
      <c r="Y21" s="3544"/>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544"/>
      <c r="Q22" s="2429"/>
      <c r="R22" s="1508"/>
      <c r="S22" s="1509"/>
      <c r="T22" s="1508"/>
      <c r="U22" s="1509"/>
      <c r="V22" s="1508"/>
      <c r="W22" s="1509"/>
      <c r="X22" s="2431"/>
      <c r="Y22" s="3544"/>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44"/>
      <c r="Q23" s="1507" t="str">
        <f>B23</f>
        <v>环境质量</v>
      </c>
      <c r="R23" s="1508" t="s">
        <v>8</v>
      </c>
      <c r="S23" s="1509">
        <f>F23</f>
        <v>100</v>
      </c>
      <c r="T23" s="1508" t="s">
        <v>8</v>
      </c>
      <c r="U23" s="1509">
        <f>H23</f>
        <v>100</v>
      </c>
      <c r="V23" s="1508" t="s">
        <v>8</v>
      </c>
      <c r="W23" s="1509">
        <f>J23</f>
        <v>100</v>
      </c>
      <c r="X23" s="1502"/>
      <c r="Y23" s="3544"/>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544"/>
      <c r="Q24" s="1507"/>
      <c r="R24" s="1508"/>
      <c r="S24" s="1509"/>
      <c r="T24" s="1508"/>
      <c r="U24" s="1509"/>
      <c r="V24" s="1508"/>
      <c r="W24" s="1509"/>
      <c r="X24" s="1502"/>
      <c r="Y24" s="3544"/>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44"/>
      <c r="Q25" s="1507" t="str">
        <f>B25</f>
        <v>毗邻道路的类型与等级</v>
      </c>
      <c r="R25" s="1508" t="s">
        <v>8</v>
      </c>
      <c r="S25" s="1509">
        <f>F25</f>
        <v>100</v>
      </c>
      <c r="T25" s="1508" t="s">
        <v>8</v>
      </c>
      <c r="U25" s="1509">
        <f>H25</f>
        <v>100</v>
      </c>
      <c r="V25" s="1508" t="s">
        <v>8</v>
      </c>
      <c r="W25" s="1509">
        <f>J25</f>
        <v>100</v>
      </c>
      <c r="X25" s="1502"/>
      <c r="Y25" s="3544"/>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544"/>
      <c r="Q26" s="1507"/>
      <c r="R26" s="1508"/>
      <c r="S26" s="1509"/>
      <c r="T26" s="1508"/>
      <c r="U26" s="1509"/>
      <c r="V26" s="1508"/>
      <c r="W26" s="1509"/>
      <c r="X26" s="1502"/>
      <c r="Y26" s="3544"/>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44"/>
      <c r="Q27" s="1507" t="str">
        <f t="shared" ref="Q27:Q47" si="11">B27</f>
        <v>楼层</v>
      </c>
      <c r="R27" s="1508" t="s">
        <v>8</v>
      </c>
      <c r="S27" s="1509">
        <f>F27</f>
        <v>100</v>
      </c>
      <c r="T27" s="1508" t="s">
        <v>8</v>
      </c>
      <c r="U27" s="1509">
        <f>H27</f>
        <v>100</v>
      </c>
      <c r="V27" s="1508" t="s">
        <v>8</v>
      </c>
      <c r="W27" s="1509">
        <f>J27</f>
        <v>100</v>
      </c>
      <c r="X27" s="1502"/>
      <c r="Y27" s="3544"/>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44"/>
      <c r="Q28" s="1134" t="str">
        <f t="shared" si="11"/>
        <v>朝向</v>
      </c>
      <c r="R28" s="1503" t="s">
        <v>8</v>
      </c>
      <c r="S28" s="1504">
        <f>F28</f>
        <v>100</v>
      </c>
      <c r="T28" s="1503" t="s">
        <v>8</v>
      </c>
      <c r="U28" s="1504">
        <f>H28</f>
        <v>100</v>
      </c>
      <c r="V28" s="1503" t="s">
        <v>8</v>
      </c>
      <c r="W28" s="1504">
        <f>J28</f>
        <v>100</v>
      </c>
      <c r="X28" s="1505"/>
      <c r="Y28" s="3544"/>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44"/>
      <c r="Q29" s="1507">
        <f t="shared" si="11"/>
        <v>111</v>
      </c>
      <c r="R29" s="1508" t="s">
        <v>8</v>
      </c>
      <c r="S29" s="1509">
        <f t="shared" ref="S29:S47" si="12">F29</f>
        <v>100</v>
      </c>
      <c r="T29" s="1508" t="s">
        <v>8</v>
      </c>
      <c r="U29" s="1509">
        <f t="shared" ref="U29:U47" si="13">H29</f>
        <v>100</v>
      </c>
      <c r="V29" s="1508" t="s">
        <v>8</v>
      </c>
      <c r="W29" s="1509">
        <f t="shared" ref="W29:W47" si="14">J29</f>
        <v>100</v>
      </c>
      <c r="X29" s="1502"/>
      <c r="Y29" s="3544"/>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44"/>
      <c r="Q30" s="1507">
        <f t="shared" si="11"/>
        <v>111</v>
      </c>
      <c r="R30" s="1508" t="s">
        <v>8</v>
      </c>
      <c r="S30" s="1509">
        <f t="shared" si="12"/>
        <v>100</v>
      </c>
      <c r="T30" s="1508" t="s">
        <v>8</v>
      </c>
      <c r="U30" s="1509">
        <f t="shared" si="13"/>
        <v>100</v>
      </c>
      <c r="V30" s="1508" t="s">
        <v>8</v>
      </c>
      <c r="W30" s="1509">
        <f t="shared" si="14"/>
        <v>100</v>
      </c>
      <c r="X30" s="1502"/>
      <c r="Y30" s="3544"/>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44"/>
      <c r="Q31" s="1507">
        <f t="shared" si="11"/>
        <v>111</v>
      </c>
      <c r="R31" s="1508" t="s">
        <v>8</v>
      </c>
      <c r="S31" s="1509">
        <f t="shared" si="12"/>
        <v>100</v>
      </c>
      <c r="T31" s="1508" t="s">
        <v>8</v>
      </c>
      <c r="U31" s="1509">
        <f t="shared" si="13"/>
        <v>100</v>
      </c>
      <c r="V31" s="1508" t="s">
        <v>8</v>
      </c>
      <c r="W31" s="1509">
        <f t="shared" si="14"/>
        <v>100</v>
      </c>
      <c r="X31" s="1502"/>
      <c r="Y31" s="3544"/>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44"/>
      <c r="Q32" s="1507">
        <f t="shared" si="11"/>
        <v>111</v>
      </c>
      <c r="R32" s="1508" t="s">
        <v>8</v>
      </c>
      <c r="S32" s="1509">
        <f t="shared" si="12"/>
        <v>100</v>
      </c>
      <c r="T32" s="1508" t="s">
        <v>8</v>
      </c>
      <c r="U32" s="1509">
        <f t="shared" si="13"/>
        <v>100</v>
      </c>
      <c r="V32" s="1508" t="s">
        <v>8</v>
      </c>
      <c r="W32" s="1509">
        <f t="shared" si="14"/>
        <v>100</v>
      </c>
      <c r="X32" s="1502"/>
      <c r="Y32" s="3544"/>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45" t="s">
        <v>544</v>
      </c>
      <c r="Q33" s="1507" t="str">
        <f t="shared" si="11"/>
        <v>建筑类型</v>
      </c>
      <c r="R33" s="1508" t="s">
        <v>8</v>
      </c>
      <c r="S33" s="1509">
        <f t="shared" si="12"/>
        <v>100</v>
      </c>
      <c r="T33" s="1508" t="s">
        <v>8</v>
      </c>
      <c r="U33" s="1509">
        <f t="shared" si="13"/>
        <v>100</v>
      </c>
      <c r="V33" s="1508" t="s">
        <v>8</v>
      </c>
      <c r="W33" s="1509">
        <f t="shared" si="14"/>
        <v>100</v>
      </c>
      <c r="X33" s="1502"/>
      <c r="Y33" s="3546"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46"/>
      <c r="Q34" s="1536" t="str">
        <f t="shared" si="11"/>
        <v>项目建筑规模</v>
      </c>
      <c r="R34" s="1512" t="s">
        <v>8</v>
      </c>
      <c r="S34" s="1513" t="e">
        <f t="shared" si="12"/>
        <v>#N/A</v>
      </c>
      <c r="T34" s="1512" t="s">
        <v>8</v>
      </c>
      <c r="U34" s="1513" t="e">
        <f t="shared" si="13"/>
        <v>#N/A</v>
      </c>
      <c r="V34" s="1512" t="s">
        <v>8</v>
      </c>
      <c r="W34" s="1513" t="e">
        <f t="shared" si="14"/>
        <v>#N/A</v>
      </c>
      <c r="X34" s="1514"/>
      <c r="Y34" s="3546"/>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46"/>
      <c r="Q35" s="1507" t="str">
        <f t="shared" si="11"/>
        <v>建筑结构</v>
      </c>
      <c r="R35" s="1508" t="s">
        <v>8</v>
      </c>
      <c r="S35" s="1509">
        <f t="shared" si="12"/>
        <v>100</v>
      </c>
      <c r="T35" s="1508" t="s">
        <v>8</v>
      </c>
      <c r="U35" s="1509">
        <f t="shared" si="13"/>
        <v>100</v>
      </c>
      <c r="V35" s="1508" t="s">
        <v>8</v>
      </c>
      <c r="W35" s="1509">
        <f t="shared" si="14"/>
        <v>100</v>
      </c>
      <c r="X35" s="1502"/>
      <c r="Y35" s="3546"/>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46"/>
      <c r="Q36" s="1507" t="str">
        <f t="shared" si="11"/>
        <v>公共部分装修</v>
      </c>
      <c r="R36" s="1508" t="s">
        <v>8</v>
      </c>
      <c r="S36" s="1509">
        <f t="shared" si="12"/>
        <v>100</v>
      </c>
      <c r="T36" s="1508" t="s">
        <v>8</v>
      </c>
      <c r="U36" s="1509">
        <f t="shared" si="13"/>
        <v>100</v>
      </c>
      <c r="V36" s="1508" t="s">
        <v>8</v>
      </c>
      <c r="W36" s="1509">
        <f t="shared" si="14"/>
        <v>100</v>
      </c>
      <c r="X36" s="1502"/>
      <c r="Y36" s="3546"/>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46"/>
      <c r="Q37" s="1507" t="str">
        <f t="shared" si="11"/>
        <v>成新度</v>
      </c>
      <c r="R37" s="1508" t="s">
        <v>8</v>
      </c>
      <c r="S37" s="1509" t="e">
        <f t="shared" si="12"/>
        <v>#N/A</v>
      </c>
      <c r="T37" s="1508" t="s">
        <v>8</v>
      </c>
      <c r="U37" s="1509" t="e">
        <f t="shared" si="13"/>
        <v>#N/A</v>
      </c>
      <c r="V37" s="1508" t="s">
        <v>8</v>
      </c>
      <c r="W37" s="1509" t="e">
        <f t="shared" si="14"/>
        <v>#N/A</v>
      </c>
      <c r="X37" s="1502"/>
      <c r="Y37" s="3546"/>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46"/>
      <c r="Q38" s="1134" t="str">
        <f t="shared" si="11"/>
        <v>写字楼等级</v>
      </c>
      <c r="R38" s="1503" t="s">
        <v>8</v>
      </c>
      <c r="S38" s="1504">
        <f t="shared" si="12"/>
        <v>100</v>
      </c>
      <c r="T38" s="1503" t="s">
        <v>8</v>
      </c>
      <c r="U38" s="1504">
        <f t="shared" si="13"/>
        <v>100</v>
      </c>
      <c r="V38" s="1503" t="s">
        <v>8</v>
      </c>
      <c r="W38" s="1504">
        <f t="shared" si="14"/>
        <v>100</v>
      </c>
      <c r="X38" s="1505"/>
      <c r="Y38" s="3546"/>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46" t="s">
        <v>544</v>
      </c>
      <c r="Q39" s="1507" t="str">
        <f t="shared" si="11"/>
        <v>物业管理</v>
      </c>
      <c r="R39" s="1508" t="s">
        <v>8</v>
      </c>
      <c r="S39" s="1509">
        <f t="shared" si="12"/>
        <v>100</v>
      </c>
      <c r="T39" s="1508" t="s">
        <v>8</v>
      </c>
      <c r="U39" s="1509">
        <f t="shared" si="13"/>
        <v>100</v>
      </c>
      <c r="V39" s="1508" t="s">
        <v>8</v>
      </c>
      <c r="W39" s="1509">
        <f t="shared" si="14"/>
        <v>100</v>
      </c>
      <c r="X39" s="1502"/>
      <c r="Y39" s="3546"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46"/>
      <c r="Q40" s="1507" t="str">
        <f t="shared" si="11"/>
        <v>市政基础设施</v>
      </c>
      <c r="R40" s="1508" t="s">
        <v>8</v>
      </c>
      <c r="S40" s="1509">
        <f t="shared" si="12"/>
        <v>100</v>
      </c>
      <c r="T40" s="1508" t="s">
        <v>8</v>
      </c>
      <c r="U40" s="1509">
        <f t="shared" si="13"/>
        <v>100</v>
      </c>
      <c r="V40" s="1508" t="s">
        <v>8</v>
      </c>
      <c r="W40" s="1509">
        <f t="shared" si="14"/>
        <v>100</v>
      </c>
      <c r="X40" s="1502"/>
      <c r="Y40" s="3546"/>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46"/>
      <c r="Q41" s="1507" t="str">
        <f t="shared" si="11"/>
        <v>层高</v>
      </c>
      <c r="R41" s="1508" t="s">
        <v>8</v>
      </c>
      <c r="S41" s="1509">
        <f t="shared" si="12"/>
        <v>100</v>
      </c>
      <c r="T41" s="1508" t="s">
        <v>8</v>
      </c>
      <c r="U41" s="1509">
        <f t="shared" si="13"/>
        <v>100</v>
      </c>
      <c r="V41" s="1508" t="s">
        <v>8</v>
      </c>
      <c r="W41" s="1509">
        <f t="shared" si="14"/>
        <v>100</v>
      </c>
      <c r="X41" s="1502"/>
      <c r="Y41" s="3546"/>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46"/>
      <c r="Q42" s="1536" t="str">
        <f t="shared" si="11"/>
        <v>单套建筑面积</v>
      </c>
      <c r="R42" s="1512" t="s">
        <v>8</v>
      </c>
      <c r="S42" s="1513">
        <f t="shared" si="12"/>
        <v>100</v>
      </c>
      <c r="T42" s="1512" t="s">
        <v>8</v>
      </c>
      <c r="U42" s="1513">
        <f t="shared" si="13"/>
        <v>100</v>
      </c>
      <c r="V42" s="1512" t="s">
        <v>8</v>
      </c>
      <c r="W42" s="1513">
        <f t="shared" si="14"/>
        <v>100</v>
      </c>
      <c r="X42" s="1514"/>
      <c r="Y42" s="3546"/>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46"/>
      <c r="Q43" s="1507" t="str">
        <f t="shared" si="11"/>
        <v>内部装修</v>
      </c>
      <c r="R43" s="1508" t="s">
        <v>8</v>
      </c>
      <c r="S43" s="1509">
        <f t="shared" si="12"/>
        <v>100</v>
      </c>
      <c r="T43" s="1508" t="s">
        <v>8</v>
      </c>
      <c r="U43" s="1509">
        <f t="shared" si="13"/>
        <v>100</v>
      </c>
      <c r="V43" s="1508" t="s">
        <v>8</v>
      </c>
      <c r="W43" s="1509">
        <f t="shared" si="14"/>
        <v>100</v>
      </c>
      <c r="X43" s="1502"/>
      <c r="Y43" s="3546"/>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46"/>
      <c r="Q44" s="1507" t="str">
        <f t="shared" si="11"/>
        <v>内部装修维护情况</v>
      </c>
      <c r="R44" s="1508" t="s">
        <v>8</v>
      </c>
      <c r="S44" s="1509">
        <f t="shared" si="12"/>
        <v>100</v>
      </c>
      <c r="T44" s="1508" t="s">
        <v>8</v>
      </c>
      <c r="U44" s="1509">
        <f t="shared" si="13"/>
        <v>100</v>
      </c>
      <c r="V44" s="1508" t="s">
        <v>8</v>
      </c>
      <c r="W44" s="1509">
        <f t="shared" si="14"/>
        <v>100</v>
      </c>
      <c r="X44" s="1502"/>
      <c r="Y44" s="3546"/>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46"/>
      <c r="Q45" s="1134">
        <f t="shared" si="11"/>
        <v>111</v>
      </c>
      <c r="R45" s="1503" t="s">
        <v>8</v>
      </c>
      <c r="S45" s="1504">
        <f t="shared" si="12"/>
        <v>100</v>
      </c>
      <c r="T45" s="1503" t="s">
        <v>8</v>
      </c>
      <c r="U45" s="1504">
        <f t="shared" si="13"/>
        <v>100</v>
      </c>
      <c r="V45" s="1503" t="s">
        <v>8</v>
      </c>
      <c r="W45" s="1504">
        <f t="shared" si="14"/>
        <v>100</v>
      </c>
      <c r="X45" s="1505"/>
      <c r="Y45" s="3546"/>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46"/>
      <c r="Q46" s="1507">
        <f t="shared" si="11"/>
        <v>111</v>
      </c>
      <c r="R46" s="1508" t="s">
        <v>8</v>
      </c>
      <c r="S46" s="1509">
        <f t="shared" si="12"/>
        <v>100</v>
      </c>
      <c r="T46" s="1508" t="s">
        <v>8</v>
      </c>
      <c r="U46" s="1509">
        <f t="shared" si="13"/>
        <v>100</v>
      </c>
      <c r="V46" s="1508" t="s">
        <v>8</v>
      </c>
      <c r="W46" s="1509">
        <f t="shared" si="14"/>
        <v>100</v>
      </c>
      <c r="X46" s="1502"/>
      <c r="Y46" s="3546"/>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28"/>
      <c r="Q47" s="1507">
        <f t="shared" si="11"/>
        <v>111</v>
      </c>
      <c r="R47" s="1508" t="s">
        <v>8</v>
      </c>
      <c r="S47" s="1509">
        <f t="shared" si="12"/>
        <v>100</v>
      </c>
      <c r="T47" s="1508" t="s">
        <v>8</v>
      </c>
      <c r="U47" s="1509">
        <f t="shared" si="13"/>
        <v>100</v>
      </c>
      <c r="V47" s="1508" t="s">
        <v>8</v>
      </c>
      <c r="W47" s="1509">
        <f t="shared" si="14"/>
        <v>100</v>
      </c>
      <c r="X47" s="1502"/>
      <c r="Y47" s="3628"/>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507" t="str">
        <f>A48</f>
        <v>成交单价（元/平方米）</v>
      </c>
      <c r="Q48" s="3509"/>
      <c r="R48" s="3627">
        <f>E48</f>
        <v>0</v>
      </c>
      <c r="S48" s="3627"/>
      <c r="T48" s="3627">
        <f>G48</f>
        <v>0</v>
      </c>
      <c r="U48" s="3627"/>
      <c r="V48" s="3627">
        <f>I48</f>
        <v>0</v>
      </c>
      <c r="W48" s="3627"/>
      <c r="X48" s="1497"/>
      <c r="Y48" s="1516"/>
      <c r="Z48" s="1497"/>
      <c r="AA48" s="1497"/>
      <c r="AB48" s="1497"/>
      <c r="AC48" s="1497"/>
    </row>
    <row r="49" spans="1:29" ht="15.75" thickBot="1">
      <c r="A49" s="609" t="s">
        <v>2741</v>
      </c>
      <c r="B49" s="877"/>
      <c r="C49" s="2476" t="e">
        <f>R50</f>
        <v>#DIV/0!</v>
      </c>
      <c r="D49" s="3014" t="s">
        <v>2969</v>
      </c>
      <c r="E49" s="2477" t="e">
        <f>R49</f>
        <v>#DIV/0!</v>
      </c>
      <c r="F49" s="3015"/>
      <c r="G49" s="2476" t="e">
        <f>T49</f>
        <v>#DIV/0!</v>
      </c>
      <c r="H49" s="3015"/>
      <c r="I49" s="2477" t="e">
        <f>V49</f>
        <v>#DIV/0!</v>
      </c>
      <c r="J49" s="3015"/>
      <c r="K49" s="3023">
        <f>F49+H49+J49</f>
        <v>0</v>
      </c>
      <c r="L49" s="2026"/>
      <c r="M49" s="2016"/>
      <c r="N49" s="2016"/>
      <c r="O49" s="2016"/>
      <c r="P49" s="3507" t="str">
        <f>A49</f>
        <v>比较价格（元/平方米）</v>
      </c>
      <c r="Q49" s="3509"/>
      <c r="R49" s="3627" t="e">
        <f>IF(F1="售价",ROUND(PRODUCT(R48,AA7:AA47),0),ROUND(PRODUCT(R48,AA7:AA47),1))</f>
        <v>#DIV/0!</v>
      </c>
      <c r="S49" s="3627"/>
      <c r="T49" s="3627" t="e">
        <f>IF(F1="售价",ROUND(PRODUCT(T48,AB7:AB47),0),ROUND(PRODUCT(T48,AB7:AB47),1))</f>
        <v>#DIV/0!</v>
      </c>
      <c r="U49" s="3627"/>
      <c r="V49" s="3627" t="e">
        <f>IF(F1="售价",ROUND(PRODUCT(V48,AC7:AC47),0),ROUND(PRODUCT(V48,AC7:AC47),1))</f>
        <v>#DIV/0!</v>
      </c>
      <c r="W49" s="3627"/>
      <c r="X49" s="1497"/>
      <c r="Y49" s="1497"/>
      <c r="Z49" s="1497"/>
      <c r="AA49" s="1497"/>
      <c r="AB49" s="1497"/>
      <c r="AC49" s="1497"/>
    </row>
    <row r="50" spans="1:29" ht="15.75" thickBot="1">
      <c r="A50" s="613" t="s">
        <v>2903</v>
      </c>
      <c r="B50" s="614"/>
      <c r="C50" s="2478" t="e">
        <f>R50</f>
        <v>#DIV/0!</v>
      </c>
      <c r="D50" s="2478"/>
      <c r="E50" s="2478"/>
      <c r="F50" s="2478"/>
      <c r="G50" s="2478"/>
      <c r="H50" s="2478"/>
      <c r="I50" s="2478"/>
      <c r="J50" s="2478"/>
      <c r="K50" s="1542"/>
      <c r="L50" s="2026"/>
      <c r="M50" s="2016"/>
      <c r="N50" s="2016"/>
      <c r="O50" s="2016"/>
      <c r="P50" s="3629" t="str">
        <f>A50</f>
        <v>估价对象XX用房的比较价格（楼面单价，元/平方米）</v>
      </c>
      <c r="Q50" s="3507"/>
      <c r="R50" s="3626" t="e">
        <f>IF(F1="售价",ROUND(IF(D49="简单平均",AVERAGE(R49:V49),R49*F49+T49*H49+V49*J49),0),ROUND(IF(D49="简单平均",AVERAGE(R49:V49),R49*F49+T49*H49+V49*J49),1))</f>
        <v>#DIV/0!</v>
      </c>
      <c r="S50" s="3626"/>
      <c r="T50" s="3626"/>
      <c r="U50" s="3626"/>
      <c r="V50" s="3626"/>
      <c r="W50" s="3626"/>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2020-8</v>
      </c>
      <c r="D59" s="2521">
        <f>EDATE(C59,-1)</f>
        <v>44013</v>
      </c>
      <c r="E59" s="2521">
        <f t="shared" ref="E59:O59" si="16">EDATE(D59,-1)</f>
        <v>43983</v>
      </c>
      <c r="F59" s="2521">
        <f t="shared" si="16"/>
        <v>43952</v>
      </c>
      <c r="G59" s="2521">
        <f t="shared" si="16"/>
        <v>43922</v>
      </c>
      <c r="H59" s="2521">
        <f t="shared" si="16"/>
        <v>43891</v>
      </c>
      <c r="I59" s="2521">
        <f t="shared" si="16"/>
        <v>43862</v>
      </c>
      <c r="J59" s="2521">
        <f t="shared" si="16"/>
        <v>43831</v>
      </c>
      <c r="K59" s="2521">
        <f t="shared" si="16"/>
        <v>43800</v>
      </c>
      <c r="L59" s="2521">
        <f t="shared" si="16"/>
        <v>43770</v>
      </c>
      <c r="M59" s="2521">
        <f t="shared" si="16"/>
        <v>43739</v>
      </c>
      <c r="N59" s="2521">
        <f t="shared" si="16"/>
        <v>43709</v>
      </c>
      <c r="O59" s="2521">
        <f t="shared" si="16"/>
        <v>43678</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71" priority="19" stopIfTrue="1" operator="containsText" text="超过">
      <formula>NOT(ISERROR(SEARCH("超过",F53)))</formula>
    </cfRule>
  </conditionalFormatting>
  <conditionalFormatting sqref="H55">
    <cfRule type="containsText" dxfId="70" priority="18" stopIfTrue="1" operator="containsText" text="超过">
      <formula>NOT(ISERROR(SEARCH("超过",H55)))</formula>
    </cfRule>
  </conditionalFormatting>
  <conditionalFormatting sqref="F55">
    <cfRule type="containsText" dxfId="69" priority="17" stopIfTrue="1" operator="containsText" text="超过">
      <formula>NOT(ISERROR(SEARCH("超过",F55)))</formula>
    </cfRule>
  </conditionalFormatting>
  <conditionalFormatting sqref="F54 H54">
    <cfRule type="containsText" dxfId="68" priority="16" stopIfTrue="1" operator="containsText" text="超过">
      <formula>NOT(ISERROR(SEARCH("超过",F54)))</formula>
    </cfRule>
  </conditionalFormatting>
  <conditionalFormatting sqref="E53">
    <cfRule type="expression" dxfId="67" priority="15" stopIfTrue="1">
      <formula>$F$53="超过30%"</formula>
    </cfRule>
  </conditionalFormatting>
  <conditionalFormatting sqref="E54">
    <cfRule type="expression" dxfId="66" priority="14" stopIfTrue="1">
      <formula>$F$54="超过20%"</formula>
    </cfRule>
  </conditionalFormatting>
  <conditionalFormatting sqref="E55">
    <cfRule type="expression" dxfId="65" priority="13" stopIfTrue="1">
      <formula>$F$55="超过30%"</formula>
    </cfRule>
  </conditionalFormatting>
  <conditionalFormatting sqref="G55">
    <cfRule type="expression" dxfId="64" priority="12" stopIfTrue="1">
      <formula>$H$55="超过30%"</formula>
    </cfRule>
  </conditionalFormatting>
  <conditionalFormatting sqref="G53">
    <cfRule type="expression" dxfId="63" priority="11" stopIfTrue="1">
      <formula>$H$53="超过30%"</formula>
    </cfRule>
  </conditionalFormatting>
  <conditionalFormatting sqref="G54">
    <cfRule type="expression" dxfId="62" priority="10" stopIfTrue="1">
      <formula>$H$54="超过20%"</formula>
    </cfRule>
  </conditionalFormatting>
  <conditionalFormatting sqref="J53">
    <cfRule type="containsText" dxfId="61" priority="9" stopIfTrue="1" operator="containsText" text="超过">
      <formula>NOT(ISERROR(SEARCH("超过",J53)))</formula>
    </cfRule>
  </conditionalFormatting>
  <conditionalFormatting sqref="J55">
    <cfRule type="containsText" dxfId="60" priority="8" stopIfTrue="1" operator="containsText" text="超过">
      <formula>NOT(ISERROR(SEARCH("超过",J55)))</formula>
    </cfRule>
  </conditionalFormatting>
  <conditionalFormatting sqref="J54">
    <cfRule type="containsText" dxfId="59" priority="7" stopIfTrue="1" operator="containsText" text="超过">
      <formula>NOT(ISERROR(SEARCH("超过",J54)))</formula>
    </cfRule>
  </conditionalFormatting>
  <conditionalFormatting sqref="I53">
    <cfRule type="expression" dxfId="58" priority="6" stopIfTrue="1">
      <formula>$J$53="超过30%"</formula>
    </cfRule>
  </conditionalFormatting>
  <conditionalFormatting sqref="I54">
    <cfRule type="expression" dxfId="57" priority="5" stopIfTrue="1">
      <formula>$J$53+$J$54="超过20%"</formula>
    </cfRule>
  </conditionalFormatting>
  <conditionalFormatting sqref="I55">
    <cfRule type="expression" dxfId="56" priority="4" stopIfTrue="1">
      <formula>$J$55="超过30%"</formula>
    </cfRule>
  </conditionalFormatting>
  <conditionalFormatting sqref="F49">
    <cfRule type="expression" dxfId="55" priority="3">
      <formula>$D$49="简单平均"</formula>
    </cfRule>
  </conditionalFormatting>
  <conditionalFormatting sqref="H49">
    <cfRule type="expression" dxfId="54" priority="2">
      <formula>$D$49="简单平均"</formula>
    </cfRule>
  </conditionalFormatting>
  <conditionalFormatting sqref="J49">
    <cfRule type="expression" dxfId="53" priority="1">
      <formula>$D$49="简单平均"</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515" t="s">
        <v>516</v>
      </c>
      <c r="D4" s="3516"/>
      <c r="E4" s="3549" t="s">
        <v>517</v>
      </c>
      <c r="F4" s="3550"/>
      <c r="G4" s="3515" t="s">
        <v>518</v>
      </c>
      <c r="H4" s="3516"/>
      <c r="I4" s="3515" t="s">
        <v>519</v>
      </c>
      <c r="J4" s="3516"/>
      <c r="K4" s="508" t="s">
        <v>520</v>
      </c>
      <c r="L4" s="2015"/>
      <c r="M4" s="2016"/>
      <c r="N4" s="2016"/>
      <c r="O4" s="2016"/>
      <c r="P4" s="3517" t="s">
        <v>521</v>
      </c>
      <c r="Q4" s="3518"/>
      <c r="R4" s="3523" t="s">
        <v>517</v>
      </c>
      <c r="S4" s="3524"/>
      <c r="T4" s="3523" t="s">
        <v>518</v>
      </c>
      <c r="U4" s="3524"/>
      <c r="V4" s="3510" t="s">
        <v>519</v>
      </c>
      <c r="W4" s="3510"/>
      <c r="X4" s="1502"/>
      <c r="Y4" s="3523" t="s">
        <v>521</v>
      </c>
      <c r="Z4" s="3524"/>
      <c r="AA4" s="3512" t="s">
        <v>517</v>
      </c>
      <c r="AB4" s="3513" t="s">
        <v>518</v>
      </c>
      <c r="AC4" s="3512" t="s">
        <v>519</v>
      </c>
    </row>
    <row r="5" spans="1:29" ht="15">
      <c r="A5" s="509"/>
      <c r="B5" s="510"/>
      <c r="C5" s="3531" t="s">
        <v>2897</v>
      </c>
      <c r="D5" s="3532"/>
      <c r="E5" s="3551" t="s">
        <v>2898</v>
      </c>
      <c r="F5" s="3552"/>
      <c r="G5" s="3531" t="s">
        <v>2899</v>
      </c>
      <c r="H5" s="3532"/>
      <c r="I5" s="3531" t="s">
        <v>2900</v>
      </c>
      <c r="J5" s="3532"/>
      <c r="K5" s="508"/>
      <c r="L5" s="2015"/>
      <c r="M5" s="2016"/>
      <c r="N5" s="2016"/>
      <c r="O5" s="2016"/>
      <c r="P5" s="3519"/>
      <c r="Q5" s="3520"/>
      <c r="R5" s="3525"/>
      <c r="S5" s="3526"/>
      <c r="T5" s="3525"/>
      <c r="U5" s="3526"/>
      <c r="V5" s="3510"/>
      <c r="W5" s="3510"/>
      <c r="X5" s="1502"/>
      <c r="Y5" s="3525"/>
      <c r="Z5" s="3526"/>
      <c r="AA5" s="3513"/>
      <c r="AB5" s="3513"/>
      <c r="AC5" s="3513"/>
    </row>
    <row r="6" spans="1:29" ht="15.75" thickBot="1">
      <c r="A6" s="511"/>
      <c r="B6" s="512"/>
      <c r="C6" s="3529" t="s">
        <v>2901</v>
      </c>
      <c r="D6" s="3530"/>
      <c r="E6" s="3547" t="s">
        <v>2901</v>
      </c>
      <c r="F6" s="3548"/>
      <c r="G6" s="3529" t="s">
        <v>2901</v>
      </c>
      <c r="H6" s="3530"/>
      <c r="I6" s="3529" t="s">
        <v>2901</v>
      </c>
      <c r="J6" s="3530"/>
      <c r="K6" s="508" t="s">
        <v>522</v>
      </c>
      <c r="L6" s="2015"/>
      <c r="M6" s="2016"/>
      <c r="N6" s="2016"/>
      <c r="O6" s="2016"/>
      <c r="P6" s="3521"/>
      <c r="Q6" s="3522"/>
      <c r="R6" s="3525"/>
      <c r="S6" s="3526"/>
      <c r="T6" s="3527"/>
      <c r="U6" s="3528"/>
      <c r="V6" s="3510"/>
      <c r="W6" s="3510"/>
      <c r="X6" s="1502"/>
      <c r="Y6" s="3527"/>
      <c r="Z6" s="3528"/>
      <c r="AA6" s="3514"/>
      <c r="AB6" s="3514"/>
      <c r="AC6" s="3514"/>
    </row>
    <row r="7" spans="1:29" s="1203" customFormat="1" ht="15.75" thickBot="1">
      <c r="A7" s="2629"/>
      <c r="B7" s="2636" t="s">
        <v>523</v>
      </c>
      <c r="C7" s="513">
        <f>'数据-取费表'!B2</f>
        <v>44071</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40" t="s">
        <v>524</v>
      </c>
      <c r="Q7" s="3542"/>
      <c r="R7" s="1503" t="s">
        <v>8</v>
      </c>
      <c r="S7" s="1504">
        <f t="shared" ref="S7:S15" si="0">F7</f>
        <v>0</v>
      </c>
      <c r="T7" s="1503" t="s">
        <v>8</v>
      </c>
      <c r="U7" s="1504">
        <f t="shared" ref="U7:U15" si="1">H7</f>
        <v>0</v>
      </c>
      <c r="V7" s="1503" t="s">
        <v>8</v>
      </c>
      <c r="W7" s="1504">
        <f t="shared" ref="W7:W15" si="2">J7</f>
        <v>0</v>
      </c>
      <c r="X7" s="1505"/>
      <c r="Y7" s="3540" t="s">
        <v>524</v>
      </c>
      <c r="Z7" s="3541"/>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40" t="s">
        <v>527</v>
      </c>
      <c r="Q8" s="3541"/>
      <c r="R8" s="1503" t="s">
        <v>8</v>
      </c>
      <c r="S8" s="1504">
        <f t="shared" si="0"/>
        <v>0</v>
      </c>
      <c r="T8" s="1503" t="s">
        <v>8</v>
      </c>
      <c r="U8" s="1504">
        <f t="shared" si="1"/>
        <v>0</v>
      </c>
      <c r="V8" s="1503" t="s">
        <v>8</v>
      </c>
      <c r="W8" s="1504">
        <f t="shared" si="2"/>
        <v>0</v>
      </c>
      <c r="X8" s="1505"/>
      <c r="Y8" s="3540" t="s">
        <v>527</v>
      </c>
      <c r="Z8" s="3541"/>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09" t="s">
        <v>529</v>
      </c>
      <c r="Q9" s="1134" t="str">
        <f t="shared" ref="Q9:Q15" si="6">B9</f>
        <v>用途</v>
      </c>
      <c r="R9" s="1503" t="s">
        <v>8</v>
      </c>
      <c r="S9" s="1504">
        <f t="shared" si="0"/>
        <v>100</v>
      </c>
      <c r="T9" s="1503" t="s">
        <v>8</v>
      </c>
      <c r="U9" s="1504">
        <f t="shared" si="1"/>
        <v>100</v>
      </c>
      <c r="V9" s="1503" t="s">
        <v>8</v>
      </c>
      <c r="W9" s="1504">
        <f t="shared" si="2"/>
        <v>100</v>
      </c>
      <c r="X9" s="1505"/>
      <c r="Y9" s="345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09"/>
      <c r="Q10" s="1134" t="str">
        <f t="shared" si="6"/>
        <v>土地使用年限（年）</v>
      </c>
      <c r="R10" s="1503" t="s">
        <v>8</v>
      </c>
      <c r="S10" s="1504">
        <f t="shared" si="0"/>
        <v>100</v>
      </c>
      <c r="T10" s="1503" t="s">
        <v>8</v>
      </c>
      <c r="U10" s="1504">
        <f t="shared" si="1"/>
        <v>100</v>
      </c>
      <c r="V10" s="1503" t="s">
        <v>8</v>
      </c>
      <c r="W10" s="1504">
        <f t="shared" si="2"/>
        <v>100</v>
      </c>
      <c r="X10" s="1505"/>
      <c r="Y10" s="345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09"/>
      <c r="Q11" s="1134" t="str">
        <f t="shared" si="6"/>
        <v>容积率</v>
      </c>
      <c r="R11" s="1503" t="s">
        <v>8</v>
      </c>
      <c r="S11" s="1504" t="e">
        <f t="shared" si="0"/>
        <v>#N/A</v>
      </c>
      <c r="T11" s="1503" t="s">
        <v>8</v>
      </c>
      <c r="U11" s="1504" t="e">
        <f t="shared" si="1"/>
        <v>#N/A</v>
      </c>
      <c r="V11" s="1503" t="s">
        <v>8</v>
      </c>
      <c r="W11" s="1504" t="e">
        <f t="shared" si="2"/>
        <v>#N/A</v>
      </c>
      <c r="X11" s="1505"/>
      <c r="Y11" s="345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509"/>
      <c r="Q12" s="1134">
        <f t="shared" si="6"/>
        <v>111</v>
      </c>
      <c r="R12" s="1503" t="s">
        <v>8</v>
      </c>
      <c r="S12" s="1504">
        <f t="shared" si="0"/>
        <v>100</v>
      </c>
      <c r="T12" s="1503" t="s">
        <v>8</v>
      </c>
      <c r="U12" s="1504">
        <f t="shared" si="1"/>
        <v>100</v>
      </c>
      <c r="V12" s="1503" t="s">
        <v>8</v>
      </c>
      <c r="W12" s="1504">
        <f t="shared" si="2"/>
        <v>100</v>
      </c>
      <c r="X12" s="1505"/>
      <c r="Y12" s="3455"/>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509"/>
      <c r="Q13" s="1134">
        <f t="shared" si="6"/>
        <v>111</v>
      </c>
      <c r="R13" s="1503" t="s">
        <v>8</v>
      </c>
      <c r="S13" s="1504">
        <f t="shared" si="0"/>
        <v>100</v>
      </c>
      <c r="T13" s="1503" t="s">
        <v>8</v>
      </c>
      <c r="U13" s="1504">
        <f t="shared" si="1"/>
        <v>100</v>
      </c>
      <c r="V13" s="1503" t="s">
        <v>8</v>
      </c>
      <c r="W13" s="1504">
        <f t="shared" si="2"/>
        <v>100</v>
      </c>
      <c r="X13" s="1505"/>
      <c r="Y13" s="3455"/>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509"/>
      <c r="Q14" s="1134">
        <f t="shared" si="6"/>
        <v>111</v>
      </c>
      <c r="R14" s="1503" t="s">
        <v>8</v>
      </c>
      <c r="S14" s="1504">
        <f t="shared" si="0"/>
        <v>100</v>
      </c>
      <c r="T14" s="1503" t="s">
        <v>8</v>
      </c>
      <c r="U14" s="1504">
        <f t="shared" si="1"/>
        <v>100</v>
      </c>
      <c r="V14" s="1503" t="s">
        <v>8</v>
      </c>
      <c r="W14" s="1504">
        <f t="shared" si="2"/>
        <v>100</v>
      </c>
      <c r="X14" s="1505"/>
      <c r="Y14" s="3455"/>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43" t="s">
        <v>534</v>
      </c>
      <c r="Q15" s="1507" t="str">
        <f t="shared" si="6"/>
        <v>产业集聚程度</v>
      </c>
      <c r="R15" s="1508" t="s">
        <v>8</v>
      </c>
      <c r="S15" s="1509">
        <f t="shared" si="0"/>
        <v>100</v>
      </c>
      <c r="T15" s="1508" t="s">
        <v>8</v>
      </c>
      <c r="U15" s="1509">
        <f t="shared" si="1"/>
        <v>100</v>
      </c>
      <c r="V15" s="1508" t="s">
        <v>8</v>
      </c>
      <c r="W15" s="1509">
        <f t="shared" si="2"/>
        <v>100</v>
      </c>
      <c r="X15" s="1502"/>
      <c r="Y15" s="3543"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44"/>
      <c r="Q16" s="1507"/>
      <c r="R16" s="1508"/>
      <c r="S16" s="1509"/>
      <c r="T16" s="1508"/>
      <c r="U16" s="1509"/>
      <c r="V16" s="1508"/>
      <c r="W16" s="1509"/>
      <c r="X16" s="1502"/>
      <c r="Y16" s="3544"/>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44"/>
      <c r="Q17" s="1507" t="str">
        <f>B17</f>
        <v>交通便捷度</v>
      </c>
      <c r="R17" s="1508" t="s">
        <v>8</v>
      </c>
      <c r="S17" s="1509">
        <f>F17</f>
        <v>100</v>
      </c>
      <c r="T17" s="1508" t="s">
        <v>8</v>
      </c>
      <c r="U17" s="1509">
        <f>H17</f>
        <v>100</v>
      </c>
      <c r="V17" s="1508" t="s">
        <v>8</v>
      </c>
      <c r="W17" s="1509">
        <f>J17</f>
        <v>100</v>
      </c>
      <c r="X17" s="1502"/>
      <c r="Y17" s="354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44"/>
      <c r="Q18" s="1507"/>
      <c r="R18" s="1508"/>
      <c r="S18" s="1509"/>
      <c r="T18" s="1508"/>
      <c r="U18" s="1509"/>
      <c r="V18" s="1508"/>
      <c r="W18" s="1509"/>
      <c r="X18" s="1502"/>
      <c r="Y18" s="3544"/>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44"/>
      <c r="Q19" s="1507" t="str">
        <f>B19</f>
        <v>公共配套设施</v>
      </c>
      <c r="R19" s="1508" t="s">
        <v>8</v>
      </c>
      <c r="S19" s="1509">
        <f>F19</f>
        <v>100</v>
      </c>
      <c r="T19" s="1508" t="s">
        <v>8</v>
      </c>
      <c r="U19" s="1509">
        <f>H19</f>
        <v>100</v>
      </c>
      <c r="V19" s="1508" t="s">
        <v>8</v>
      </c>
      <c r="W19" s="1509">
        <f>J19</f>
        <v>100</v>
      </c>
      <c r="X19" s="1502"/>
      <c r="Y19" s="3544"/>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544"/>
      <c r="Q20" s="1507"/>
      <c r="R20" s="1508"/>
      <c r="S20" s="1509"/>
      <c r="T20" s="1508"/>
      <c r="U20" s="1509"/>
      <c r="V20" s="1508"/>
      <c r="W20" s="1509"/>
      <c r="X20" s="1502"/>
      <c r="Y20" s="3544"/>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44"/>
      <c r="Q21" s="2429" t="str">
        <f>B21</f>
        <v>基础设施水平</v>
      </c>
      <c r="R21" s="1508" t="s">
        <v>8</v>
      </c>
      <c r="S21" s="1509">
        <f>F21</f>
        <v>100</v>
      </c>
      <c r="T21" s="1508" t="s">
        <v>8</v>
      </c>
      <c r="U21" s="1509">
        <f>H21</f>
        <v>100</v>
      </c>
      <c r="V21" s="1508" t="s">
        <v>8</v>
      </c>
      <c r="W21" s="1509">
        <f>J21</f>
        <v>100</v>
      </c>
      <c r="X21" s="2431"/>
      <c r="Y21" s="3544"/>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544"/>
      <c r="Q22" s="2429"/>
      <c r="R22" s="1508"/>
      <c r="S22" s="1509"/>
      <c r="T22" s="1508"/>
      <c r="U22" s="1509"/>
      <c r="V22" s="1508"/>
      <c r="W22" s="1509"/>
      <c r="X22" s="2431"/>
      <c r="Y22" s="3544"/>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44"/>
      <c r="Q23" s="1507" t="str">
        <f>B23</f>
        <v>环境质量</v>
      </c>
      <c r="R23" s="1508" t="s">
        <v>8</v>
      </c>
      <c r="S23" s="1509">
        <f>F23</f>
        <v>100</v>
      </c>
      <c r="T23" s="1508" t="s">
        <v>8</v>
      </c>
      <c r="U23" s="1509">
        <f>H23</f>
        <v>100</v>
      </c>
      <c r="V23" s="1508" t="s">
        <v>8</v>
      </c>
      <c r="W23" s="1509">
        <f>J23</f>
        <v>100</v>
      </c>
      <c r="X23" s="1502"/>
      <c r="Y23" s="3544"/>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544"/>
      <c r="Q24" s="1507"/>
      <c r="R24" s="1508"/>
      <c r="S24" s="1509"/>
      <c r="T24" s="1508"/>
      <c r="U24" s="1509"/>
      <c r="V24" s="1508"/>
      <c r="W24" s="1509"/>
      <c r="X24" s="1502"/>
      <c r="Y24" s="3544"/>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44"/>
      <c r="Q25" s="1507">
        <f>B25</f>
        <v>111</v>
      </c>
      <c r="R25" s="1508" t="s">
        <v>8</v>
      </c>
      <c r="S25" s="1509">
        <f>F25</f>
        <v>100</v>
      </c>
      <c r="T25" s="1508" t="s">
        <v>8</v>
      </c>
      <c r="U25" s="1509">
        <f>H25</f>
        <v>100</v>
      </c>
      <c r="V25" s="1508" t="s">
        <v>8</v>
      </c>
      <c r="W25" s="1509">
        <f>J25</f>
        <v>100</v>
      </c>
      <c r="X25" s="1502"/>
      <c r="Y25" s="3544"/>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44"/>
      <c r="Q26" s="1507">
        <f t="shared" ref="Q26:Q40" si="11">B26</f>
        <v>111</v>
      </c>
      <c r="R26" s="1508" t="s">
        <v>8</v>
      </c>
      <c r="S26" s="1509">
        <f>F26</f>
        <v>100</v>
      </c>
      <c r="T26" s="1508" t="s">
        <v>8</v>
      </c>
      <c r="U26" s="1509">
        <f>H26</f>
        <v>100</v>
      </c>
      <c r="V26" s="1508" t="s">
        <v>8</v>
      </c>
      <c r="W26" s="1509">
        <f>J26</f>
        <v>100</v>
      </c>
      <c r="X26" s="1502"/>
      <c r="Y26" s="3544"/>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44"/>
      <c r="Q27" s="1134">
        <f t="shared" si="11"/>
        <v>111</v>
      </c>
      <c r="R27" s="1503" t="s">
        <v>8</v>
      </c>
      <c r="S27" s="1504">
        <f>F27</f>
        <v>100</v>
      </c>
      <c r="T27" s="1503" t="s">
        <v>8</v>
      </c>
      <c r="U27" s="1504">
        <f>H27</f>
        <v>100</v>
      </c>
      <c r="V27" s="1503" t="s">
        <v>8</v>
      </c>
      <c r="W27" s="1504">
        <f>J27</f>
        <v>100</v>
      </c>
      <c r="X27" s="1505"/>
      <c r="Y27" s="3544"/>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44"/>
      <c r="Q28" s="1507">
        <f t="shared" si="11"/>
        <v>111</v>
      </c>
      <c r="R28" s="1508" t="s">
        <v>8</v>
      </c>
      <c r="S28" s="1509">
        <f t="shared" ref="S28:S40" si="12">F28</f>
        <v>100</v>
      </c>
      <c r="T28" s="1508" t="s">
        <v>8</v>
      </c>
      <c r="U28" s="1509">
        <f t="shared" ref="U28:U40" si="13">H28</f>
        <v>100</v>
      </c>
      <c r="V28" s="1508" t="s">
        <v>8</v>
      </c>
      <c r="W28" s="1509">
        <f t="shared" ref="W28:W40" si="14">J28</f>
        <v>100</v>
      </c>
      <c r="X28" s="1502"/>
      <c r="Y28" s="3544"/>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45" t="s">
        <v>544</v>
      </c>
      <c r="Q29" s="1507" t="str">
        <f t="shared" si="11"/>
        <v>建筑类型</v>
      </c>
      <c r="R29" s="1508" t="s">
        <v>8</v>
      </c>
      <c r="S29" s="1509">
        <f t="shared" si="12"/>
        <v>100</v>
      </c>
      <c r="T29" s="1508" t="s">
        <v>8</v>
      </c>
      <c r="U29" s="1509">
        <f t="shared" si="13"/>
        <v>100</v>
      </c>
      <c r="V29" s="1508" t="s">
        <v>8</v>
      </c>
      <c r="W29" s="1509">
        <f t="shared" si="14"/>
        <v>100</v>
      </c>
      <c r="X29" s="1502"/>
      <c r="Y29" s="3546"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46"/>
      <c r="Q30" s="1536" t="str">
        <f t="shared" si="11"/>
        <v>项目建筑规模</v>
      </c>
      <c r="R30" s="1512" t="s">
        <v>8</v>
      </c>
      <c r="S30" s="1513" t="e">
        <f t="shared" si="12"/>
        <v>#N/A</v>
      </c>
      <c r="T30" s="1512" t="s">
        <v>8</v>
      </c>
      <c r="U30" s="1513" t="e">
        <f t="shared" si="13"/>
        <v>#N/A</v>
      </c>
      <c r="V30" s="1512" t="s">
        <v>8</v>
      </c>
      <c r="W30" s="1513" t="e">
        <f t="shared" si="14"/>
        <v>#N/A</v>
      </c>
      <c r="X30" s="1514"/>
      <c r="Y30" s="3546"/>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46"/>
      <c r="Q31" s="1507" t="str">
        <f t="shared" si="11"/>
        <v>建筑结构</v>
      </c>
      <c r="R31" s="1508" t="s">
        <v>8</v>
      </c>
      <c r="S31" s="1509">
        <f t="shared" si="12"/>
        <v>100</v>
      </c>
      <c r="T31" s="1508" t="s">
        <v>8</v>
      </c>
      <c r="U31" s="1509">
        <f t="shared" si="13"/>
        <v>100</v>
      </c>
      <c r="V31" s="1508" t="s">
        <v>8</v>
      </c>
      <c r="W31" s="1509">
        <f t="shared" si="14"/>
        <v>100</v>
      </c>
      <c r="X31" s="1502"/>
      <c r="Y31" s="3546"/>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46"/>
      <c r="Q32" s="1507" t="str">
        <f t="shared" si="11"/>
        <v>公共部分装修</v>
      </c>
      <c r="R32" s="1508" t="s">
        <v>8</v>
      </c>
      <c r="S32" s="1509">
        <f t="shared" si="12"/>
        <v>100</v>
      </c>
      <c r="T32" s="1508" t="s">
        <v>8</v>
      </c>
      <c r="U32" s="1509">
        <f t="shared" si="13"/>
        <v>100</v>
      </c>
      <c r="V32" s="1508" t="s">
        <v>8</v>
      </c>
      <c r="W32" s="1509">
        <f t="shared" si="14"/>
        <v>100</v>
      </c>
      <c r="X32" s="1502"/>
      <c r="Y32" s="3546"/>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46"/>
      <c r="Q33" s="1507" t="str">
        <f t="shared" si="11"/>
        <v>成新度</v>
      </c>
      <c r="R33" s="1508" t="s">
        <v>8</v>
      </c>
      <c r="S33" s="1509" t="e">
        <f t="shared" si="12"/>
        <v>#N/A</v>
      </c>
      <c r="T33" s="1508" t="s">
        <v>8</v>
      </c>
      <c r="U33" s="1509" t="e">
        <f t="shared" si="13"/>
        <v>#N/A</v>
      </c>
      <c r="V33" s="1508" t="s">
        <v>8</v>
      </c>
      <c r="W33" s="1509" t="e">
        <f t="shared" si="14"/>
        <v>#N/A</v>
      </c>
      <c r="X33" s="1502"/>
      <c r="Y33" s="3546"/>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46"/>
      <c r="Q34" s="1134" t="str">
        <f t="shared" si="11"/>
        <v>物业管理</v>
      </c>
      <c r="R34" s="1503" t="s">
        <v>8</v>
      </c>
      <c r="S34" s="1504">
        <f t="shared" si="12"/>
        <v>100</v>
      </c>
      <c r="T34" s="1503" t="s">
        <v>8</v>
      </c>
      <c r="U34" s="1504">
        <f t="shared" si="13"/>
        <v>100</v>
      </c>
      <c r="V34" s="1503" t="s">
        <v>8</v>
      </c>
      <c r="W34" s="1504">
        <f t="shared" si="14"/>
        <v>100</v>
      </c>
      <c r="X34" s="1505"/>
      <c r="Y34" s="3546"/>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46" t="s">
        <v>544</v>
      </c>
      <c r="Q35" s="1507" t="str">
        <f t="shared" si="11"/>
        <v>市政基础设施</v>
      </c>
      <c r="R35" s="1508" t="s">
        <v>8</v>
      </c>
      <c r="S35" s="1509">
        <f t="shared" si="12"/>
        <v>100</v>
      </c>
      <c r="T35" s="1508" t="s">
        <v>8</v>
      </c>
      <c r="U35" s="1509">
        <f t="shared" si="13"/>
        <v>100</v>
      </c>
      <c r="V35" s="1508" t="s">
        <v>8</v>
      </c>
      <c r="W35" s="1509">
        <f t="shared" si="14"/>
        <v>100</v>
      </c>
      <c r="X35" s="1502"/>
      <c r="Y35" s="3546"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46"/>
      <c r="Q36" s="1507" t="str">
        <f t="shared" si="11"/>
        <v>内部装修</v>
      </c>
      <c r="R36" s="1508" t="s">
        <v>8</v>
      </c>
      <c r="S36" s="1509">
        <f t="shared" si="12"/>
        <v>100</v>
      </c>
      <c r="T36" s="1508" t="s">
        <v>8</v>
      </c>
      <c r="U36" s="1509">
        <f t="shared" si="13"/>
        <v>100</v>
      </c>
      <c r="V36" s="1508" t="s">
        <v>8</v>
      </c>
      <c r="W36" s="1509">
        <f t="shared" si="14"/>
        <v>100</v>
      </c>
      <c r="X36" s="1502"/>
      <c r="Y36" s="3546"/>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46"/>
      <c r="Q37" s="1507" t="str">
        <f t="shared" si="11"/>
        <v>内部装修状况</v>
      </c>
      <c r="R37" s="1508" t="s">
        <v>8</v>
      </c>
      <c r="S37" s="1509">
        <f t="shared" si="12"/>
        <v>100</v>
      </c>
      <c r="T37" s="1508" t="s">
        <v>8</v>
      </c>
      <c r="U37" s="1509">
        <f t="shared" si="13"/>
        <v>100</v>
      </c>
      <c r="V37" s="1508" t="s">
        <v>8</v>
      </c>
      <c r="W37" s="1509">
        <f t="shared" si="14"/>
        <v>100</v>
      </c>
      <c r="X37" s="1502"/>
      <c r="Y37" s="3546"/>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46"/>
      <c r="Q38" s="1536">
        <f t="shared" si="11"/>
        <v>111</v>
      </c>
      <c r="R38" s="1512" t="s">
        <v>8</v>
      </c>
      <c r="S38" s="1513">
        <f t="shared" si="12"/>
        <v>100</v>
      </c>
      <c r="T38" s="1512" t="s">
        <v>8</v>
      </c>
      <c r="U38" s="1513">
        <f t="shared" si="13"/>
        <v>100</v>
      </c>
      <c r="V38" s="1512" t="s">
        <v>8</v>
      </c>
      <c r="W38" s="1513">
        <f t="shared" si="14"/>
        <v>100</v>
      </c>
      <c r="X38" s="1514"/>
      <c r="Y38" s="3546"/>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46"/>
      <c r="Q39" s="1507">
        <f t="shared" si="11"/>
        <v>111</v>
      </c>
      <c r="R39" s="1508" t="s">
        <v>8</v>
      </c>
      <c r="S39" s="1509">
        <f t="shared" si="12"/>
        <v>100</v>
      </c>
      <c r="T39" s="1508" t="s">
        <v>8</v>
      </c>
      <c r="U39" s="1509">
        <f t="shared" si="13"/>
        <v>100</v>
      </c>
      <c r="V39" s="1508" t="s">
        <v>8</v>
      </c>
      <c r="W39" s="1509">
        <f t="shared" si="14"/>
        <v>100</v>
      </c>
      <c r="X39" s="1502"/>
      <c r="Y39" s="3546"/>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628"/>
      <c r="Q40" s="1507">
        <f t="shared" si="11"/>
        <v>111</v>
      </c>
      <c r="R40" s="1508" t="s">
        <v>8</v>
      </c>
      <c r="S40" s="1509">
        <f t="shared" si="12"/>
        <v>100</v>
      </c>
      <c r="T40" s="1508" t="s">
        <v>8</v>
      </c>
      <c r="U40" s="1509">
        <f t="shared" si="13"/>
        <v>100</v>
      </c>
      <c r="V40" s="1508" t="s">
        <v>8</v>
      </c>
      <c r="W40" s="1509">
        <f t="shared" si="14"/>
        <v>100</v>
      </c>
      <c r="X40" s="1502"/>
      <c r="Y40" s="3628"/>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509" t="str">
        <f>A41</f>
        <v>成交单价（元/平方米）</v>
      </c>
      <c r="Q41" s="3509"/>
      <c r="R41" s="3627">
        <f>E41</f>
        <v>0</v>
      </c>
      <c r="S41" s="3627"/>
      <c r="T41" s="3627">
        <f>G41</f>
        <v>0</v>
      </c>
      <c r="U41" s="3627"/>
      <c r="V41" s="3627">
        <f>I41</f>
        <v>0</v>
      </c>
      <c r="W41" s="3627"/>
      <c r="X41" s="1497"/>
      <c r="Y41" s="1516"/>
      <c r="Z41" s="1497"/>
      <c r="AA41" s="1497"/>
      <c r="AB41" s="1497"/>
      <c r="AC41" s="1497"/>
    </row>
    <row r="42" spans="1:29" ht="15.75" thickBot="1">
      <c r="A42" s="609" t="s">
        <v>2741</v>
      </c>
      <c r="B42" s="877"/>
      <c r="C42" s="2476" t="e">
        <f>R43</f>
        <v>#DIV/0!</v>
      </c>
      <c r="D42" s="3014" t="s">
        <v>2969</v>
      </c>
      <c r="E42" s="2477" t="e">
        <f>R42</f>
        <v>#DIV/0!</v>
      </c>
      <c r="F42" s="3015"/>
      <c r="G42" s="2476" t="e">
        <f>T42</f>
        <v>#DIV/0!</v>
      </c>
      <c r="H42" s="3015"/>
      <c r="I42" s="2477" t="e">
        <f>V42</f>
        <v>#DIV/0!</v>
      </c>
      <c r="J42" s="3015"/>
      <c r="K42" s="3023">
        <f>F42+H42+J42</f>
        <v>0</v>
      </c>
      <c r="L42" s="2026"/>
      <c r="M42" s="2027"/>
      <c r="N42" s="2016"/>
      <c r="O42" s="2027"/>
      <c r="P42" s="3509" t="str">
        <f>A42</f>
        <v>比较价格（元/平方米）</v>
      </c>
      <c r="Q42" s="3509"/>
      <c r="R42" s="3627" t="e">
        <f>IF(F1="售价",ROUND(PRODUCT(R41,AA7:AA40),0),ROUND(PRODUCT(R41,AA7:AA40),1))</f>
        <v>#DIV/0!</v>
      </c>
      <c r="S42" s="3627"/>
      <c r="T42" s="3627" t="e">
        <f>IF(F1="售价",ROUND(PRODUCT(T41,AB7:AB40),0),ROUND(PRODUCT(T41,AB7:AB40),1))</f>
        <v>#DIV/0!</v>
      </c>
      <c r="U42" s="3627"/>
      <c r="V42" s="3627" t="e">
        <f>IF(F1="售价",ROUND(PRODUCT(V41,AC7:AC40),0),ROUND(PRODUCT(V41,AC7:AC40),1))</f>
        <v>#DIV/0!</v>
      </c>
      <c r="W42" s="3627"/>
      <c r="X42" s="1497"/>
      <c r="Y42" s="1497"/>
      <c r="Z42" s="1497"/>
      <c r="AA42" s="1497"/>
      <c r="AB42" s="1497"/>
      <c r="AC42" s="1497"/>
    </row>
    <row r="43" spans="1:29" ht="15.75" thickBot="1">
      <c r="A43" s="613" t="s">
        <v>2903</v>
      </c>
      <c r="B43" s="614"/>
      <c r="C43" s="2478" t="e">
        <f>R43</f>
        <v>#DIV/0!</v>
      </c>
      <c r="D43" s="2478"/>
      <c r="E43" s="2478"/>
      <c r="F43" s="2478"/>
      <c r="G43" s="2478"/>
      <c r="H43" s="2478"/>
      <c r="I43" s="2478"/>
      <c r="J43" s="2478"/>
      <c r="K43" s="1542"/>
      <c r="L43" s="2026"/>
      <c r="M43" s="2027"/>
      <c r="N43" s="2027"/>
      <c r="O43" s="2027"/>
      <c r="P43" s="3506" t="str">
        <f>A43</f>
        <v>估价对象XX用房的比较价格（楼面单价，元/平方米）</v>
      </c>
      <c r="Q43" s="3507"/>
      <c r="R43" s="3626" t="e">
        <f>IF(F1="售价",ROUND(IF(D42="简单平均",AVERAGE(R42:V42),R42*F42+T42*H42+V42*J42),0),ROUND(IF(D42="简单平均",AVERAGE(R42:V42),R42*F42+T42*H42+V42*J42),1))</f>
        <v>#DIV/0!</v>
      </c>
      <c r="S43" s="3626"/>
      <c r="T43" s="3626"/>
      <c r="U43" s="3626"/>
      <c r="V43" s="3626"/>
      <c r="W43" s="3626"/>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2020-8</v>
      </c>
      <c r="D52" s="2521">
        <f>EDATE(C52,-1)</f>
        <v>44013</v>
      </c>
      <c r="E52" s="2521">
        <f t="shared" ref="E52:O52" si="16">EDATE(D52,-1)</f>
        <v>43983</v>
      </c>
      <c r="F52" s="2521">
        <f t="shared" si="16"/>
        <v>43952</v>
      </c>
      <c r="G52" s="2521">
        <f t="shared" si="16"/>
        <v>43922</v>
      </c>
      <c r="H52" s="2521">
        <f t="shared" si="16"/>
        <v>43891</v>
      </c>
      <c r="I52" s="2521">
        <f t="shared" si="16"/>
        <v>43862</v>
      </c>
      <c r="J52" s="2521">
        <f t="shared" si="16"/>
        <v>43831</v>
      </c>
      <c r="K52" s="2521">
        <f t="shared" si="16"/>
        <v>43800</v>
      </c>
      <c r="L52" s="2521">
        <f t="shared" si="16"/>
        <v>43770</v>
      </c>
      <c r="M52" s="2521">
        <f t="shared" si="16"/>
        <v>43739</v>
      </c>
      <c r="N52" s="2521">
        <f t="shared" si="16"/>
        <v>43709</v>
      </c>
      <c r="O52" s="2521">
        <f t="shared" si="16"/>
        <v>43678</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52" priority="19" stopIfTrue="1" operator="containsText" text="超过">
      <formula>NOT(ISERROR(SEARCH("超过",F46)))</formula>
    </cfRule>
  </conditionalFormatting>
  <conditionalFormatting sqref="H48">
    <cfRule type="containsText" dxfId="51" priority="18" stopIfTrue="1" operator="containsText" text="超过">
      <formula>NOT(ISERROR(SEARCH("超过",H48)))</formula>
    </cfRule>
  </conditionalFormatting>
  <conditionalFormatting sqref="F48">
    <cfRule type="containsText" dxfId="50" priority="17" stopIfTrue="1" operator="containsText" text="超过">
      <formula>NOT(ISERROR(SEARCH("超过",F48)))</formula>
    </cfRule>
  </conditionalFormatting>
  <conditionalFormatting sqref="F47 H47">
    <cfRule type="containsText" dxfId="49" priority="16" stopIfTrue="1" operator="containsText" text="超过">
      <formula>NOT(ISERROR(SEARCH("超过",F47)))</formula>
    </cfRule>
  </conditionalFormatting>
  <conditionalFormatting sqref="E46">
    <cfRule type="expression" dxfId="48" priority="15" stopIfTrue="1">
      <formula>$F$46="超过30%"</formula>
    </cfRule>
  </conditionalFormatting>
  <conditionalFormatting sqref="E47">
    <cfRule type="expression" dxfId="47" priority="14" stopIfTrue="1">
      <formula>$F$47="超过20%"</formula>
    </cfRule>
  </conditionalFormatting>
  <conditionalFormatting sqref="E48">
    <cfRule type="expression" dxfId="46" priority="13" stopIfTrue="1">
      <formula>$F$48="超过30%"</formula>
    </cfRule>
  </conditionalFormatting>
  <conditionalFormatting sqref="G48">
    <cfRule type="expression" dxfId="45" priority="12" stopIfTrue="1">
      <formula>$H$48="超过30%"</formula>
    </cfRule>
  </conditionalFormatting>
  <conditionalFormatting sqref="G46">
    <cfRule type="expression" dxfId="44" priority="11" stopIfTrue="1">
      <formula>$H$46="超过30%"</formula>
    </cfRule>
  </conditionalFormatting>
  <conditionalFormatting sqref="G47">
    <cfRule type="expression" dxfId="43" priority="10" stopIfTrue="1">
      <formula>$H$47="超过20%"</formula>
    </cfRule>
  </conditionalFormatting>
  <conditionalFormatting sqref="J46">
    <cfRule type="containsText" dxfId="42" priority="9" stopIfTrue="1" operator="containsText" text="超过">
      <formula>NOT(ISERROR(SEARCH("超过",J46)))</formula>
    </cfRule>
  </conditionalFormatting>
  <conditionalFormatting sqref="J48">
    <cfRule type="containsText" dxfId="41" priority="8" stopIfTrue="1" operator="containsText" text="超过">
      <formula>NOT(ISERROR(SEARCH("超过",J48)))</formula>
    </cfRule>
  </conditionalFormatting>
  <conditionalFormatting sqref="J47">
    <cfRule type="containsText" dxfId="40" priority="7" stopIfTrue="1" operator="containsText" text="超过">
      <formula>NOT(ISERROR(SEARCH("超过",J47)))</formula>
    </cfRule>
  </conditionalFormatting>
  <conditionalFormatting sqref="I46">
    <cfRule type="expression" dxfId="39" priority="6" stopIfTrue="1">
      <formula>$J$46="超过30%"</formula>
    </cfRule>
  </conditionalFormatting>
  <conditionalFormatting sqref="I47">
    <cfRule type="expression" dxfId="38" priority="5" stopIfTrue="1">
      <formula>$J$47="超过20%"</formula>
    </cfRule>
  </conditionalFormatting>
  <conditionalFormatting sqref="I48">
    <cfRule type="expression" dxfId="37" priority="4" stopIfTrue="1">
      <formula>$J$48="超过30%"</formula>
    </cfRule>
  </conditionalFormatting>
  <conditionalFormatting sqref="F42">
    <cfRule type="expression" dxfId="36" priority="3">
      <formula>$D$42="简单平均"</formula>
    </cfRule>
  </conditionalFormatting>
  <conditionalFormatting sqref="H42">
    <cfRule type="expression" dxfId="35" priority="2">
      <formula>$D$42="简单平均"</formula>
    </cfRule>
  </conditionalFormatting>
  <conditionalFormatting sqref="J42">
    <cfRule type="expression" dxfId="34" priority="1">
      <formula>$D$42="简单平均"</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15" t="s">
        <v>792</v>
      </c>
      <c r="D4" s="3516"/>
      <c r="E4" s="3515" t="s">
        <v>793</v>
      </c>
      <c r="F4" s="3516"/>
      <c r="G4" s="3515" t="s">
        <v>794</v>
      </c>
      <c r="H4" s="3516"/>
      <c r="I4" s="3515" t="s">
        <v>795</v>
      </c>
      <c r="J4" s="3516"/>
      <c r="K4" s="508" t="s">
        <v>796</v>
      </c>
      <c r="L4" s="2015"/>
      <c r="M4" s="2016"/>
      <c r="N4" s="2016"/>
      <c r="O4" s="2016"/>
      <c r="P4" s="3517" t="s">
        <v>797</v>
      </c>
      <c r="Q4" s="3518"/>
      <c r="R4" s="3523" t="s">
        <v>793</v>
      </c>
      <c r="S4" s="3524"/>
      <c r="T4" s="3523" t="s">
        <v>794</v>
      </c>
      <c r="U4" s="3524"/>
      <c r="V4" s="3510" t="s">
        <v>795</v>
      </c>
      <c r="W4" s="3510"/>
      <c r="X4" s="1502"/>
      <c r="Y4" s="3523" t="s">
        <v>797</v>
      </c>
      <c r="Z4" s="3524"/>
      <c r="AA4" s="3512" t="s">
        <v>793</v>
      </c>
      <c r="AB4" s="3513" t="s">
        <v>794</v>
      </c>
      <c r="AC4" s="3512" t="s">
        <v>795</v>
      </c>
    </row>
    <row r="5" spans="1:29" ht="15">
      <c r="A5" s="509"/>
      <c r="B5" s="510"/>
      <c r="C5" s="3531" t="s">
        <v>2897</v>
      </c>
      <c r="D5" s="3532"/>
      <c r="E5" s="3531" t="s">
        <v>2898</v>
      </c>
      <c r="F5" s="3532"/>
      <c r="G5" s="3531" t="s">
        <v>2899</v>
      </c>
      <c r="H5" s="3532"/>
      <c r="I5" s="3531" t="s">
        <v>2900</v>
      </c>
      <c r="J5" s="3532"/>
      <c r="K5" s="508"/>
      <c r="L5" s="2015"/>
      <c r="M5" s="2016"/>
      <c r="N5" s="2016"/>
      <c r="O5" s="2016"/>
      <c r="P5" s="3519"/>
      <c r="Q5" s="3520"/>
      <c r="R5" s="3525"/>
      <c r="S5" s="3526"/>
      <c r="T5" s="3525"/>
      <c r="U5" s="3526"/>
      <c r="V5" s="3510"/>
      <c r="W5" s="3510"/>
      <c r="X5" s="1502"/>
      <c r="Y5" s="3525"/>
      <c r="Z5" s="3526"/>
      <c r="AA5" s="3513"/>
      <c r="AB5" s="3513"/>
      <c r="AC5" s="3513"/>
    </row>
    <row r="6" spans="1:29" ht="15.75" thickBot="1">
      <c r="A6" s="511"/>
      <c r="B6" s="512"/>
      <c r="C6" s="3529" t="s">
        <v>2901</v>
      </c>
      <c r="D6" s="3530"/>
      <c r="E6" s="3533" t="s">
        <v>2901</v>
      </c>
      <c r="F6" s="3534"/>
      <c r="G6" s="3529" t="s">
        <v>2901</v>
      </c>
      <c r="H6" s="3530"/>
      <c r="I6" s="3529" t="s">
        <v>2901</v>
      </c>
      <c r="J6" s="3530"/>
      <c r="K6" s="508" t="s">
        <v>522</v>
      </c>
      <c r="L6" s="2015"/>
      <c r="M6" s="2016"/>
      <c r="N6" s="2016"/>
      <c r="O6" s="2016"/>
      <c r="P6" s="3521"/>
      <c r="Q6" s="3522"/>
      <c r="R6" s="3525"/>
      <c r="S6" s="3526"/>
      <c r="T6" s="3527"/>
      <c r="U6" s="3528"/>
      <c r="V6" s="3510"/>
      <c r="W6" s="3510"/>
      <c r="X6" s="1502"/>
      <c r="Y6" s="3527"/>
      <c r="Z6" s="3528"/>
      <c r="AA6" s="3514"/>
      <c r="AB6" s="3514"/>
      <c r="AC6" s="3514"/>
    </row>
    <row r="7" spans="1:29" s="1203" customFormat="1" ht="15.75" thickBot="1">
      <c r="A7" s="2629"/>
      <c r="B7" s="2636" t="s">
        <v>523</v>
      </c>
      <c r="C7" s="513">
        <f>'数据-取费表'!B2</f>
        <v>44071</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40" t="s">
        <v>524</v>
      </c>
      <c r="Q7" s="3542"/>
      <c r="R7" s="1503" t="s">
        <v>8</v>
      </c>
      <c r="S7" s="1504">
        <f t="shared" ref="S7:S14" si="0">F7</f>
        <v>0</v>
      </c>
      <c r="T7" s="1503" t="s">
        <v>8</v>
      </c>
      <c r="U7" s="1504">
        <f t="shared" ref="U7:U14" si="1">H7</f>
        <v>0</v>
      </c>
      <c r="V7" s="1503" t="s">
        <v>8</v>
      </c>
      <c r="W7" s="1504">
        <f t="shared" ref="W7:W14" si="2">J7</f>
        <v>0</v>
      </c>
      <c r="X7" s="1505"/>
      <c r="Y7" s="3540" t="s">
        <v>524</v>
      </c>
      <c r="Z7" s="3541"/>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40" t="s">
        <v>527</v>
      </c>
      <c r="Q8" s="3541"/>
      <c r="R8" s="1503" t="s">
        <v>8</v>
      </c>
      <c r="S8" s="1504">
        <f t="shared" si="0"/>
        <v>0</v>
      </c>
      <c r="T8" s="1503" t="s">
        <v>8</v>
      </c>
      <c r="U8" s="1504">
        <f t="shared" si="1"/>
        <v>0</v>
      </c>
      <c r="V8" s="1503" t="s">
        <v>8</v>
      </c>
      <c r="W8" s="1504">
        <f t="shared" si="2"/>
        <v>0</v>
      </c>
      <c r="X8" s="1505"/>
      <c r="Y8" s="3540" t="s">
        <v>527</v>
      </c>
      <c r="Z8" s="3541"/>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09" t="s">
        <v>529</v>
      </c>
      <c r="Q9" s="1134" t="str">
        <f t="shared" ref="Q9:Q14" si="6">B9</f>
        <v>用途</v>
      </c>
      <c r="R9" s="1503" t="s">
        <v>8</v>
      </c>
      <c r="S9" s="1504">
        <f t="shared" si="0"/>
        <v>100</v>
      </c>
      <c r="T9" s="1503" t="s">
        <v>8</v>
      </c>
      <c r="U9" s="1504">
        <f t="shared" si="1"/>
        <v>100</v>
      </c>
      <c r="V9" s="1503" t="s">
        <v>8</v>
      </c>
      <c r="W9" s="1504">
        <f t="shared" si="2"/>
        <v>100</v>
      </c>
      <c r="X9" s="1505"/>
      <c r="Y9" s="3455"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09"/>
      <c r="Q10" s="1134" t="str">
        <f t="shared" si="6"/>
        <v>土地使用年限（年）</v>
      </c>
      <c r="R10" s="1503" t="s">
        <v>8</v>
      </c>
      <c r="S10" s="1504">
        <f t="shared" si="0"/>
        <v>100</v>
      </c>
      <c r="T10" s="1503" t="s">
        <v>8</v>
      </c>
      <c r="U10" s="1504">
        <f t="shared" si="1"/>
        <v>100</v>
      </c>
      <c r="V10" s="1503" t="s">
        <v>8</v>
      </c>
      <c r="W10" s="1504">
        <f t="shared" si="2"/>
        <v>100</v>
      </c>
      <c r="X10" s="1505"/>
      <c r="Y10" s="3455"/>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09"/>
      <c r="Q11" s="1134">
        <f t="shared" si="6"/>
        <v>111</v>
      </c>
      <c r="R11" s="1503" t="s">
        <v>8</v>
      </c>
      <c r="S11" s="1504">
        <f t="shared" si="0"/>
        <v>100</v>
      </c>
      <c r="T11" s="1503" t="s">
        <v>8</v>
      </c>
      <c r="U11" s="1504">
        <f t="shared" si="1"/>
        <v>100</v>
      </c>
      <c r="V11" s="1503" t="s">
        <v>8</v>
      </c>
      <c r="W11" s="1504">
        <f t="shared" si="2"/>
        <v>100</v>
      </c>
      <c r="X11" s="1505"/>
      <c r="Y11" s="3455"/>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09"/>
      <c r="Q12" s="1134">
        <f t="shared" si="6"/>
        <v>111</v>
      </c>
      <c r="R12" s="1503" t="s">
        <v>8</v>
      </c>
      <c r="S12" s="1504">
        <f t="shared" si="0"/>
        <v>100</v>
      </c>
      <c r="T12" s="1503" t="s">
        <v>8</v>
      </c>
      <c r="U12" s="1504">
        <f t="shared" si="1"/>
        <v>100</v>
      </c>
      <c r="V12" s="1503" t="s">
        <v>8</v>
      </c>
      <c r="W12" s="1504">
        <f t="shared" si="2"/>
        <v>100</v>
      </c>
      <c r="X12" s="1505"/>
      <c r="Y12" s="3455"/>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09"/>
      <c r="Q13" s="1134">
        <f t="shared" si="6"/>
        <v>111</v>
      </c>
      <c r="R13" s="1503" t="s">
        <v>8</v>
      </c>
      <c r="S13" s="1504">
        <f t="shared" si="0"/>
        <v>100</v>
      </c>
      <c r="T13" s="1503" t="s">
        <v>8</v>
      </c>
      <c r="U13" s="1504">
        <f t="shared" si="1"/>
        <v>100</v>
      </c>
      <c r="V13" s="1503" t="s">
        <v>8</v>
      </c>
      <c r="W13" s="1504">
        <f t="shared" si="2"/>
        <v>100</v>
      </c>
      <c r="X13" s="1505"/>
      <c r="Y13" s="3455"/>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43" t="s">
        <v>534</v>
      </c>
      <c r="Q14" s="1507" t="str">
        <f t="shared" si="6"/>
        <v>交通便捷度</v>
      </c>
      <c r="R14" s="1508" t="s">
        <v>8</v>
      </c>
      <c r="S14" s="1509">
        <f t="shared" si="0"/>
        <v>100</v>
      </c>
      <c r="T14" s="1508" t="s">
        <v>8</v>
      </c>
      <c r="U14" s="1509">
        <f t="shared" si="1"/>
        <v>100</v>
      </c>
      <c r="V14" s="1508" t="s">
        <v>8</v>
      </c>
      <c r="W14" s="1509">
        <f t="shared" si="2"/>
        <v>100</v>
      </c>
      <c r="X14" s="1502"/>
      <c r="Y14" s="3543"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544"/>
      <c r="Q15" s="1507"/>
      <c r="R15" s="1508"/>
      <c r="S15" s="1509"/>
      <c r="T15" s="1508"/>
      <c r="U15" s="1509"/>
      <c r="V15" s="1508"/>
      <c r="W15" s="1509"/>
      <c r="X15" s="1502"/>
      <c r="Y15" s="3544"/>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44"/>
      <c r="Q16" s="1507" t="str">
        <f>B16</f>
        <v>公共配套设施</v>
      </c>
      <c r="R16" s="1508" t="s">
        <v>8</v>
      </c>
      <c r="S16" s="1509">
        <f>F16</f>
        <v>100</v>
      </c>
      <c r="T16" s="1508" t="s">
        <v>8</v>
      </c>
      <c r="U16" s="1509">
        <f>H16</f>
        <v>100</v>
      </c>
      <c r="V16" s="1508" t="s">
        <v>8</v>
      </c>
      <c r="W16" s="1509">
        <f>J16</f>
        <v>100</v>
      </c>
      <c r="X16" s="1502"/>
      <c r="Y16" s="3544"/>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544"/>
      <c r="Q17" s="1507"/>
      <c r="R17" s="1508"/>
      <c r="S17" s="1509"/>
      <c r="T17" s="1508"/>
      <c r="U17" s="1509"/>
      <c r="V17" s="1508"/>
      <c r="W17" s="1509"/>
      <c r="X17" s="1502"/>
      <c r="Y17" s="3544"/>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44"/>
      <c r="Q18" s="2429" t="str">
        <f>B18</f>
        <v>基础设施水平</v>
      </c>
      <c r="R18" s="1508" t="s">
        <v>8</v>
      </c>
      <c r="S18" s="1509">
        <f>F18</f>
        <v>100</v>
      </c>
      <c r="T18" s="1508" t="s">
        <v>8</v>
      </c>
      <c r="U18" s="1509">
        <f>H18</f>
        <v>100</v>
      </c>
      <c r="V18" s="1508" t="s">
        <v>8</v>
      </c>
      <c r="W18" s="1509">
        <f>J18</f>
        <v>100</v>
      </c>
      <c r="X18" s="2431"/>
      <c r="Y18" s="3544"/>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544"/>
      <c r="Q19" s="2429"/>
      <c r="R19" s="1508"/>
      <c r="S19" s="1509"/>
      <c r="T19" s="1508"/>
      <c r="U19" s="1509"/>
      <c r="V19" s="1508"/>
      <c r="W19" s="1509"/>
      <c r="X19" s="2431"/>
      <c r="Y19" s="3544"/>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44"/>
      <c r="Q20" s="1507" t="str">
        <f>B20</f>
        <v>自然及人文环境</v>
      </c>
      <c r="R20" s="1508" t="s">
        <v>8</v>
      </c>
      <c r="S20" s="1509">
        <f>F20</f>
        <v>100</v>
      </c>
      <c r="T20" s="1508" t="s">
        <v>8</v>
      </c>
      <c r="U20" s="1509">
        <f>H20</f>
        <v>100</v>
      </c>
      <c r="V20" s="1508" t="s">
        <v>8</v>
      </c>
      <c r="W20" s="1509">
        <f>J20</f>
        <v>100</v>
      </c>
      <c r="X20" s="1502"/>
      <c r="Y20" s="3544"/>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544"/>
      <c r="Q21" s="1507"/>
      <c r="R21" s="1508"/>
      <c r="S21" s="1509"/>
      <c r="T21" s="1508"/>
      <c r="U21" s="1509"/>
      <c r="V21" s="1508"/>
      <c r="W21" s="1509"/>
      <c r="X21" s="1502"/>
      <c r="Y21" s="3544"/>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44"/>
      <c r="Q22" s="1507" t="str">
        <f>B22</f>
        <v>楼层</v>
      </c>
      <c r="R22" s="1508" t="s">
        <v>8</v>
      </c>
      <c r="S22" s="1509">
        <f>F22</f>
        <v>100</v>
      </c>
      <c r="T22" s="1508" t="s">
        <v>8</v>
      </c>
      <c r="U22" s="1509">
        <f>H22</f>
        <v>100</v>
      </c>
      <c r="V22" s="1508" t="s">
        <v>8</v>
      </c>
      <c r="W22" s="1509">
        <f>J22</f>
        <v>100</v>
      </c>
      <c r="X22" s="1502"/>
      <c r="Y22" s="3544"/>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44"/>
      <c r="Q23" s="1507">
        <f>B23</f>
        <v>111</v>
      </c>
      <c r="R23" s="1508" t="s">
        <v>8</v>
      </c>
      <c r="S23" s="1509">
        <f>F23</f>
        <v>100</v>
      </c>
      <c r="T23" s="1508" t="s">
        <v>8</v>
      </c>
      <c r="U23" s="1509">
        <f>H23</f>
        <v>100</v>
      </c>
      <c r="V23" s="1508" t="s">
        <v>8</v>
      </c>
      <c r="W23" s="1509">
        <f>J23</f>
        <v>100</v>
      </c>
      <c r="X23" s="1502"/>
      <c r="Y23" s="3544"/>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44"/>
      <c r="Q24" s="1507">
        <f t="shared" ref="Q24:Q36" si="11">B24</f>
        <v>111</v>
      </c>
      <c r="R24" s="1508" t="s">
        <v>8</v>
      </c>
      <c r="S24" s="1509">
        <f>F24</f>
        <v>100</v>
      </c>
      <c r="T24" s="1508" t="s">
        <v>8</v>
      </c>
      <c r="U24" s="1509">
        <f>H24</f>
        <v>100</v>
      </c>
      <c r="V24" s="1508" t="s">
        <v>8</v>
      </c>
      <c r="W24" s="1509">
        <f>J24</f>
        <v>100</v>
      </c>
      <c r="X24" s="1502"/>
      <c r="Y24" s="3544"/>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44"/>
      <c r="Q25" s="1134">
        <f t="shared" si="11"/>
        <v>111</v>
      </c>
      <c r="R25" s="1503" t="s">
        <v>8</v>
      </c>
      <c r="S25" s="1504">
        <f>F25</f>
        <v>100</v>
      </c>
      <c r="T25" s="1503" t="s">
        <v>8</v>
      </c>
      <c r="U25" s="1504">
        <f>H25</f>
        <v>100</v>
      </c>
      <c r="V25" s="1503" t="s">
        <v>8</v>
      </c>
      <c r="W25" s="1504">
        <f>J25</f>
        <v>100</v>
      </c>
      <c r="X25" s="1505"/>
      <c r="Y25" s="3544"/>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45"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46"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46"/>
      <c r="Q27" s="1536" t="str">
        <f t="shared" si="11"/>
        <v>项目停车位配比</v>
      </c>
      <c r="R27" s="1512" t="s">
        <v>8</v>
      </c>
      <c r="S27" s="1513">
        <f t="shared" si="12"/>
        <v>100</v>
      </c>
      <c r="T27" s="1512" t="s">
        <v>8</v>
      </c>
      <c r="U27" s="1513">
        <f t="shared" si="13"/>
        <v>100</v>
      </c>
      <c r="V27" s="1512" t="s">
        <v>8</v>
      </c>
      <c r="W27" s="1513">
        <f t="shared" si="14"/>
        <v>100</v>
      </c>
      <c r="X27" s="1514"/>
      <c r="Y27" s="3546"/>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46"/>
      <c r="Q28" s="1507" t="str">
        <f t="shared" si="11"/>
        <v>公共部分装修</v>
      </c>
      <c r="R28" s="1508" t="s">
        <v>8</v>
      </c>
      <c r="S28" s="1509">
        <f t="shared" si="12"/>
        <v>100</v>
      </c>
      <c r="T28" s="1508" t="s">
        <v>8</v>
      </c>
      <c r="U28" s="1509">
        <f t="shared" si="13"/>
        <v>100</v>
      </c>
      <c r="V28" s="1508" t="s">
        <v>8</v>
      </c>
      <c r="W28" s="1509">
        <f t="shared" si="14"/>
        <v>100</v>
      </c>
      <c r="X28" s="1502"/>
      <c r="Y28" s="3546"/>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46"/>
      <c r="Q29" s="1507" t="str">
        <f t="shared" si="11"/>
        <v>成新率</v>
      </c>
      <c r="R29" s="1508" t="s">
        <v>8</v>
      </c>
      <c r="S29" s="1509" t="e">
        <f t="shared" si="12"/>
        <v>#N/A</v>
      </c>
      <c r="T29" s="1508" t="s">
        <v>8</v>
      </c>
      <c r="U29" s="1509" t="e">
        <f t="shared" si="13"/>
        <v>#N/A</v>
      </c>
      <c r="V29" s="1508" t="s">
        <v>8</v>
      </c>
      <c r="W29" s="1509" t="e">
        <f t="shared" si="14"/>
        <v>#N/A</v>
      </c>
      <c r="X29" s="1502"/>
      <c r="Y29" s="3546"/>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46"/>
      <c r="Q30" s="1507" t="str">
        <f t="shared" si="11"/>
        <v>物业等级</v>
      </c>
      <c r="R30" s="1508" t="s">
        <v>8</v>
      </c>
      <c r="S30" s="1509">
        <f t="shared" si="12"/>
        <v>100</v>
      </c>
      <c r="T30" s="1508" t="s">
        <v>8</v>
      </c>
      <c r="U30" s="1509">
        <f t="shared" si="13"/>
        <v>100</v>
      </c>
      <c r="V30" s="1508" t="s">
        <v>8</v>
      </c>
      <c r="W30" s="1509">
        <f t="shared" si="14"/>
        <v>100</v>
      </c>
      <c r="X30" s="1502"/>
      <c r="Y30" s="3546"/>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46"/>
      <c r="Q31" s="1134" t="str">
        <f t="shared" si="11"/>
        <v>停车位面积</v>
      </c>
      <c r="R31" s="1503" t="s">
        <v>8</v>
      </c>
      <c r="S31" s="1504" t="e">
        <f t="shared" si="12"/>
        <v>#N/A</v>
      </c>
      <c r="T31" s="1503" t="s">
        <v>8</v>
      </c>
      <c r="U31" s="1504" t="e">
        <f t="shared" si="13"/>
        <v>#N/A</v>
      </c>
      <c r="V31" s="1503" t="s">
        <v>8</v>
      </c>
      <c r="W31" s="1504" t="e">
        <f t="shared" si="14"/>
        <v>#N/A</v>
      </c>
      <c r="X31" s="1505"/>
      <c r="Y31" s="3546"/>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46" t="s">
        <v>544</v>
      </c>
      <c r="Q32" s="1507" t="str">
        <f t="shared" si="11"/>
        <v>车位类型</v>
      </c>
      <c r="R32" s="1508" t="s">
        <v>8</v>
      </c>
      <c r="S32" s="1509">
        <f t="shared" si="12"/>
        <v>100</v>
      </c>
      <c r="T32" s="1508" t="s">
        <v>8</v>
      </c>
      <c r="U32" s="1509">
        <f t="shared" si="13"/>
        <v>100</v>
      </c>
      <c r="V32" s="1508" t="s">
        <v>8</v>
      </c>
      <c r="W32" s="1509">
        <f t="shared" si="14"/>
        <v>100</v>
      </c>
      <c r="X32" s="1502"/>
      <c r="Y32" s="3546"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46"/>
      <c r="Q33" s="1507" t="str">
        <f t="shared" si="11"/>
        <v>是否直接入户</v>
      </c>
      <c r="R33" s="1508" t="s">
        <v>8</v>
      </c>
      <c r="S33" s="1509">
        <f t="shared" si="12"/>
        <v>100</v>
      </c>
      <c r="T33" s="1508" t="s">
        <v>8</v>
      </c>
      <c r="U33" s="1509">
        <f t="shared" si="13"/>
        <v>100</v>
      </c>
      <c r="V33" s="1508" t="s">
        <v>8</v>
      </c>
      <c r="W33" s="1509">
        <f t="shared" si="14"/>
        <v>100</v>
      </c>
      <c r="X33" s="1502"/>
      <c r="Y33" s="3546"/>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46"/>
      <c r="Q34" s="1507">
        <f t="shared" si="11"/>
        <v>111</v>
      </c>
      <c r="R34" s="1508" t="s">
        <v>8</v>
      </c>
      <c r="S34" s="1509">
        <f t="shared" si="12"/>
        <v>100</v>
      </c>
      <c r="T34" s="1508" t="s">
        <v>8</v>
      </c>
      <c r="U34" s="1509">
        <f t="shared" si="13"/>
        <v>100</v>
      </c>
      <c r="V34" s="1508" t="s">
        <v>8</v>
      </c>
      <c r="W34" s="1509">
        <f t="shared" si="14"/>
        <v>100</v>
      </c>
      <c r="X34" s="1502"/>
      <c r="Y34" s="3546"/>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46"/>
      <c r="Q35" s="1536">
        <f t="shared" si="11"/>
        <v>111</v>
      </c>
      <c r="R35" s="1512" t="s">
        <v>8</v>
      </c>
      <c r="S35" s="1513">
        <f t="shared" si="12"/>
        <v>100</v>
      </c>
      <c r="T35" s="1512" t="s">
        <v>8</v>
      </c>
      <c r="U35" s="1513">
        <f t="shared" si="13"/>
        <v>100</v>
      </c>
      <c r="V35" s="1512" t="s">
        <v>8</v>
      </c>
      <c r="W35" s="1513">
        <f t="shared" si="14"/>
        <v>100</v>
      </c>
      <c r="X35" s="1514"/>
      <c r="Y35" s="3546"/>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46"/>
      <c r="Q36" s="1507">
        <f t="shared" si="11"/>
        <v>111</v>
      </c>
      <c r="R36" s="1508" t="s">
        <v>8</v>
      </c>
      <c r="S36" s="1509">
        <f t="shared" si="12"/>
        <v>100</v>
      </c>
      <c r="T36" s="1508" t="s">
        <v>8</v>
      </c>
      <c r="U36" s="1509">
        <f t="shared" si="13"/>
        <v>100</v>
      </c>
      <c r="V36" s="1508" t="s">
        <v>8</v>
      </c>
      <c r="W36" s="1509">
        <f t="shared" si="14"/>
        <v>100</v>
      </c>
      <c r="X36" s="1502"/>
      <c r="Y36" s="3546"/>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509" t="str">
        <f>A37</f>
        <v>成交单价</v>
      </c>
      <c r="Q37" s="3509"/>
      <c r="R37" s="3627">
        <f>E37</f>
        <v>0</v>
      </c>
      <c r="S37" s="3627"/>
      <c r="T37" s="3627">
        <f>G37</f>
        <v>0</v>
      </c>
      <c r="U37" s="3627"/>
      <c r="V37" s="3627">
        <f>I37</f>
        <v>0</v>
      </c>
      <c r="W37" s="3627"/>
      <c r="X37" s="1497"/>
      <c r="Y37" s="1516"/>
      <c r="Z37" s="1497"/>
      <c r="AA37" s="1497"/>
      <c r="AB37" s="1497"/>
      <c r="AC37" s="1497"/>
    </row>
    <row r="38" spans="1:29" ht="15.75" thickBot="1">
      <c r="A38" s="609" t="s">
        <v>2741</v>
      </c>
      <c r="B38" s="877"/>
      <c r="C38" s="2476" t="e">
        <f>R39</f>
        <v>#DIV/0!</v>
      </c>
      <c r="D38" s="3014" t="s">
        <v>2969</v>
      </c>
      <c r="E38" s="2477" t="e">
        <f>R38</f>
        <v>#DIV/0!</v>
      </c>
      <c r="F38" s="3015"/>
      <c r="G38" s="2476" t="e">
        <f>T38</f>
        <v>#DIV/0!</v>
      </c>
      <c r="H38" s="3015"/>
      <c r="I38" s="2477" t="e">
        <f>V38</f>
        <v>#DIV/0!</v>
      </c>
      <c r="J38" s="3015"/>
      <c r="K38" s="3023">
        <f>F38+H38+J38</f>
        <v>0</v>
      </c>
      <c r="L38" s="2026"/>
      <c r="M38" s="2027"/>
      <c r="N38" s="2027"/>
      <c r="O38" s="2027"/>
      <c r="P38" s="3509" t="str">
        <f>A38</f>
        <v>比较价格（元/平方米）</v>
      </c>
      <c r="Q38" s="3509"/>
      <c r="R38" s="3627" t="e">
        <f>IF(F1="售价",ROUND(PRODUCT(R37,AA7:AA36),0),ROUND(PRODUCT(R37,AA7:AA36),1))</f>
        <v>#DIV/0!</v>
      </c>
      <c r="S38" s="3627"/>
      <c r="T38" s="3627" t="e">
        <f>IF(F1="售价",ROUND(PRODUCT(T37,AB7:AB36),0),ROUND(PRODUCT(T37,AB7:AB36),1))</f>
        <v>#DIV/0!</v>
      </c>
      <c r="U38" s="3627"/>
      <c r="V38" s="3627" t="e">
        <f>IF(F1="售价",ROUND(PRODUCT(V37,AC7:AC36),0),ROUND(PRODUCT(V37,AC7:AC36),1))</f>
        <v>#DIV/0!</v>
      </c>
      <c r="W38" s="3627"/>
      <c r="X38" s="1497"/>
      <c r="Y38" s="1497"/>
      <c r="Z38" s="1497"/>
      <c r="AA38" s="1497"/>
      <c r="AB38" s="1497"/>
      <c r="AC38" s="1497"/>
    </row>
    <row r="39" spans="1:29" ht="15.75" thickBot="1">
      <c r="A39" s="613" t="s">
        <v>2903</v>
      </c>
      <c r="B39" s="614"/>
      <c r="C39" s="2478" t="e">
        <f>R39</f>
        <v>#DIV/0!</v>
      </c>
      <c r="D39" s="2478"/>
      <c r="E39" s="2478"/>
      <c r="F39" s="2478"/>
      <c r="G39" s="2478"/>
      <c r="H39" s="2478"/>
      <c r="I39" s="2478"/>
      <c r="J39" s="2478"/>
      <c r="K39" s="1542"/>
      <c r="L39" s="2026"/>
      <c r="M39" s="2027"/>
      <c r="N39" s="2027"/>
      <c r="O39" s="2027"/>
      <c r="P39" s="3506" t="str">
        <f>A39</f>
        <v>估价对象XX用房的比较价格（楼面单价，元/平方米）</v>
      </c>
      <c r="Q39" s="3507"/>
      <c r="R39" s="3626" t="e">
        <f>IF(F1="售价",ROUND(IF(D38="简单平均",AVERAGE(R38:W38),R38*F38+T38*H38+V38*J38),0),ROUND(IF(D38="简单平均",AVERAGE(R38:V38),R38*F38+T38*H38+V38*J38),1))</f>
        <v>#DIV/0!</v>
      </c>
      <c r="S39" s="3626"/>
      <c r="T39" s="3626"/>
      <c r="U39" s="3626"/>
      <c r="V39" s="3626"/>
      <c r="W39" s="3626"/>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2020-8</v>
      </c>
      <c r="D48" s="2521">
        <f>EDATE(C48,-1)</f>
        <v>44013</v>
      </c>
      <c r="E48" s="2521">
        <f t="shared" ref="E48:O48" si="16">EDATE(D48,-1)</f>
        <v>43983</v>
      </c>
      <c r="F48" s="2521">
        <f t="shared" si="16"/>
        <v>43952</v>
      </c>
      <c r="G48" s="2521">
        <f t="shared" si="16"/>
        <v>43922</v>
      </c>
      <c r="H48" s="2521">
        <f t="shared" si="16"/>
        <v>43891</v>
      </c>
      <c r="I48" s="2521">
        <f t="shared" si="16"/>
        <v>43862</v>
      </c>
      <c r="J48" s="2521">
        <f t="shared" si="16"/>
        <v>43831</v>
      </c>
      <c r="K48" s="2521">
        <f t="shared" si="16"/>
        <v>43800</v>
      </c>
      <c r="L48" s="2521">
        <f t="shared" si="16"/>
        <v>43770</v>
      </c>
      <c r="M48" s="2521">
        <f t="shared" si="16"/>
        <v>43739</v>
      </c>
      <c r="N48" s="2521">
        <f t="shared" si="16"/>
        <v>43709</v>
      </c>
      <c r="O48" s="2521">
        <f t="shared" si="16"/>
        <v>43678</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33" priority="17" stopIfTrue="1" operator="containsText" text="超过">
      <formula>NOT(ISERROR(SEARCH("超过",F42)))</formula>
    </cfRule>
  </conditionalFormatting>
  <conditionalFormatting sqref="J44">
    <cfRule type="containsText" dxfId="32" priority="16" stopIfTrue="1" operator="containsText" text="超过">
      <formula>NOT(ISERROR(SEARCH("超过",J44)))</formula>
    </cfRule>
  </conditionalFormatting>
  <conditionalFormatting sqref="H44">
    <cfRule type="containsText" dxfId="31" priority="15" stopIfTrue="1" operator="containsText" text="超过">
      <formula>NOT(ISERROR(SEARCH("超过",H44)))</formula>
    </cfRule>
  </conditionalFormatting>
  <conditionalFormatting sqref="F44">
    <cfRule type="containsText" dxfId="30" priority="14" stopIfTrue="1" operator="containsText" text="超过">
      <formula>NOT(ISERROR(SEARCH("超过",F44)))</formula>
    </cfRule>
  </conditionalFormatting>
  <conditionalFormatting sqref="F43 H43 J43">
    <cfRule type="containsText" dxfId="29" priority="13" stopIfTrue="1" operator="containsText" text="超过">
      <formula>NOT(ISERROR(SEARCH("超过",F43)))</formula>
    </cfRule>
  </conditionalFormatting>
  <conditionalFormatting sqref="E42">
    <cfRule type="expression" dxfId="28" priority="12" stopIfTrue="1">
      <formula>$F$42="超过30%"</formula>
    </cfRule>
  </conditionalFormatting>
  <conditionalFormatting sqref="G44">
    <cfRule type="expression" dxfId="27" priority="11" stopIfTrue="1">
      <formula>$H$54+$H$44="超过30%"</formula>
    </cfRule>
  </conditionalFormatting>
  <conditionalFormatting sqref="E43">
    <cfRule type="expression" dxfId="26" priority="10" stopIfTrue="1">
      <formula>$F$43="超过20%"</formula>
    </cfRule>
  </conditionalFormatting>
  <conditionalFormatting sqref="E44">
    <cfRule type="expression" dxfId="25" priority="9" stopIfTrue="1">
      <formula>$F$44="超过30%"</formula>
    </cfRule>
  </conditionalFormatting>
  <conditionalFormatting sqref="G42">
    <cfRule type="expression" dxfId="24" priority="8" stopIfTrue="1">
      <formula>$H$52+$H$42="超过30%"</formula>
    </cfRule>
  </conditionalFormatting>
  <conditionalFormatting sqref="G43">
    <cfRule type="expression" dxfId="23" priority="7" stopIfTrue="1">
      <formula>$H$43="超过20%"</formula>
    </cfRule>
  </conditionalFormatting>
  <conditionalFormatting sqref="I42">
    <cfRule type="expression" dxfId="22" priority="6" stopIfTrue="1">
      <formula>$J$52+$J$42="超过30%"</formula>
    </cfRule>
  </conditionalFormatting>
  <conditionalFormatting sqref="I43">
    <cfRule type="expression" dxfId="21" priority="5" stopIfTrue="1">
      <formula>$J$53+$J$43="超过20%"</formula>
    </cfRule>
  </conditionalFormatting>
  <conditionalFormatting sqref="I44">
    <cfRule type="expression" dxfId="20" priority="4" stopIfTrue="1">
      <formula>$J$44="超过30%"</formula>
    </cfRule>
  </conditionalFormatting>
  <conditionalFormatting sqref="F38">
    <cfRule type="expression" dxfId="19" priority="3">
      <formula>$D$38="简单平均"</formula>
    </cfRule>
  </conditionalFormatting>
  <conditionalFormatting sqref="H38">
    <cfRule type="expression" dxfId="18" priority="2">
      <formula>$D$38="简单平均"</formula>
    </cfRule>
  </conditionalFormatting>
  <conditionalFormatting sqref="J38">
    <cfRule type="expression" dxfId="17" priority="1">
      <formula>$D$38="简单平均"</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37" sqref="F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15" t="s">
        <v>792</v>
      </c>
      <c r="D4" s="3516"/>
      <c r="E4" s="3549" t="s">
        <v>793</v>
      </c>
      <c r="F4" s="3550"/>
      <c r="G4" s="3515" t="s">
        <v>794</v>
      </c>
      <c r="H4" s="3516"/>
      <c r="I4" s="3515" t="s">
        <v>795</v>
      </c>
      <c r="J4" s="3516"/>
      <c r="K4" s="508" t="s">
        <v>796</v>
      </c>
      <c r="L4" s="2015"/>
      <c r="M4" s="2016"/>
      <c r="N4" s="2016"/>
      <c r="O4" s="2016"/>
      <c r="P4" s="3517" t="s">
        <v>797</v>
      </c>
      <c r="Q4" s="3518"/>
      <c r="R4" s="3523" t="s">
        <v>793</v>
      </c>
      <c r="S4" s="3524"/>
      <c r="T4" s="3523" t="s">
        <v>794</v>
      </c>
      <c r="U4" s="3524"/>
      <c r="V4" s="3510" t="s">
        <v>795</v>
      </c>
      <c r="W4" s="3510"/>
      <c r="X4" s="1502"/>
      <c r="Y4" s="3523" t="s">
        <v>797</v>
      </c>
      <c r="Z4" s="3524"/>
      <c r="AA4" s="3512" t="s">
        <v>793</v>
      </c>
      <c r="AB4" s="3513" t="s">
        <v>794</v>
      </c>
      <c r="AC4" s="3512" t="s">
        <v>795</v>
      </c>
    </row>
    <row r="5" spans="1:29" ht="15">
      <c r="A5" s="509"/>
      <c r="B5" s="510"/>
      <c r="C5" s="3531" t="s">
        <v>2897</v>
      </c>
      <c r="D5" s="3532"/>
      <c r="E5" s="3551" t="s">
        <v>2898</v>
      </c>
      <c r="F5" s="3552"/>
      <c r="G5" s="3531" t="s">
        <v>2899</v>
      </c>
      <c r="H5" s="3532"/>
      <c r="I5" s="3531" t="s">
        <v>2900</v>
      </c>
      <c r="J5" s="3532"/>
      <c r="K5" s="508"/>
      <c r="L5" s="2015"/>
      <c r="M5" s="2016"/>
      <c r="N5" s="2016"/>
      <c r="O5" s="2016"/>
      <c r="P5" s="3519"/>
      <c r="Q5" s="3520"/>
      <c r="R5" s="3525"/>
      <c r="S5" s="3526"/>
      <c r="T5" s="3525"/>
      <c r="U5" s="3526"/>
      <c r="V5" s="3510"/>
      <c r="W5" s="3510"/>
      <c r="X5" s="1502"/>
      <c r="Y5" s="3525"/>
      <c r="Z5" s="3526"/>
      <c r="AA5" s="3513"/>
      <c r="AB5" s="3513"/>
      <c r="AC5" s="3513"/>
    </row>
    <row r="6" spans="1:29" ht="15.75" thickBot="1">
      <c r="A6" s="511"/>
      <c r="B6" s="512"/>
      <c r="C6" s="3529" t="s">
        <v>2901</v>
      </c>
      <c r="D6" s="3530"/>
      <c r="E6" s="3547" t="s">
        <v>2901</v>
      </c>
      <c r="F6" s="3548"/>
      <c r="G6" s="3529" t="s">
        <v>2901</v>
      </c>
      <c r="H6" s="3530"/>
      <c r="I6" s="3529" t="s">
        <v>2901</v>
      </c>
      <c r="J6" s="3530"/>
      <c r="K6" s="508" t="s">
        <v>522</v>
      </c>
      <c r="L6" s="2015"/>
      <c r="M6" s="2016"/>
      <c r="N6" s="2016"/>
      <c r="O6" s="2016"/>
      <c r="P6" s="3521"/>
      <c r="Q6" s="3522"/>
      <c r="R6" s="3525"/>
      <c r="S6" s="3526"/>
      <c r="T6" s="3527"/>
      <c r="U6" s="3528"/>
      <c r="V6" s="3510"/>
      <c r="W6" s="3510"/>
      <c r="X6" s="1502"/>
      <c r="Y6" s="3527"/>
      <c r="Z6" s="3528"/>
      <c r="AA6" s="3514"/>
      <c r="AB6" s="3514"/>
      <c r="AC6" s="3514"/>
    </row>
    <row r="7" spans="1:29" s="1203" customFormat="1" ht="15.75" thickBot="1">
      <c r="A7" s="2629"/>
      <c r="B7" s="2636" t="s">
        <v>523</v>
      </c>
      <c r="C7" s="513">
        <f>'数据-取费表'!B2</f>
        <v>44071</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40" t="s">
        <v>524</v>
      </c>
      <c r="Q7" s="3542"/>
      <c r="R7" s="1503" t="s">
        <v>8</v>
      </c>
      <c r="S7" s="1504">
        <f t="shared" ref="S7:S14" si="0">F7</f>
        <v>0</v>
      </c>
      <c r="T7" s="1503" t="s">
        <v>8</v>
      </c>
      <c r="U7" s="1504">
        <f t="shared" ref="U7:U14" si="1">H7</f>
        <v>0</v>
      </c>
      <c r="V7" s="1503" t="s">
        <v>8</v>
      </c>
      <c r="W7" s="1504">
        <f t="shared" ref="W7:W14" si="2">J7</f>
        <v>0</v>
      </c>
      <c r="X7" s="1505"/>
      <c r="Y7" s="3540" t="s">
        <v>524</v>
      </c>
      <c r="Z7" s="3541"/>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40" t="s">
        <v>527</v>
      </c>
      <c r="Q8" s="3541"/>
      <c r="R8" s="1503" t="s">
        <v>8</v>
      </c>
      <c r="S8" s="1504">
        <f t="shared" si="0"/>
        <v>0</v>
      </c>
      <c r="T8" s="1503" t="s">
        <v>8</v>
      </c>
      <c r="U8" s="1504">
        <f t="shared" si="1"/>
        <v>0</v>
      </c>
      <c r="V8" s="1503" t="s">
        <v>8</v>
      </c>
      <c r="W8" s="1504">
        <f t="shared" si="2"/>
        <v>0</v>
      </c>
      <c r="X8" s="1505"/>
      <c r="Y8" s="3540" t="s">
        <v>527</v>
      </c>
      <c r="Z8" s="3541"/>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09" t="s">
        <v>529</v>
      </c>
      <c r="Q9" s="1134" t="str">
        <f t="shared" ref="Q9:Q14" si="6">B9</f>
        <v>用途</v>
      </c>
      <c r="R9" s="1503" t="s">
        <v>8</v>
      </c>
      <c r="S9" s="1504">
        <f t="shared" si="0"/>
        <v>100</v>
      </c>
      <c r="T9" s="1503" t="s">
        <v>8</v>
      </c>
      <c r="U9" s="1504">
        <f t="shared" si="1"/>
        <v>100</v>
      </c>
      <c r="V9" s="1503" t="s">
        <v>8</v>
      </c>
      <c r="W9" s="1504">
        <f t="shared" si="2"/>
        <v>100</v>
      </c>
      <c r="X9" s="1505"/>
      <c r="Y9" s="3455"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09"/>
      <c r="Q10" s="1134" t="str">
        <f t="shared" si="6"/>
        <v>土地使用年限（年）</v>
      </c>
      <c r="R10" s="1503" t="s">
        <v>8</v>
      </c>
      <c r="S10" s="1504">
        <f t="shared" si="0"/>
        <v>100</v>
      </c>
      <c r="T10" s="1503" t="s">
        <v>8</v>
      </c>
      <c r="U10" s="1504">
        <f t="shared" si="1"/>
        <v>100</v>
      </c>
      <c r="V10" s="1503" t="s">
        <v>8</v>
      </c>
      <c r="W10" s="1504">
        <f t="shared" si="2"/>
        <v>100</v>
      </c>
      <c r="X10" s="1505"/>
      <c r="Y10" s="3455"/>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509"/>
      <c r="Q11" s="1134">
        <f t="shared" si="6"/>
        <v>111</v>
      </c>
      <c r="R11" s="1503" t="s">
        <v>8</v>
      </c>
      <c r="S11" s="1504">
        <f t="shared" si="0"/>
        <v>100</v>
      </c>
      <c r="T11" s="1503" t="s">
        <v>8</v>
      </c>
      <c r="U11" s="1504">
        <f t="shared" si="1"/>
        <v>100</v>
      </c>
      <c r="V11" s="1503" t="s">
        <v>8</v>
      </c>
      <c r="W11" s="1504">
        <f t="shared" si="2"/>
        <v>100</v>
      </c>
      <c r="X11" s="1505"/>
      <c r="Y11" s="3455"/>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509"/>
      <c r="Q12" s="1134">
        <f t="shared" si="6"/>
        <v>111</v>
      </c>
      <c r="R12" s="1503" t="s">
        <v>8</v>
      </c>
      <c r="S12" s="1504">
        <f t="shared" si="0"/>
        <v>100</v>
      </c>
      <c r="T12" s="1503" t="s">
        <v>8</v>
      </c>
      <c r="U12" s="1504">
        <f t="shared" si="1"/>
        <v>100</v>
      </c>
      <c r="V12" s="1503" t="s">
        <v>8</v>
      </c>
      <c r="W12" s="1504">
        <f t="shared" si="2"/>
        <v>100</v>
      </c>
      <c r="X12" s="1505"/>
      <c r="Y12" s="3455"/>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509"/>
      <c r="Q13" s="1134">
        <f t="shared" si="6"/>
        <v>111</v>
      </c>
      <c r="R13" s="1503" t="s">
        <v>8</v>
      </c>
      <c r="S13" s="1504">
        <f t="shared" si="0"/>
        <v>100</v>
      </c>
      <c r="T13" s="1503" t="s">
        <v>8</v>
      </c>
      <c r="U13" s="1504">
        <f t="shared" si="1"/>
        <v>100</v>
      </c>
      <c r="V13" s="1503" t="s">
        <v>8</v>
      </c>
      <c r="W13" s="1504">
        <f t="shared" si="2"/>
        <v>100</v>
      </c>
      <c r="X13" s="1505"/>
      <c r="Y13" s="3455"/>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43" t="s">
        <v>534</v>
      </c>
      <c r="Q14" s="1507" t="str">
        <f t="shared" si="6"/>
        <v>交通便捷度</v>
      </c>
      <c r="R14" s="1508" t="s">
        <v>8</v>
      </c>
      <c r="S14" s="1509">
        <f t="shared" si="0"/>
        <v>100</v>
      </c>
      <c r="T14" s="1508" t="s">
        <v>8</v>
      </c>
      <c r="U14" s="1509">
        <f t="shared" si="1"/>
        <v>100</v>
      </c>
      <c r="V14" s="1508" t="s">
        <v>8</v>
      </c>
      <c r="W14" s="1509">
        <f t="shared" si="2"/>
        <v>100</v>
      </c>
      <c r="X14" s="1502"/>
      <c r="Y14" s="3543"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544"/>
      <c r="Q15" s="1507"/>
      <c r="R15" s="1508"/>
      <c r="S15" s="1509"/>
      <c r="T15" s="1508"/>
      <c r="U15" s="1509"/>
      <c r="V15" s="1508"/>
      <c r="W15" s="1509"/>
      <c r="X15" s="1502"/>
      <c r="Y15" s="3544"/>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44"/>
      <c r="Q16" s="1507" t="str">
        <f>B16</f>
        <v>公共配套设施</v>
      </c>
      <c r="R16" s="1508" t="s">
        <v>8</v>
      </c>
      <c r="S16" s="1509">
        <f>F16</f>
        <v>100</v>
      </c>
      <c r="T16" s="1508" t="s">
        <v>8</v>
      </c>
      <c r="U16" s="1509">
        <f>H16</f>
        <v>100</v>
      </c>
      <c r="V16" s="1508" t="s">
        <v>8</v>
      </c>
      <c r="W16" s="1509">
        <f>J16</f>
        <v>100</v>
      </c>
      <c r="X16" s="1502"/>
      <c r="Y16" s="3544"/>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544"/>
      <c r="Q17" s="1507"/>
      <c r="R17" s="1508"/>
      <c r="S17" s="1509"/>
      <c r="T17" s="1508"/>
      <c r="U17" s="1509"/>
      <c r="V17" s="1508"/>
      <c r="W17" s="1509"/>
      <c r="X17" s="1502"/>
      <c r="Y17" s="3544"/>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44"/>
      <c r="Q18" s="2429" t="str">
        <f>B18</f>
        <v>基础设施水平</v>
      </c>
      <c r="R18" s="1508" t="s">
        <v>8</v>
      </c>
      <c r="S18" s="1509">
        <f>F18</f>
        <v>100</v>
      </c>
      <c r="T18" s="1508" t="s">
        <v>8</v>
      </c>
      <c r="U18" s="1509">
        <f>H18</f>
        <v>100</v>
      </c>
      <c r="V18" s="1508" t="s">
        <v>8</v>
      </c>
      <c r="W18" s="1509">
        <f>J18</f>
        <v>100</v>
      </c>
      <c r="X18" s="2431"/>
      <c r="Y18" s="3544"/>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544"/>
      <c r="Q19" s="2429"/>
      <c r="R19" s="1508"/>
      <c r="S19" s="1509"/>
      <c r="T19" s="1508"/>
      <c r="U19" s="1509"/>
      <c r="V19" s="1508"/>
      <c r="W19" s="1509"/>
      <c r="X19" s="2431"/>
      <c r="Y19" s="3544"/>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44"/>
      <c r="Q20" s="1507" t="str">
        <f>B20</f>
        <v>自然及人文环境</v>
      </c>
      <c r="R20" s="1508" t="s">
        <v>8</v>
      </c>
      <c r="S20" s="1509">
        <f>F20</f>
        <v>100</v>
      </c>
      <c r="T20" s="1508" t="s">
        <v>8</v>
      </c>
      <c r="U20" s="1509">
        <f>H20</f>
        <v>100</v>
      </c>
      <c r="V20" s="1508" t="s">
        <v>8</v>
      </c>
      <c r="W20" s="1509">
        <f>J20</f>
        <v>100</v>
      </c>
      <c r="X20" s="1502"/>
      <c r="Y20" s="3544"/>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544"/>
      <c r="Q21" s="1507"/>
      <c r="R21" s="1508"/>
      <c r="S21" s="1509"/>
      <c r="T21" s="1508"/>
      <c r="U21" s="1509"/>
      <c r="V21" s="1508"/>
      <c r="W21" s="1509"/>
      <c r="X21" s="1502"/>
      <c r="Y21" s="3544"/>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44"/>
      <c r="Q22" s="1507" t="str">
        <f>B22</f>
        <v>楼层</v>
      </c>
      <c r="R22" s="1508" t="s">
        <v>8</v>
      </c>
      <c r="S22" s="1509">
        <f>F22</f>
        <v>100</v>
      </c>
      <c r="T22" s="1508" t="s">
        <v>8</v>
      </c>
      <c r="U22" s="1509">
        <f>H22</f>
        <v>100</v>
      </c>
      <c r="V22" s="1508" t="s">
        <v>8</v>
      </c>
      <c r="W22" s="1509">
        <f>J22</f>
        <v>100</v>
      </c>
      <c r="X22" s="1502"/>
      <c r="Y22" s="3544"/>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44"/>
      <c r="Q23" s="1507">
        <f>B23</f>
        <v>111</v>
      </c>
      <c r="R23" s="1508" t="s">
        <v>8</v>
      </c>
      <c r="S23" s="1509">
        <f>F23</f>
        <v>100</v>
      </c>
      <c r="T23" s="1508" t="s">
        <v>8</v>
      </c>
      <c r="U23" s="1509">
        <f>H23</f>
        <v>100</v>
      </c>
      <c r="V23" s="1508" t="s">
        <v>8</v>
      </c>
      <c r="W23" s="1509">
        <f>J23</f>
        <v>100</v>
      </c>
      <c r="X23" s="1502"/>
      <c r="Y23" s="3544"/>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44"/>
      <c r="Q24" s="1507">
        <f t="shared" ref="Q24:Q34" si="11">B24</f>
        <v>111</v>
      </c>
      <c r="R24" s="1508" t="s">
        <v>8</v>
      </c>
      <c r="S24" s="1509">
        <f>F24</f>
        <v>100</v>
      </c>
      <c r="T24" s="1508" t="s">
        <v>8</v>
      </c>
      <c r="U24" s="1509">
        <f>H24</f>
        <v>100</v>
      </c>
      <c r="V24" s="1508" t="s">
        <v>8</v>
      </c>
      <c r="W24" s="1509">
        <f>J24</f>
        <v>100</v>
      </c>
      <c r="X24" s="1502"/>
      <c r="Y24" s="3544"/>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44"/>
      <c r="Q25" s="1134">
        <f t="shared" si="11"/>
        <v>111</v>
      </c>
      <c r="R25" s="1503" t="s">
        <v>8</v>
      </c>
      <c r="S25" s="1504">
        <f>F25</f>
        <v>100</v>
      </c>
      <c r="T25" s="1503" t="s">
        <v>8</v>
      </c>
      <c r="U25" s="1504">
        <f>H25</f>
        <v>100</v>
      </c>
      <c r="V25" s="1503" t="s">
        <v>8</v>
      </c>
      <c r="W25" s="1504">
        <f>J25</f>
        <v>100</v>
      </c>
      <c r="X25" s="1505"/>
      <c r="Y25" s="3544"/>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45"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46"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46"/>
      <c r="Q27" s="1536" t="str">
        <f t="shared" si="11"/>
        <v>成新率</v>
      </c>
      <c r="R27" s="1512" t="s">
        <v>8</v>
      </c>
      <c r="S27" s="1513" t="e">
        <f t="shared" si="12"/>
        <v>#N/A</v>
      </c>
      <c r="T27" s="1512" t="s">
        <v>8</v>
      </c>
      <c r="U27" s="1513" t="e">
        <f t="shared" si="13"/>
        <v>#N/A</v>
      </c>
      <c r="V27" s="1512" t="s">
        <v>8</v>
      </c>
      <c r="W27" s="1513" t="e">
        <f t="shared" si="14"/>
        <v>#N/A</v>
      </c>
      <c r="X27" s="1514"/>
      <c r="Y27" s="3546"/>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46"/>
      <c r="Q28" s="1507" t="str">
        <f t="shared" si="11"/>
        <v>物业等级</v>
      </c>
      <c r="R28" s="1508" t="s">
        <v>8</v>
      </c>
      <c r="S28" s="1509">
        <f t="shared" si="12"/>
        <v>100</v>
      </c>
      <c r="T28" s="1508" t="s">
        <v>8</v>
      </c>
      <c r="U28" s="1509">
        <f t="shared" si="13"/>
        <v>100</v>
      </c>
      <c r="V28" s="1508" t="s">
        <v>8</v>
      </c>
      <c r="W28" s="1509">
        <f t="shared" si="14"/>
        <v>100</v>
      </c>
      <c r="X28" s="1502"/>
      <c r="Y28" s="3546"/>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46"/>
      <c r="Q29" s="1507" t="str">
        <f t="shared" si="11"/>
        <v>有无电梯</v>
      </c>
      <c r="R29" s="1508" t="s">
        <v>8</v>
      </c>
      <c r="S29" s="1509">
        <f t="shared" si="12"/>
        <v>100</v>
      </c>
      <c r="T29" s="1508" t="s">
        <v>8</v>
      </c>
      <c r="U29" s="1509">
        <f t="shared" si="13"/>
        <v>100</v>
      </c>
      <c r="V29" s="1508" t="s">
        <v>8</v>
      </c>
      <c r="W29" s="1509">
        <f t="shared" si="14"/>
        <v>100</v>
      </c>
      <c r="X29" s="1502"/>
      <c r="Y29" s="3546"/>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46"/>
      <c r="Q30" s="1507" t="str">
        <f t="shared" si="11"/>
        <v>建筑面积</v>
      </c>
      <c r="R30" s="1508" t="s">
        <v>8</v>
      </c>
      <c r="S30" s="1509" t="e">
        <f t="shared" si="12"/>
        <v>#N/A</v>
      </c>
      <c r="T30" s="1508" t="s">
        <v>8</v>
      </c>
      <c r="U30" s="1509" t="e">
        <f t="shared" si="13"/>
        <v>#N/A</v>
      </c>
      <c r="V30" s="1508" t="s">
        <v>8</v>
      </c>
      <c r="W30" s="1509" t="e">
        <f t="shared" si="14"/>
        <v>#N/A</v>
      </c>
      <c r="X30" s="1502"/>
      <c r="Y30" s="3546"/>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46"/>
      <c r="Q31" s="1134" t="str">
        <f t="shared" si="11"/>
        <v>是否封闭</v>
      </c>
      <c r="R31" s="1503" t="s">
        <v>8</v>
      </c>
      <c r="S31" s="1504">
        <f t="shared" si="12"/>
        <v>100</v>
      </c>
      <c r="T31" s="1503" t="s">
        <v>8</v>
      </c>
      <c r="U31" s="1504">
        <f t="shared" si="13"/>
        <v>100</v>
      </c>
      <c r="V31" s="1503" t="s">
        <v>8</v>
      </c>
      <c r="W31" s="1504">
        <f t="shared" si="14"/>
        <v>100</v>
      </c>
      <c r="X31" s="1505"/>
      <c r="Y31" s="3546"/>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46" t="s">
        <v>544</v>
      </c>
      <c r="Q32" s="1507">
        <f t="shared" si="11"/>
        <v>111</v>
      </c>
      <c r="R32" s="1508" t="s">
        <v>8</v>
      </c>
      <c r="S32" s="1509">
        <f t="shared" si="12"/>
        <v>100</v>
      </c>
      <c r="T32" s="1508" t="s">
        <v>8</v>
      </c>
      <c r="U32" s="1509">
        <f t="shared" si="13"/>
        <v>100</v>
      </c>
      <c r="V32" s="1508" t="s">
        <v>8</v>
      </c>
      <c r="W32" s="1509">
        <f t="shared" si="14"/>
        <v>100</v>
      </c>
      <c r="X32" s="1502"/>
      <c r="Y32" s="3546"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46"/>
      <c r="Q33" s="1507">
        <f t="shared" si="11"/>
        <v>111</v>
      </c>
      <c r="R33" s="1508" t="s">
        <v>8</v>
      </c>
      <c r="S33" s="1509">
        <f t="shared" si="12"/>
        <v>100</v>
      </c>
      <c r="T33" s="1508" t="s">
        <v>8</v>
      </c>
      <c r="U33" s="1509">
        <f t="shared" si="13"/>
        <v>100</v>
      </c>
      <c r="V33" s="1508" t="s">
        <v>8</v>
      </c>
      <c r="W33" s="1509">
        <f t="shared" si="14"/>
        <v>100</v>
      </c>
      <c r="X33" s="1502"/>
      <c r="Y33" s="3546"/>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46"/>
      <c r="Q34" s="1507">
        <f t="shared" si="11"/>
        <v>111</v>
      </c>
      <c r="R34" s="1508" t="s">
        <v>8</v>
      </c>
      <c r="S34" s="1509">
        <f t="shared" si="12"/>
        <v>100</v>
      </c>
      <c r="T34" s="1508" t="s">
        <v>8</v>
      </c>
      <c r="U34" s="1509">
        <f t="shared" si="13"/>
        <v>100</v>
      </c>
      <c r="V34" s="1508" t="s">
        <v>8</v>
      </c>
      <c r="W34" s="1509">
        <f t="shared" si="14"/>
        <v>100</v>
      </c>
      <c r="X34" s="1502"/>
      <c r="Y34" s="3546"/>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509" t="str">
        <f>A35</f>
        <v>成交单价（元/平方米）</v>
      </c>
      <c r="Q35" s="3509"/>
      <c r="R35" s="3627">
        <f>E35</f>
        <v>0</v>
      </c>
      <c r="S35" s="3627"/>
      <c r="T35" s="3627">
        <f>G35</f>
        <v>0</v>
      </c>
      <c r="U35" s="3627"/>
      <c r="V35" s="3627">
        <f>I35</f>
        <v>0</v>
      </c>
      <c r="W35" s="3627"/>
      <c r="X35" s="1497"/>
      <c r="Y35" s="1516"/>
      <c r="Z35" s="1497"/>
      <c r="AA35" s="1497"/>
      <c r="AB35" s="1497"/>
      <c r="AC35" s="1497"/>
    </row>
    <row r="36" spans="1:29" ht="15.75" thickBot="1">
      <c r="A36" s="609" t="s">
        <v>2741</v>
      </c>
      <c r="B36" s="877"/>
      <c r="C36" s="2476" t="e">
        <f>R37</f>
        <v>#DIV/0!</v>
      </c>
      <c r="D36" s="3014" t="s">
        <v>2970</v>
      </c>
      <c r="E36" s="2477" t="e">
        <f>R36</f>
        <v>#DIV/0!</v>
      </c>
      <c r="F36" s="3015"/>
      <c r="G36" s="2476" t="e">
        <f>T36</f>
        <v>#DIV/0!</v>
      </c>
      <c r="H36" s="3015"/>
      <c r="I36" s="2477" t="e">
        <f>V36</f>
        <v>#DIV/0!</v>
      </c>
      <c r="J36" s="3015"/>
      <c r="K36" s="3023">
        <f>F36+H36+J36</f>
        <v>0</v>
      </c>
      <c r="L36" s="2026"/>
      <c r="M36" s="2027"/>
      <c r="N36" s="2016"/>
      <c r="O36" s="2027"/>
      <c r="P36" s="3509" t="str">
        <f>A36</f>
        <v>比较价格（元/平方米）</v>
      </c>
      <c r="Q36" s="3509"/>
      <c r="R36" s="3627" t="e">
        <f>IF(F1="售价",ROUND(PRODUCT(R35,AA7:AA34),0),ROUND(PRODUCT(R35,AA7:AA34),1))</f>
        <v>#DIV/0!</v>
      </c>
      <c r="S36" s="3627"/>
      <c r="T36" s="3627" t="e">
        <f>IF(F1="售价",ROUND(PRODUCT(T35,AB7:AB34),0),ROUND(PRODUCT(T35,AB7:AB34),1))</f>
        <v>#DIV/0!</v>
      </c>
      <c r="U36" s="3627"/>
      <c r="V36" s="3627" t="e">
        <f>IF(F1="售价",ROUND(PRODUCT(V35,AC7:AC34),0),ROUND(PRODUCT(V35,AC7:AC34),1))</f>
        <v>#DIV/0!</v>
      </c>
      <c r="W36" s="3627"/>
      <c r="X36" s="1497"/>
      <c r="Y36" s="1497"/>
      <c r="Z36" s="1497"/>
      <c r="AA36" s="1497"/>
      <c r="AB36" s="1497"/>
      <c r="AC36" s="1497"/>
    </row>
    <row r="37" spans="1:29" ht="15.75" thickBot="1">
      <c r="A37" s="613" t="s">
        <v>2903</v>
      </c>
      <c r="B37" s="614"/>
      <c r="C37" s="2478" t="e">
        <f>R37</f>
        <v>#DIV/0!</v>
      </c>
      <c r="D37" s="2478"/>
      <c r="E37" s="2478"/>
      <c r="F37" s="2478"/>
      <c r="G37" s="2478"/>
      <c r="H37" s="2478"/>
      <c r="I37" s="2478"/>
      <c r="J37" s="2478"/>
      <c r="K37" s="1542"/>
      <c r="L37" s="2026"/>
      <c r="M37" s="2027"/>
      <c r="N37" s="2027"/>
      <c r="O37" s="2027"/>
      <c r="P37" s="3506" t="str">
        <f>A37</f>
        <v>估价对象XX用房的比较价格（楼面单价，元/平方米）</v>
      </c>
      <c r="Q37" s="3507"/>
      <c r="R37" s="3626" t="e">
        <f>IF(F1="售价",ROUND(IF(D36="简单平均",AVERAGE(R36:W36),R36*F36+T36*H36+V36*J36),0),ROUND(IF(D36="简单平均",AVERAGE(R36:V36),R36*F36+T36*H36+V36*J36),1))</f>
        <v>#DIV/0!</v>
      </c>
      <c r="S37" s="3626"/>
      <c r="T37" s="3626"/>
      <c r="U37" s="3626"/>
      <c r="V37" s="3626"/>
      <c r="W37" s="3626"/>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2020-8</v>
      </c>
      <c r="D46" s="2521">
        <f>EDATE(C46,-1)</f>
        <v>44013</v>
      </c>
      <c r="E46" s="2521">
        <f t="shared" ref="E46:O46" si="16">EDATE(D46,-1)</f>
        <v>43983</v>
      </c>
      <c r="F46" s="2521">
        <f t="shared" si="16"/>
        <v>43952</v>
      </c>
      <c r="G46" s="2521">
        <f t="shared" si="16"/>
        <v>43922</v>
      </c>
      <c r="H46" s="2521">
        <f t="shared" si="16"/>
        <v>43891</v>
      </c>
      <c r="I46" s="2521">
        <f t="shared" si="16"/>
        <v>43862</v>
      </c>
      <c r="J46" s="2521">
        <f t="shared" si="16"/>
        <v>43831</v>
      </c>
      <c r="K46" s="2521">
        <f t="shared" si="16"/>
        <v>43800</v>
      </c>
      <c r="L46" s="2521">
        <f t="shared" si="16"/>
        <v>43770</v>
      </c>
      <c r="M46" s="2521">
        <f t="shared" si="16"/>
        <v>43739</v>
      </c>
      <c r="N46" s="2521">
        <f t="shared" si="16"/>
        <v>43709</v>
      </c>
      <c r="O46" s="2521">
        <f t="shared" si="16"/>
        <v>43678</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6" priority="17" stopIfTrue="1" operator="containsText" text="超过">
      <formula>NOT(ISERROR(SEARCH("超过",F40)))</formula>
    </cfRule>
  </conditionalFormatting>
  <conditionalFormatting sqref="J42">
    <cfRule type="containsText" dxfId="15" priority="16" stopIfTrue="1" operator="containsText" text="超过">
      <formula>NOT(ISERROR(SEARCH("超过",J42)))</formula>
    </cfRule>
  </conditionalFormatting>
  <conditionalFormatting sqref="H42">
    <cfRule type="containsText" dxfId="14" priority="15" stopIfTrue="1" operator="containsText" text="超过">
      <formula>NOT(ISERROR(SEARCH("超过",H42)))</formula>
    </cfRule>
  </conditionalFormatting>
  <conditionalFormatting sqref="F42">
    <cfRule type="containsText" dxfId="13" priority="14" stopIfTrue="1" operator="containsText" text="超过">
      <formula>NOT(ISERROR(SEARCH("超过",F42)))</formula>
    </cfRule>
  </conditionalFormatting>
  <conditionalFormatting sqref="F41 H41 J41">
    <cfRule type="containsText" dxfId="12" priority="13" stopIfTrue="1" operator="containsText" text="超过">
      <formula>NOT(ISERROR(SEARCH("超过",F41)))</formula>
    </cfRule>
  </conditionalFormatting>
  <conditionalFormatting sqref="E40">
    <cfRule type="expression" dxfId="11" priority="12" stopIfTrue="1">
      <formula>$F$40="超过30%"</formula>
    </cfRule>
  </conditionalFormatting>
  <conditionalFormatting sqref="G42">
    <cfRule type="expression" dxfId="10" priority="11" stopIfTrue="1">
      <formula>$H$54+$H$42="超过30%"</formula>
    </cfRule>
  </conditionalFormatting>
  <conditionalFormatting sqref="E41">
    <cfRule type="expression" dxfId="9" priority="10" stopIfTrue="1">
      <formula>$F$41="超过20%"</formula>
    </cfRule>
  </conditionalFormatting>
  <conditionalFormatting sqref="E42">
    <cfRule type="expression" dxfId="8" priority="9" stopIfTrue="1">
      <formula>$F$42="超过30%"</formula>
    </cfRule>
  </conditionalFormatting>
  <conditionalFormatting sqref="G40">
    <cfRule type="expression" dxfId="7" priority="8" stopIfTrue="1">
      <formula>$H$52+$H$40="超过30%"</formula>
    </cfRule>
  </conditionalFormatting>
  <conditionalFormatting sqref="G41">
    <cfRule type="expression" dxfId="6" priority="7" stopIfTrue="1">
      <formula>$H$53+$H$41="超过20%"</formula>
    </cfRule>
  </conditionalFormatting>
  <conditionalFormatting sqref="I40">
    <cfRule type="expression" dxfId="5" priority="6" stopIfTrue="1">
      <formula>$J$40="超过30%"</formula>
    </cfRule>
  </conditionalFormatting>
  <conditionalFormatting sqref="I41">
    <cfRule type="expression" dxfId="4" priority="5" stopIfTrue="1">
      <formula>$J$41="超过20%"</formula>
    </cfRule>
  </conditionalFormatting>
  <conditionalFormatting sqref="I42">
    <cfRule type="expression" dxfId="3" priority="4" stopIfTrue="1">
      <formula>$J$42="超过30%"</formula>
    </cfRule>
  </conditionalFormatting>
  <conditionalFormatting sqref="F36">
    <cfRule type="expression" dxfId="2" priority="3">
      <formula>$D$36="简单平均"</formula>
    </cfRule>
  </conditionalFormatting>
  <conditionalFormatting sqref="H36">
    <cfRule type="expression" dxfId="1" priority="2">
      <formula>$D$36="简单平均"</formula>
    </cfRule>
  </conditionalFormatting>
  <conditionalFormatting sqref="J36">
    <cfRule type="expression" dxfId="0" priority="1">
      <formula>$D$36="简单平均"</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23300平方米。根据《建设工程规划许可证》[]、《出让合同》[]，估价对象规划建筑面积为23300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2015</v>
      </c>
    </row>
    <row r="11" spans="1:4" ht="18.75">
      <c r="A11" s="1695" t="str">
        <f>TEXT(项目基本情况!D3,"yyyy年m月d日;;")&amp;IF(项目基本情况!B3=项目基本情况!D3,"（评估专业人员勘察现场之日）","")</f>
        <v>2020年8月28日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根据《国有土地使用证》[]，估价对象（分摊）出让国有建设用地使用权面积为23300平方米。根据《建设工程规划许可证》[]、《出让合同》[]，估价对象规划建筑面积为23300平方米。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划拨国有建设用地使用权价格”是指在估价对象土地所有权为国家所有，使用权性质为划拨，在公开市场条件下，于估价期日2020年8月28日在规划利用条件下、设定土地开发程度为红线外“七通”、宗地内场地，设定用途为的划拨国有建设用地使用权价格。</v>
      </c>
    </row>
    <row r="26" spans="1:1" ht="93.75">
      <c r="A26" s="1706"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25" activePane="bottomLeft" state="frozen"/>
      <selection activeCell="F37" sqref="F37"/>
      <selection pane="bottomLeft" activeCell="F37" sqref="F37"/>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636" t="s">
        <v>2292</v>
      </c>
      <c r="D1" s="3637"/>
      <c r="E1" s="3637"/>
      <c r="F1" s="3637"/>
      <c r="G1" s="3637"/>
      <c r="H1" s="3637"/>
      <c r="I1" s="3637"/>
      <c r="J1" s="3637"/>
      <c r="K1" s="3637"/>
      <c r="L1" s="3637"/>
      <c r="M1" s="3637"/>
      <c r="N1" s="3637"/>
      <c r="O1" s="3637"/>
      <c r="P1" s="3637"/>
      <c r="Q1" s="3637"/>
      <c r="R1" s="3637"/>
      <c r="S1" s="3638"/>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2896</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2895</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2894</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2907</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2893</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2892</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33" t="s">
        <v>20</v>
      </c>
      <c r="D22" s="3634"/>
      <c r="E22" s="3634"/>
      <c r="F22" s="3634"/>
      <c r="G22" s="3634"/>
      <c r="H22" s="3634"/>
      <c r="I22" s="3634"/>
      <c r="J22" s="3634"/>
      <c r="K22" s="3634"/>
      <c r="L22" s="3634"/>
      <c r="M22" s="3634"/>
      <c r="N22" s="3634"/>
      <c r="O22" s="3634"/>
      <c r="P22" s="3634"/>
      <c r="Q22" s="3635"/>
      <c r="R22" s="484" t="e">
        <f>ROUND(S22*10000/B22,0)</f>
        <v>#DIV/0!</v>
      </c>
      <c r="S22" s="53">
        <f>SUM(S24:S10000)</f>
        <v>0</v>
      </c>
    </row>
    <row r="23" spans="1:45" s="1543" customFormat="1" ht="24">
      <c r="A23" s="17" t="s">
        <v>824</v>
      </c>
      <c r="B23" s="2861"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950">
        <v>1</v>
      </c>
      <c r="D24" s="951"/>
      <c r="E24" s="950">
        <v>1</v>
      </c>
      <c r="F24" s="951"/>
      <c r="G24" s="950">
        <v>1</v>
      </c>
      <c r="H24" s="951"/>
      <c r="I24" s="950">
        <v>1</v>
      </c>
      <c r="J24" s="951"/>
      <c r="K24" s="950">
        <v>1</v>
      </c>
      <c r="L24" s="951"/>
      <c r="M24" s="950">
        <v>1</v>
      </c>
      <c r="N24" s="951"/>
      <c r="O24" s="950">
        <v>1</v>
      </c>
      <c r="P24" s="951"/>
      <c r="Q24" s="950">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2"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44071</v>
      </c>
      <c r="H1" s="2655">
        <f>IF(C1&gt;C13,0,MATCH(C1,C$13:C$100,-1))+IF(SUMIF(C13:C100,C1,D13:D100)=0,13,12)</f>
        <v>13</v>
      </c>
      <c r="I1" s="2655">
        <f>MATCH(C2,H3:H7,1)+IF(SUMIF(H3:H7,C2,I3:I7)=0,2,1)</f>
        <v>5</v>
      </c>
      <c r="J1" s="2714">
        <f ca="1">MATCH(C3,H3:H7,1)+IF(SUMIF(H3:H7,C3,J3:J7)=0,2,1)</f>
        <v>3</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1.5</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0.5</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Q62"/>
  <sheetViews>
    <sheetView zoomScale="80" zoomScaleNormal="80" workbookViewId="0">
      <pane xSplit="6" ySplit="3" topLeftCell="G15" activePane="bottomRight" state="frozen"/>
      <selection pane="topRight" activeCell="H1" sqref="H1"/>
      <selection pane="bottomLeft" activeCell="A4" sqref="A4"/>
      <selection pane="bottomRight" activeCell="T22" sqref="T22"/>
    </sheetView>
  </sheetViews>
  <sheetFormatPr defaultRowHeight="11.25"/>
  <cols>
    <col min="1" max="1" width="5.5" style="3331" customWidth="1"/>
    <col min="2" max="2" width="7.25" style="3331" hidden="1" customWidth="1"/>
    <col min="3" max="3" width="4.875" style="3331" bestFit="1" customWidth="1"/>
    <col min="4" max="4" width="7.125" style="3284" customWidth="1"/>
    <col min="5" max="5" width="8.25" style="3284" hidden="1" customWidth="1"/>
    <col min="6" max="6" width="18.125" style="3284" customWidth="1"/>
    <col min="7" max="7" width="13.75" style="3284" hidden="1" customWidth="1"/>
    <col min="8" max="8" width="8" style="3284" hidden="1" customWidth="1"/>
    <col min="9" max="9" width="13.375" style="3284" hidden="1" customWidth="1"/>
    <col min="10" max="10" width="36.625" style="3284" hidden="1" customWidth="1"/>
    <col min="11" max="11" width="14.375" style="3284" customWidth="1"/>
    <col min="12" max="13" width="17.75" style="3331" customWidth="1"/>
    <col min="14" max="16384" width="9" style="3284"/>
  </cols>
  <sheetData>
    <row r="1" spans="1:14" ht="39.75" customHeight="1">
      <c r="A1" s="3643" t="s">
        <v>3020</v>
      </c>
      <c r="B1" s="3644"/>
      <c r="C1" s="3644"/>
      <c r="D1" s="3644"/>
      <c r="E1" s="3644"/>
      <c r="F1" s="3644"/>
      <c r="G1" s="3644"/>
      <c r="H1" s="3644"/>
      <c r="I1" s="3644"/>
      <c r="J1" s="3644"/>
      <c r="K1" s="3644"/>
      <c r="L1" s="3644"/>
      <c r="M1" s="3644"/>
    </row>
    <row r="2" spans="1:14" ht="23.25" customHeight="1">
      <c r="A2" s="3639" t="s">
        <v>3021</v>
      </c>
      <c r="B2" s="3639" t="s">
        <v>3022</v>
      </c>
      <c r="C2" s="3639" t="s">
        <v>3023</v>
      </c>
      <c r="D2" s="3645" t="s">
        <v>3024</v>
      </c>
      <c r="E2" s="3645" t="s">
        <v>3025</v>
      </c>
      <c r="F2" s="3639" t="s">
        <v>3026</v>
      </c>
      <c r="G2" s="3639" t="s">
        <v>3027</v>
      </c>
      <c r="H2" s="3639" t="s">
        <v>3028</v>
      </c>
      <c r="I2" s="3639" t="s">
        <v>3029</v>
      </c>
      <c r="J2" s="3639" t="s">
        <v>3030</v>
      </c>
      <c r="K2" s="3641" t="s">
        <v>3031</v>
      </c>
      <c r="L2" s="3642" t="s">
        <v>3032</v>
      </c>
      <c r="M2" s="3642"/>
    </row>
    <row r="3" spans="1:14" s="3286" customFormat="1" ht="23.25" customHeight="1">
      <c r="A3" s="3640"/>
      <c r="B3" s="3640"/>
      <c r="C3" s="3640"/>
      <c r="D3" s="3646"/>
      <c r="E3" s="3646"/>
      <c r="F3" s="3640"/>
      <c r="G3" s="3640"/>
      <c r="H3" s="3640"/>
      <c r="I3" s="3640"/>
      <c r="J3" s="3640"/>
      <c r="K3" s="3641"/>
      <c r="L3" s="3285" t="s">
        <v>3033</v>
      </c>
      <c r="M3" s="3285" t="s">
        <v>3034</v>
      </c>
    </row>
    <row r="4" spans="1:14" s="3293" customFormat="1" ht="95.25" hidden="1" customHeight="1">
      <c r="A4" s="3287">
        <v>2016</v>
      </c>
      <c r="B4" s="3288" t="s">
        <v>3035</v>
      </c>
      <c r="C4" s="3288" t="s">
        <v>3036</v>
      </c>
      <c r="D4" s="3289" t="s">
        <v>3037</v>
      </c>
      <c r="E4" s="3289" t="s">
        <v>3038</v>
      </c>
      <c r="F4" s="3290" t="s">
        <v>3039</v>
      </c>
      <c r="G4" s="3289" t="s">
        <v>3040</v>
      </c>
      <c r="H4" s="3289" t="s">
        <v>3041</v>
      </c>
      <c r="I4" s="3289" t="s">
        <v>3042</v>
      </c>
      <c r="J4" s="3289" t="s">
        <v>3043</v>
      </c>
      <c r="K4" s="3291">
        <v>16.73</v>
      </c>
      <c r="L4" s="3289">
        <v>15586.51</v>
      </c>
      <c r="M4" s="3289">
        <v>24154.36</v>
      </c>
      <c r="N4" s="3292">
        <f t="shared" ref="N4:N9" si="0">(L4+M4)/K4</f>
        <v>2375.4255827854154</v>
      </c>
    </row>
    <row r="5" spans="1:14" s="3293" customFormat="1" ht="95.25" hidden="1" customHeight="1">
      <c r="A5" s="3287">
        <v>2016</v>
      </c>
      <c r="B5" s="3288" t="s">
        <v>3035</v>
      </c>
      <c r="C5" s="3288" t="s">
        <v>3036</v>
      </c>
      <c r="D5" s="3289" t="s">
        <v>3037</v>
      </c>
      <c r="E5" s="3289" t="s">
        <v>3038</v>
      </c>
      <c r="F5" s="3290" t="s">
        <v>3044</v>
      </c>
      <c r="G5" s="3289" t="s">
        <v>3040</v>
      </c>
      <c r="H5" s="3289" t="s">
        <v>3041</v>
      </c>
      <c r="I5" s="3289" t="s">
        <v>3045</v>
      </c>
      <c r="J5" s="3289" t="s">
        <v>3043</v>
      </c>
      <c r="K5" s="3294">
        <v>39.770000000000003</v>
      </c>
      <c r="L5" s="3289">
        <v>17716.41</v>
      </c>
      <c r="M5" s="3289">
        <v>2390.64</v>
      </c>
      <c r="N5" s="3292">
        <f t="shared" si="0"/>
        <v>505.58335428715105</v>
      </c>
    </row>
    <row r="6" spans="1:14" s="3293" customFormat="1" ht="95.25" hidden="1" customHeight="1">
      <c r="A6" s="3287">
        <v>2016</v>
      </c>
      <c r="B6" s="3288" t="s">
        <v>3035</v>
      </c>
      <c r="C6" s="3288" t="s">
        <v>3036</v>
      </c>
      <c r="D6" s="3289" t="s">
        <v>3037</v>
      </c>
      <c r="E6" s="3295" t="s">
        <v>3046</v>
      </c>
      <c r="F6" s="3290" t="s">
        <v>3047</v>
      </c>
      <c r="G6" s="3295" t="s">
        <v>3048</v>
      </c>
      <c r="H6" s="3295" t="s">
        <v>3041</v>
      </c>
      <c r="I6" s="3295" t="s">
        <v>3049</v>
      </c>
      <c r="J6" s="3289" t="s">
        <v>3050</v>
      </c>
      <c r="K6" s="3294">
        <v>663.6</v>
      </c>
      <c r="L6" s="3289">
        <v>191909.86</v>
      </c>
      <c r="M6" s="3289">
        <v>204137.8</v>
      </c>
      <c r="N6" s="3292">
        <f t="shared" si="0"/>
        <v>596.81684749849296</v>
      </c>
    </row>
    <row r="7" spans="1:14" s="3293" customFormat="1" ht="95.25" hidden="1" customHeight="1">
      <c r="A7" s="3287">
        <v>2016</v>
      </c>
      <c r="B7" s="3288" t="s">
        <v>3051</v>
      </c>
      <c r="C7" s="3288" t="s">
        <v>3052</v>
      </c>
      <c r="D7" s="3296" t="s">
        <v>3037</v>
      </c>
      <c r="E7" s="3296" t="s">
        <v>3046</v>
      </c>
      <c r="F7" s="3290" t="s">
        <v>3053</v>
      </c>
      <c r="G7" s="3297" t="s">
        <v>3054</v>
      </c>
      <c r="H7" s="3296" t="s">
        <v>3055</v>
      </c>
      <c r="I7" s="3296" t="s">
        <v>3056</v>
      </c>
      <c r="J7" s="3296" t="s">
        <v>3057</v>
      </c>
      <c r="K7" s="3294">
        <v>129.57</v>
      </c>
      <c r="L7" s="3289">
        <v>122822.85</v>
      </c>
      <c r="M7" s="3289">
        <v>403475</v>
      </c>
      <c r="N7" s="3292">
        <f t="shared" si="0"/>
        <v>4061.8804507216178</v>
      </c>
    </row>
    <row r="8" spans="1:14" s="3292" customFormat="1" ht="95.25" hidden="1" customHeight="1">
      <c r="A8" s="3287">
        <v>2017</v>
      </c>
      <c r="B8" s="3298" t="s">
        <v>3058</v>
      </c>
      <c r="C8" s="3298" t="s">
        <v>3059</v>
      </c>
      <c r="D8" s="3296" t="s">
        <v>3037</v>
      </c>
      <c r="E8" s="3299" t="s">
        <v>3046</v>
      </c>
      <c r="F8" s="3290" t="s">
        <v>3060</v>
      </c>
      <c r="G8" s="3297" t="s">
        <v>3054</v>
      </c>
      <c r="H8" s="3299" t="s">
        <v>3055</v>
      </c>
      <c r="I8" s="3299" t="s">
        <v>3061</v>
      </c>
      <c r="J8" s="3300" t="s">
        <v>3062</v>
      </c>
      <c r="K8" s="3294">
        <v>34.26</v>
      </c>
      <c r="L8" s="3289">
        <v>38931.19</v>
      </c>
      <c r="M8" s="3289">
        <v>64775.53</v>
      </c>
      <c r="N8" s="3292">
        <f t="shared" si="0"/>
        <v>3027.0496205487452</v>
      </c>
    </row>
    <row r="9" spans="1:14" s="3292" customFormat="1" ht="95.25" hidden="1" customHeight="1">
      <c r="A9" s="3287">
        <v>2017</v>
      </c>
      <c r="B9" s="3298" t="s">
        <v>3058</v>
      </c>
      <c r="C9" s="3298" t="s">
        <v>3059</v>
      </c>
      <c r="D9" s="3296" t="s">
        <v>3037</v>
      </c>
      <c r="E9" s="3296" t="s">
        <v>3046</v>
      </c>
      <c r="F9" s="3290" t="s">
        <v>3063</v>
      </c>
      <c r="G9" s="3296" t="s">
        <v>3054</v>
      </c>
      <c r="H9" s="3296" t="s">
        <v>3055</v>
      </c>
      <c r="I9" s="3296" t="s">
        <v>3042</v>
      </c>
      <c r="J9" s="3296" t="s">
        <v>3064</v>
      </c>
      <c r="K9" s="3294">
        <v>51.07</v>
      </c>
      <c r="L9" s="3289">
        <v>33012.44</v>
      </c>
      <c r="M9" s="3289">
        <v>46402.36</v>
      </c>
      <c r="N9" s="3292">
        <f t="shared" si="0"/>
        <v>1555.0186019189348</v>
      </c>
    </row>
    <row r="10" spans="1:14" s="3292" customFormat="1" ht="67.5" hidden="1" customHeight="1">
      <c r="A10" s="3287">
        <v>2017</v>
      </c>
      <c r="B10" s="3298" t="s">
        <v>3058</v>
      </c>
      <c r="C10" s="3298" t="s">
        <v>3059</v>
      </c>
      <c r="D10" s="3297" t="s">
        <v>3065</v>
      </c>
      <c r="E10" s="3297" t="s">
        <v>3046</v>
      </c>
      <c r="F10" s="3290" t="s">
        <v>3066</v>
      </c>
      <c r="G10" s="3297" t="s">
        <v>3067</v>
      </c>
      <c r="H10" s="3297" t="s">
        <v>3041</v>
      </c>
      <c r="I10" s="3301" t="s">
        <v>3068</v>
      </c>
      <c r="J10" s="3301" t="s">
        <v>3069</v>
      </c>
      <c r="K10" s="3289">
        <v>96.99</v>
      </c>
      <c r="L10" s="3289">
        <v>51676.39</v>
      </c>
      <c r="M10" s="3289">
        <v>172115.08</v>
      </c>
      <c r="N10" s="3292">
        <f>(L10+M10)/K10</f>
        <v>2307.3664295288172</v>
      </c>
    </row>
    <row r="11" spans="1:14" s="3292" customFormat="1" ht="95.25" hidden="1" customHeight="1">
      <c r="A11" s="3287">
        <v>2017</v>
      </c>
      <c r="B11" s="3298" t="s">
        <v>3058</v>
      </c>
      <c r="C11" s="3298" t="s">
        <v>3059</v>
      </c>
      <c r="D11" s="3297" t="s">
        <v>3065</v>
      </c>
      <c r="E11" s="3297" t="s">
        <v>3046</v>
      </c>
      <c r="F11" s="3290" t="s">
        <v>3070</v>
      </c>
      <c r="G11" s="3297" t="s">
        <v>3071</v>
      </c>
      <c r="H11" s="3297" t="s">
        <v>3041</v>
      </c>
      <c r="I11" s="3301" t="s">
        <v>3072</v>
      </c>
      <c r="J11" s="3302" t="s">
        <v>3073</v>
      </c>
      <c r="K11" s="3303">
        <v>49.52</v>
      </c>
      <c r="L11" s="3289">
        <v>25737.439999999999</v>
      </c>
      <c r="M11" s="3289">
        <v>180122.23999999999</v>
      </c>
      <c r="N11" s="3292">
        <f t="shared" ref="N11:N32" si="1">(L11+M11)/K11</f>
        <v>4157.1017770597737</v>
      </c>
    </row>
    <row r="12" spans="1:14" s="3292" customFormat="1" ht="45.75" hidden="1" customHeight="1">
      <c r="A12" s="3287">
        <v>2017</v>
      </c>
      <c r="B12" s="3298" t="s">
        <v>3058</v>
      </c>
      <c r="C12" s="3298" t="s">
        <v>3074</v>
      </c>
      <c r="D12" s="3297" t="s">
        <v>3075</v>
      </c>
      <c r="E12" s="3297" t="s">
        <v>3046</v>
      </c>
      <c r="F12" s="3290" t="s">
        <v>3076</v>
      </c>
      <c r="G12" s="3297" t="s">
        <v>3077</v>
      </c>
      <c r="H12" s="3299" t="s">
        <v>3055</v>
      </c>
      <c r="I12" s="3301" t="s">
        <v>3078</v>
      </c>
      <c r="J12" s="3289" t="s">
        <v>3079</v>
      </c>
      <c r="K12" s="3294">
        <v>116.6</v>
      </c>
      <c r="L12" s="3289">
        <v>138739.75</v>
      </c>
      <c r="M12" s="3289">
        <v>441601.69</v>
      </c>
      <c r="N12" s="3304">
        <f t="shared" si="1"/>
        <v>4977.1993138936532</v>
      </c>
    </row>
    <row r="13" spans="1:14" s="3305" customFormat="1" ht="96" hidden="1">
      <c r="A13" s="3287">
        <v>2017</v>
      </c>
      <c r="B13" s="3299" t="s">
        <v>3080</v>
      </c>
      <c r="C13" s="3299" t="s">
        <v>3081</v>
      </c>
      <c r="D13" s="3299" t="s">
        <v>3082</v>
      </c>
      <c r="E13" s="3299" t="s">
        <v>3083</v>
      </c>
      <c r="F13" s="3297" t="s">
        <v>3084</v>
      </c>
      <c r="G13" s="3297" t="s">
        <v>3085</v>
      </c>
      <c r="H13" s="3297" t="s">
        <v>3086</v>
      </c>
      <c r="I13" s="3301" t="s">
        <v>3087</v>
      </c>
      <c r="J13" s="3302" t="s">
        <v>3088</v>
      </c>
      <c r="K13" s="3291">
        <v>33.36</v>
      </c>
      <c r="L13" s="3289">
        <v>16588.11</v>
      </c>
      <c r="M13" s="3289">
        <v>13953.2</v>
      </c>
      <c r="N13" s="3292">
        <f t="shared" si="1"/>
        <v>915.50689448441256</v>
      </c>
    </row>
    <row r="14" spans="1:14" s="3307" customFormat="1" ht="48" hidden="1" customHeight="1">
      <c r="A14" s="3287">
        <v>2017</v>
      </c>
      <c r="B14" s="3306" t="s">
        <v>3089</v>
      </c>
      <c r="C14" s="3306" t="s">
        <v>3090</v>
      </c>
      <c r="D14" s="3297" t="s">
        <v>3091</v>
      </c>
      <c r="E14" s="3297" t="s">
        <v>3046</v>
      </c>
      <c r="F14" s="3299" t="s">
        <v>3092</v>
      </c>
      <c r="G14" s="3297" t="s">
        <v>3093</v>
      </c>
      <c r="H14" s="3297" t="s">
        <v>3086</v>
      </c>
      <c r="I14" s="3301" t="s">
        <v>3094</v>
      </c>
      <c r="J14" s="3301" t="s">
        <v>3095</v>
      </c>
      <c r="K14" s="3289">
        <v>19.994820000000001</v>
      </c>
      <c r="L14" s="3289">
        <v>4110.28</v>
      </c>
      <c r="M14" s="3289">
        <v>1634.87</v>
      </c>
      <c r="N14" s="3292">
        <f t="shared" si="1"/>
        <v>287.33191896701243</v>
      </c>
    </row>
    <row r="15" spans="1:14" s="3305" customFormat="1" ht="95.25" customHeight="1">
      <c r="A15" s="3287">
        <v>2017</v>
      </c>
      <c r="B15" s="3298" t="s">
        <v>3096</v>
      </c>
      <c r="C15" s="3298" t="s">
        <v>3097</v>
      </c>
      <c r="D15" s="3297" t="s">
        <v>3098</v>
      </c>
      <c r="E15" s="3297" t="s">
        <v>3046</v>
      </c>
      <c r="F15" s="3297" t="s">
        <v>3099</v>
      </c>
      <c r="G15" s="3297" t="s">
        <v>3100</v>
      </c>
      <c r="H15" s="3297" t="s">
        <v>3055</v>
      </c>
      <c r="I15" s="3301" t="s">
        <v>3101</v>
      </c>
      <c r="J15" s="3302" t="s">
        <v>3102</v>
      </c>
      <c r="K15" s="3308">
        <v>72.180000000000007</v>
      </c>
      <c r="L15" s="3289">
        <v>20148.59</v>
      </c>
      <c r="M15" s="3289">
        <v>195592.13</v>
      </c>
      <c r="N15" s="3292">
        <f t="shared" si="1"/>
        <v>2988.9265724577444</v>
      </c>
    </row>
    <row r="16" spans="1:14" s="3305" customFormat="1" ht="95.25" customHeight="1">
      <c r="A16" s="3287">
        <v>2017</v>
      </c>
      <c r="B16" s="3298" t="s">
        <v>3096</v>
      </c>
      <c r="C16" s="3298" t="s">
        <v>3097</v>
      </c>
      <c r="D16" s="3297" t="s">
        <v>3098</v>
      </c>
      <c r="E16" s="3297" t="s">
        <v>3046</v>
      </c>
      <c r="F16" s="3297" t="s">
        <v>3103</v>
      </c>
      <c r="G16" s="3297" t="s">
        <v>3104</v>
      </c>
      <c r="H16" s="3297" t="s">
        <v>3055</v>
      </c>
      <c r="I16" s="3301" t="s">
        <v>3105</v>
      </c>
      <c r="J16" s="3309" t="s">
        <v>3106</v>
      </c>
      <c r="K16" s="3294">
        <v>148.19999999999999</v>
      </c>
      <c r="L16" s="3289">
        <v>46469.07</v>
      </c>
      <c r="M16" s="3289">
        <v>462882.97</v>
      </c>
      <c r="N16" s="3292">
        <f t="shared" si="1"/>
        <v>3436.9233468286102</v>
      </c>
    </row>
    <row r="17" spans="1:17" s="3310" customFormat="1" ht="95.25" hidden="1" customHeight="1">
      <c r="A17" s="3287">
        <v>2017</v>
      </c>
      <c r="B17" s="3306" t="s">
        <v>3107</v>
      </c>
      <c r="C17" s="3306" t="s">
        <v>3108</v>
      </c>
      <c r="D17" s="3297" t="s">
        <v>3109</v>
      </c>
      <c r="E17" s="3297" t="s">
        <v>3046</v>
      </c>
      <c r="F17" s="3297" t="s">
        <v>3110</v>
      </c>
      <c r="G17" s="3297" t="s">
        <v>3111</v>
      </c>
      <c r="H17" s="3297" t="s">
        <v>3055</v>
      </c>
      <c r="I17" s="3301" t="s">
        <v>3112</v>
      </c>
      <c r="J17" s="3301" t="s">
        <v>3113</v>
      </c>
      <c r="K17" s="3294">
        <v>89.78</v>
      </c>
      <c r="L17" s="3289">
        <v>52725.51</v>
      </c>
      <c r="M17" s="3289">
        <v>150160.9</v>
      </c>
      <c r="N17" s="3292">
        <f t="shared" si="1"/>
        <v>2259.8174426375585</v>
      </c>
    </row>
    <row r="18" spans="1:17" s="3305" customFormat="1" ht="95.25" hidden="1" customHeight="1">
      <c r="A18" s="3287">
        <v>2017</v>
      </c>
      <c r="B18" s="3306" t="s">
        <v>3107</v>
      </c>
      <c r="C18" s="3306" t="s">
        <v>3108</v>
      </c>
      <c r="D18" s="3297" t="s">
        <v>3109</v>
      </c>
      <c r="E18" s="3297" t="s">
        <v>3046</v>
      </c>
      <c r="F18" s="3297" t="s">
        <v>3114</v>
      </c>
      <c r="G18" s="3297" t="s">
        <v>3115</v>
      </c>
      <c r="H18" s="3297" t="s">
        <v>3055</v>
      </c>
      <c r="I18" s="3301" t="s">
        <v>3116</v>
      </c>
      <c r="J18" s="3311" t="s">
        <v>3117</v>
      </c>
      <c r="K18" s="3294">
        <v>146.24</v>
      </c>
      <c r="L18" s="3289">
        <v>73331.179999999993</v>
      </c>
      <c r="M18" s="3289">
        <v>459399.64</v>
      </c>
      <c r="N18" s="3292">
        <f t="shared" si="1"/>
        <v>3642.8529814004378</v>
      </c>
    </row>
    <row r="19" spans="1:17" s="3305" customFormat="1" ht="51" hidden="1" customHeight="1">
      <c r="A19" s="3287">
        <v>2017</v>
      </c>
      <c r="B19" s="3306" t="s">
        <v>3118</v>
      </c>
      <c r="C19" s="3306" t="s">
        <v>3108</v>
      </c>
      <c r="D19" s="3297" t="s">
        <v>3119</v>
      </c>
      <c r="E19" s="3297" t="s">
        <v>3046</v>
      </c>
      <c r="F19" s="3297" t="s">
        <v>3120</v>
      </c>
      <c r="G19" s="3297" t="s">
        <v>3121</v>
      </c>
      <c r="H19" s="3297" t="s">
        <v>3122</v>
      </c>
      <c r="I19" s="3301" t="s">
        <v>3123</v>
      </c>
      <c r="J19" s="3301" t="s">
        <v>3124</v>
      </c>
      <c r="K19" s="3289">
        <v>132.25</v>
      </c>
      <c r="L19" s="3289">
        <v>24298.5</v>
      </c>
      <c r="M19" s="3289">
        <v>107594.55</v>
      </c>
      <c r="N19" s="3292">
        <f t="shared" si="1"/>
        <v>997.30094517958401</v>
      </c>
    </row>
    <row r="20" spans="1:17" s="3316" customFormat="1" ht="95.25" customHeight="1">
      <c r="A20" s="3287">
        <v>2017</v>
      </c>
      <c r="B20" s="3306" t="s">
        <v>3118</v>
      </c>
      <c r="C20" s="3312" t="s">
        <v>3108</v>
      </c>
      <c r="D20" s="3313" t="s">
        <v>3125</v>
      </c>
      <c r="E20" s="3297" t="s">
        <v>3126</v>
      </c>
      <c r="F20" s="3314" t="s">
        <v>3127</v>
      </c>
      <c r="G20" s="3297" t="s">
        <v>3100</v>
      </c>
      <c r="H20" s="3297" t="s">
        <v>3055</v>
      </c>
      <c r="I20" s="3315" t="s">
        <v>3128</v>
      </c>
      <c r="J20" s="3315" t="s">
        <v>3129</v>
      </c>
      <c r="K20" s="3294">
        <v>217.58</v>
      </c>
      <c r="L20" s="3289">
        <v>106922.18</v>
      </c>
      <c r="M20" s="3289">
        <v>1002860.16</v>
      </c>
      <c r="N20" s="3292">
        <f t="shared" si="1"/>
        <v>5100.5714679658058</v>
      </c>
    </row>
    <row r="21" spans="1:17" s="3293" customFormat="1" ht="95.25" hidden="1" customHeight="1">
      <c r="A21" s="3317">
        <v>2018</v>
      </c>
      <c r="B21" s="3306" t="s">
        <v>3130</v>
      </c>
      <c r="C21" s="3306" t="s">
        <v>3131</v>
      </c>
      <c r="D21" s="3318" t="s">
        <v>3132</v>
      </c>
      <c r="E21" s="3318" t="s">
        <v>3126</v>
      </c>
      <c r="F21" s="3318" t="s">
        <v>3133</v>
      </c>
      <c r="G21" s="3318" t="s">
        <v>3134</v>
      </c>
      <c r="H21" s="3318" t="s">
        <v>3086</v>
      </c>
      <c r="I21" s="3319" t="s">
        <v>3135</v>
      </c>
      <c r="J21" s="3320" t="s">
        <v>3136</v>
      </c>
      <c r="K21" s="3321">
        <v>726.3</v>
      </c>
      <c r="L21" s="3289">
        <v>281939.06</v>
      </c>
      <c r="M21" s="3289">
        <v>704305.38</v>
      </c>
      <c r="N21" s="3292">
        <f t="shared" si="1"/>
        <v>1357.9022993253477</v>
      </c>
    </row>
    <row r="22" spans="1:17" s="3323" customFormat="1" ht="95.25" customHeight="1">
      <c r="A22" s="3318">
        <v>2018</v>
      </c>
      <c r="B22" s="3306" t="s">
        <v>3137</v>
      </c>
      <c r="C22" s="3322" t="s">
        <v>3138</v>
      </c>
      <c r="D22" s="3299" t="s">
        <v>3125</v>
      </c>
      <c r="E22" s="3299" t="s">
        <v>3046</v>
      </c>
      <c r="F22" s="3299" t="s">
        <v>3139</v>
      </c>
      <c r="G22" s="3299" t="s">
        <v>3100</v>
      </c>
      <c r="H22" s="3299" t="s">
        <v>3055</v>
      </c>
      <c r="I22" s="3319" t="s">
        <v>3140</v>
      </c>
      <c r="J22" s="3320" t="s">
        <v>3141</v>
      </c>
      <c r="K22" s="3294">
        <v>193.55</v>
      </c>
      <c r="L22" s="3289">
        <v>230654.05</v>
      </c>
      <c r="M22" s="3289">
        <v>598903.21</v>
      </c>
      <c r="N22" s="3292">
        <f t="shared" si="1"/>
        <v>4286.0101265822786</v>
      </c>
      <c r="Q22" s="3323">
        <f>(N22+N23+N24+N26+N27+N30)/6</f>
        <v>3538.7766236188468</v>
      </c>
    </row>
    <row r="23" spans="1:17" s="3323" customFormat="1" ht="95.25" customHeight="1">
      <c r="A23" s="3318">
        <v>2018</v>
      </c>
      <c r="B23" s="3306" t="s">
        <v>3137</v>
      </c>
      <c r="C23" s="3322" t="s">
        <v>3138</v>
      </c>
      <c r="D23" s="3299" t="s">
        <v>3125</v>
      </c>
      <c r="E23" s="3299" t="s">
        <v>3046</v>
      </c>
      <c r="F23" s="3299" t="s">
        <v>3142</v>
      </c>
      <c r="G23" s="3299" t="s">
        <v>3143</v>
      </c>
      <c r="H23" s="3299" t="s">
        <v>3055</v>
      </c>
      <c r="I23" s="3319" t="s">
        <v>3144</v>
      </c>
      <c r="J23" s="3320" t="s">
        <v>3145</v>
      </c>
      <c r="K23" s="3324">
        <v>210.43</v>
      </c>
      <c r="L23" s="3289">
        <v>23862.83</v>
      </c>
      <c r="M23" s="3289">
        <v>602931.53</v>
      </c>
      <c r="N23" s="3292">
        <f t="shared" si="1"/>
        <v>2978.6359359406929</v>
      </c>
    </row>
    <row r="24" spans="1:17" s="3323" customFormat="1" ht="95.25" customHeight="1">
      <c r="A24" s="3318">
        <v>2018</v>
      </c>
      <c r="B24" s="3306" t="s">
        <v>3137</v>
      </c>
      <c r="C24" s="3322" t="s">
        <v>3138</v>
      </c>
      <c r="D24" s="3299" t="s">
        <v>3125</v>
      </c>
      <c r="E24" s="3299" t="s">
        <v>3046</v>
      </c>
      <c r="F24" s="3299" t="s">
        <v>3146</v>
      </c>
      <c r="G24" s="3299" t="s">
        <v>3100</v>
      </c>
      <c r="H24" s="3299" t="s">
        <v>3055</v>
      </c>
      <c r="I24" s="3319" t="s">
        <v>3147</v>
      </c>
      <c r="J24" s="3320" t="s">
        <v>3148</v>
      </c>
      <c r="K24" s="3324">
        <v>74.25</v>
      </c>
      <c r="L24" s="3289">
        <v>13520.67</v>
      </c>
      <c r="M24" s="3289">
        <v>291651.92</v>
      </c>
      <c r="N24" s="3292">
        <f t="shared" si="1"/>
        <v>4110.0685521885516</v>
      </c>
    </row>
    <row r="25" spans="1:17" s="3323" customFormat="1" ht="95.25" hidden="1" customHeight="1">
      <c r="A25" s="3318">
        <v>2018</v>
      </c>
      <c r="B25" s="3306" t="s">
        <v>3137</v>
      </c>
      <c r="C25" s="3322" t="s">
        <v>3138</v>
      </c>
      <c r="D25" s="3299" t="s">
        <v>3149</v>
      </c>
      <c r="E25" s="3299" t="s">
        <v>3046</v>
      </c>
      <c r="F25" s="3299" t="s">
        <v>3150</v>
      </c>
      <c r="G25" s="3299" t="s">
        <v>3151</v>
      </c>
      <c r="H25" s="3299" t="s">
        <v>3055</v>
      </c>
      <c r="I25" s="3319" t="s">
        <v>3152</v>
      </c>
      <c r="J25" s="3290" t="s">
        <v>3153</v>
      </c>
      <c r="K25" s="3324">
        <v>29.09</v>
      </c>
      <c r="L25" s="3289">
        <v>12773.36</v>
      </c>
      <c r="M25" s="3289">
        <v>231746.85</v>
      </c>
      <c r="N25" s="3292">
        <f t="shared" si="1"/>
        <v>8405.6448951529746</v>
      </c>
    </row>
    <row r="26" spans="1:17" s="3323" customFormat="1" ht="95.25" customHeight="1">
      <c r="A26" s="3318">
        <v>2018</v>
      </c>
      <c r="B26" s="3306" t="s">
        <v>3154</v>
      </c>
      <c r="C26" s="3325" t="s">
        <v>3155</v>
      </c>
      <c r="D26" s="3324" t="s">
        <v>3125</v>
      </c>
      <c r="E26" s="3324" t="s">
        <v>3046</v>
      </c>
      <c r="F26" s="3324" t="s">
        <v>3156</v>
      </c>
      <c r="G26" s="3324" t="s">
        <v>3100</v>
      </c>
      <c r="H26" s="3324" t="s">
        <v>3055</v>
      </c>
      <c r="I26" s="3324" t="s">
        <v>3157</v>
      </c>
      <c r="J26" s="3324" t="s">
        <v>3158</v>
      </c>
      <c r="K26" s="3324">
        <v>165.53</v>
      </c>
      <c r="L26" s="3289">
        <v>55495.91</v>
      </c>
      <c r="M26" s="3289">
        <v>418159.92</v>
      </c>
      <c r="N26" s="3292">
        <f t="shared" si="1"/>
        <v>2861.4500694738113</v>
      </c>
    </row>
    <row r="27" spans="1:17" s="3323" customFormat="1" ht="72">
      <c r="A27" s="3318">
        <v>2018</v>
      </c>
      <c r="B27" s="3306" t="s">
        <v>3159</v>
      </c>
      <c r="C27" s="3325" t="s">
        <v>3155</v>
      </c>
      <c r="D27" s="3324" t="s">
        <v>3125</v>
      </c>
      <c r="E27" s="3324" t="s">
        <v>3046</v>
      </c>
      <c r="F27" s="3324" t="s">
        <v>3160</v>
      </c>
      <c r="G27" s="3324" t="s">
        <v>3161</v>
      </c>
      <c r="H27" s="3324" t="s">
        <v>3055</v>
      </c>
      <c r="I27" s="3324" t="s">
        <v>3162</v>
      </c>
      <c r="J27" s="3324" t="s">
        <v>3163</v>
      </c>
      <c r="K27" s="3326">
        <v>175.57</v>
      </c>
      <c r="L27" s="3289">
        <v>157294.39999999999</v>
      </c>
      <c r="M27" s="3289">
        <v>394653.43</v>
      </c>
      <c r="N27" s="3292">
        <f t="shared" si="1"/>
        <v>3143.7479637751321</v>
      </c>
    </row>
    <row r="28" spans="1:17" s="3293" customFormat="1" ht="63.75" hidden="1" customHeight="1">
      <c r="A28" s="3318">
        <v>2018</v>
      </c>
      <c r="B28" s="3306" t="s">
        <v>3164</v>
      </c>
      <c r="C28" s="3327" t="s">
        <v>3165</v>
      </c>
      <c r="D28" s="3328" t="s">
        <v>3075</v>
      </c>
      <c r="E28" s="3328" t="s">
        <v>3046</v>
      </c>
      <c r="F28" s="3328" t="s">
        <v>3166</v>
      </c>
      <c r="G28" s="3328" t="s">
        <v>3167</v>
      </c>
      <c r="H28" s="3328" t="s">
        <v>3055</v>
      </c>
      <c r="I28" s="3328" t="s">
        <v>3168</v>
      </c>
      <c r="J28" s="3328" t="s">
        <v>3169</v>
      </c>
      <c r="K28" s="3324">
        <v>49.58</v>
      </c>
      <c r="L28" s="3289">
        <v>61873.95</v>
      </c>
      <c r="M28" s="3289">
        <v>240341.82</v>
      </c>
      <c r="N28" s="3304">
        <f t="shared" si="1"/>
        <v>6095.5177490923761</v>
      </c>
    </row>
    <row r="29" spans="1:17" s="3293" customFormat="1" ht="95.25" hidden="1" customHeight="1">
      <c r="A29" s="3318">
        <v>2018</v>
      </c>
      <c r="B29" s="3306" t="s">
        <v>3164</v>
      </c>
      <c r="C29" s="3327" t="s">
        <v>3165</v>
      </c>
      <c r="D29" s="3328" t="s">
        <v>3170</v>
      </c>
      <c r="E29" s="3328" t="s">
        <v>3046</v>
      </c>
      <c r="F29" s="3328" t="s">
        <v>3171</v>
      </c>
      <c r="G29" s="3328" t="s">
        <v>3172</v>
      </c>
      <c r="H29" s="3328" t="s">
        <v>3055</v>
      </c>
      <c r="I29" s="3328" t="s">
        <v>3173</v>
      </c>
      <c r="J29" s="3328" t="s">
        <v>3174</v>
      </c>
      <c r="K29" s="3329">
        <v>113.32</v>
      </c>
      <c r="L29" s="3289">
        <v>84598.35</v>
      </c>
      <c r="M29" s="3289">
        <v>378467.53</v>
      </c>
      <c r="N29" s="3292">
        <f t="shared" si="1"/>
        <v>4086.3561595481824</v>
      </c>
    </row>
    <row r="30" spans="1:17" s="3293" customFormat="1" ht="95.25" customHeight="1">
      <c r="A30" s="3318">
        <v>2018</v>
      </c>
      <c r="B30" s="3306" t="s">
        <v>3164</v>
      </c>
      <c r="C30" s="3294">
        <v>12</v>
      </c>
      <c r="D30" s="3328" t="s">
        <v>3125</v>
      </c>
      <c r="E30" s="3328" t="s">
        <v>3046</v>
      </c>
      <c r="F30" s="3328" t="s">
        <v>3175</v>
      </c>
      <c r="G30" s="3328" t="s">
        <v>3100</v>
      </c>
      <c r="H30" s="3328" t="s">
        <v>3055</v>
      </c>
      <c r="I30" s="3328" t="s">
        <v>3176</v>
      </c>
      <c r="J30" s="3328" t="s">
        <v>3177</v>
      </c>
      <c r="K30" s="3324">
        <v>239.14</v>
      </c>
      <c r="L30" s="3289">
        <v>61695.44</v>
      </c>
      <c r="M30" s="3289">
        <v>859650.5</v>
      </c>
      <c r="N30" s="3292">
        <f t="shared" si="1"/>
        <v>3852.7470937526136</v>
      </c>
    </row>
    <row r="31" spans="1:17" s="3293" customFormat="1" ht="120" hidden="1" customHeight="1">
      <c r="A31" s="3318">
        <v>2018</v>
      </c>
      <c r="B31" s="3306" t="s">
        <v>3164</v>
      </c>
      <c r="C31" s="3294" t="s">
        <v>3165</v>
      </c>
      <c r="D31" s="3328" t="s">
        <v>3109</v>
      </c>
      <c r="E31" s="3328" t="s">
        <v>3046</v>
      </c>
      <c r="F31" s="3328" t="s">
        <v>3178</v>
      </c>
      <c r="G31" s="3328" t="s">
        <v>3179</v>
      </c>
      <c r="H31" s="3328" t="s">
        <v>3055</v>
      </c>
      <c r="I31" s="3328" t="s">
        <v>3180</v>
      </c>
      <c r="J31" s="3328" t="s">
        <v>3181</v>
      </c>
      <c r="K31" s="3324">
        <v>129.57</v>
      </c>
      <c r="L31" s="3289">
        <v>164075.88</v>
      </c>
      <c r="M31" s="3289">
        <v>363152.48</v>
      </c>
      <c r="N31" s="3292">
        <f t="shared" si="1"/>
        <v>4069.061974222428</v>
      </c>
    </row>
    <row r="32" spans="1:17" s="3293" customFormat="1" ht="72">
      <c r="A32" s="3318">
        <v>2018</v>
      </c>
      <c r="B32" s="3306" t="s">
        <v>3159</v>
      </c>
      <c r="C32" s="3294" t="s">
        <v>3165</v>
      </c>
      <c r="D32" s="3328" t="s">
        <v>3125</v>
      </c>
      <c r="E32" s="3328" t="s">
        <v>3046</v>
      </c>
      <c r="F32" s="3328" t="s">
        <v>3182</v>
      </c>
      <c r="G32" s="3328" t="s">
        <v>3100</v>
      </c>
      <c r="H32" s="3328" t="s">
        <v>3055</v>
      </c>
      <c r="I32" s="3328" t="s">
        <v>3183</v>
      </c>
      <c r="J32" s="3328" t="s">
        <v>3184</v>
      </c>
      <c r="K32" s="3324">
        <v>55.01</v>
      </c>
      <c r="L32" s="3289">
        <v>61454.45</v>
      </c>
      <c r="M32" s="3289">
        <v>558371.41</v>
      </c>
      <c r="N32" s="3292">
        <f t="shared" si="1"/>
        <v>11267.512452281404</v>
      </c>
    </row>
    <row r="33" spans="11:14">
      <c r="K33" s="3330">
        <f>SUBTOTAL(9,K10:K32)</f>
        <v>1551.4399999999998</v>
      </c>
      <c r="L33" s="3331">
        <f>SUBTOTAL(9,L10:L32)</f>
        <v>777517.59000000008</v>
      </c>
      <c r="M33" s="3331">
        <f>SUBTOTAL(9,M10:M32)</f>
        <v>5385657.1799999997</v>
      </c>
      <c r="N33" s="3284">
        <f>(L33+M33)/K33</f>
        <v>3972.5511589233229</v>
      </c>
    </row>
    <row r="34" spans="11:14">
      <c r="K34" s="3330"/>
      <c r="M34" s="3332"/>
    </row>
    <row r="35" spans="11:14">
      <c r="K35" s="3330"/>
    </row>
    <row r="36" spans="11:14">
      <c r="K36" s="3330"/>
    </row>
    <row r="37" spans="11:14">
      <c r="K37" s="3330"/>
    </row>
    <row r="38" spans="11:14">
      <c r="K38" s="3330"/>
    </row>
    <row r="39" spans="11:14">
      <c r="K39" s="3330"/>
    </row>
    <row r="40" spans="11:14">
      <c r="K40" s="3330"/>
    </row>
    <row r="41" spans="11:14">
      <c r="K41" s="3330"/>
    </row>
    <row r="42" spans="11:14">
      <c r="K42" s="3330"/>
    </row>
    <row r="43" spans="11:14">
      <c r="K43" s="3330"/>
    </row>
    <row r="44" spans="11:14">
      <c r="K44" s="3330"/>
    </row>
    <row r="45" spans="11:14">
      <c r="K45" s="3330"/>
    </row>
    <row r="46" spans="11:14">
      <c r="K46" s="3330"/>
    </row>
    <row r="47" spans="11:14">
      <c r="K47" s="3330"/>
    </row>
    <row r="48" spans="11:14">
      <c r="K48" s="3330"/>
    </row>
    <row r="49" spans="11:11">
      <c r="K49" s="3330"/>
    </row>
    <row r="50" spans="11:11">
      <c r="K50" s="3330"/>
    </row>
    <row r="51" spans="11:11">
      <c r="K51" s="3330"/>
    </row>
    <row r="52" spans="11:11">
      <c r="K52" s="3330"/>
    </row>
    <row r="53" spans="11:11">
      <c r="K53" s="3330"/>
    </row>
    <row r="54" spans="11:11">
      <c r="K54" s="3330"/>
    </row>
    <row r="55" spans="11:11">
      <c r="K55" s="3330"/>
    </row>
    <row r="56" spans="11:11">
      <c r="K56" s="3330"/>
    </row>
    <row r="57" spans="11:11">
      <c r="K57" s="3330"/>
    </row>
    <row r="58" spans="11:11">
      <c r="K58" s="3330"/>
    </row>
    <row r="59" spans="11:11">
      <c r="K59" s="3330"/>
    </row>
    <row r="60" spans="11:11">
      <c r="K60" s="3330"/>
    </row>
    <row r="61" spans="11:11">
      <c r="K61" s="3330"/>
    </row>
    <row r="62" spans="11:11">
      <c r="K62" s="3330"/>
    </row>
  </sheetData>
  <autoFilter ref="A3:K32">
    <filterColumn colId="3">
      <filters>
        <filter val="大兴"/>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{DE76B3D6-9ABB-4C53-A790-F5A1DDA449C4}</x14:id>
        </ext>
      </extLst>
    </cfRule>
  </conditionalFormatting>
  <conditionalFormatting sqref="B27">
    <cfRule type="dataBar" priority="6">
      <dataBar>
        <cfvo type="min"/>
        <cfvo type="max"/>
        <color rgb="FF638EC6"/>
      </dataBar>
      <extLst>
        <ext xmlns:x14="http://schemas.microsoft.com/office/spreadsheetml/2009/9/main" uri="{B025F937-C7B1-47D3-B67F-A62EFF666E3E}">
          <x14:id>{B8AAADE5-D145-48FB-9157-F39C856CEE39}</x14:id>
        </ext>
      </extLst>
    </cfRule>
  </conditionalFormatting>
  <conditionalFormatting sqref="B28">
    <cfRule type="dataBar" priority="5">
      <dataBar>
        <cfvo type="min"/>
        <cfvo type="max"/>
        <color rgb="FF638EC6"/>
      </dataBar>
      <extLst>
        <ext xmlns:x14="http://schemas.microsoft.com/office/spreadsheetml/2009/9/main" uri="{B025F937-C7B1-47D3-B67F-A62EFF666E3E}">
          <x14:id>{B596F69F-957C-4BE7-A61D-41B199717EA4}</x14:id>
        </ext>
      </extLst>
    </cfRule>
  </conditionalFormatting>
  <conditionalFormatting sqref="B29">
    <cfRule type="dataBar" priority="4">
      <dataBar>
        <cfvo type="min"/>
        <cfvo type="max"/>
        <color rgb="FF638EC6"/>
      </dataBar>
      <extLst>
        <ext xmlns:x14="http://schemas.microsoft.com/office/spreadsheetml/2009/9/main" uri="{B025F937-C7B1-47D3-B67F-A62EFF666E3E}">
          <x14:id>{23C44D02-1C9F-4EB7-981A-E3C3DE66B72E}</x14:id>
        </ext>
      </extLst>
    </cfRule>
  </conditionalFormatting>
  <conditionalFormatting sqref="B30">
    <cfRule type="dataBar" priority="3">
      <dataBar>
        <cfvo type="min"/>
        <cfvo type="max"/>
        <color rgb="FF638EC6"/>
      </dataBar>
      <extLst>
        <ext xmlns:x14="http://schemas.microsoft.com/office/spreadsheetml/2009/9/main" uri="{B025F937-C7B1-47D3-B67F-A62EFF666E3E}">
          <x14:id>{8E4F7043-4EDD-47B3-8EBE-835947351D8A}</x14:id>
        </ext>
      </extLst>
    </cfRule>
  </conditionalFormatting>
  <conditionalFormatting sqref="B31">
    <cfRule type="dataBar" priority="2">
      <dataBar>
        <cfvo type="min"/>
        <cfvo type="max"/>
        <color rgb="FF638EC6"/>
      </dataBar>
      <extLst>
        <ext xmlns:x14="http://schemas.microsoft.com/office/spreadsheetml/2009/9/main" uri="{B025F937-C7B1-47D3-B67F-A62EFF666E3E}">
          <x14:id>{1CD62F38-AD13-41BA-8C7C-0DA3E2F9070E}</x14:id>
        </ext>
      </extLst>
    </cfRule>
  </conditionalFormatting>
  <conditionalFormatting sqref="B32">
    <cfRule type="dataBar" priority="1">
      <dataBar>
        <cfvo type="min"/>
        <cfvo type="max"/>
        <color rgb="FF638EC6"/>
      </dataBar>
      <extLst>
        <ext xmlns:x14="http://schemas.microsoft.com/office/spreadsheetml/2009/9/main" uri="{B025F937-C7B1-47D3-B67F-A62EFF666E3E}">
          <x14:id>{453A7C1D-FFBD-4F39-9715-D7ED1A58D44E}</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DE76B3D6-9ABB-4C53-A790-F5A1DDA449C4}">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B8AAADE5-D145-48FB-9157-F39C856CEE39}">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B596F69F-957C-4BE7-A61D-41B199717EA4}">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23C44D02-1C9F-4EB7-981A-E3C3DE66B72E}">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8E4F7043-4EDD-47B3-8EBE-835947351D8A}">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1CD62F38-AD13-41BA-8C7C-0DA3E2F9070E}">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453A7C1D-FFBD-4F39-9715-D7ED1A58D44E}">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P62"/>
  <sheetViews>
    <sheetView zoomScale="80" zoomScaleNormal="80" workbookViewId="0">
      <pane xSplit="6" ySplit="3" topLeftCell="K4" activePane="bottomRight" state="frozen"/>
      <selection pane="topRight" activeCell="H1" sqref="H1"/>
      <selection pane="bottomLeft" activeCell="A4" sqref="A4"/>
      <selection pane="bottomRight" activeCell="N16" sqref="N16"/>
    </sheetView>
  </sheetViews>
  <sheetFormatPr defaultRowHeight="11.25"/>
  <cols>
    <col min="1" max="1" width="5.5" style="3331" customWidth="1"/>
    <col min="2" max="2" width="7.25" style="3331" hidden="1" customWidth="1"/>
    <col min="3" max="3" width="4.875" style="3331" bestFit="1" customWidth="1"/>
    <col min="4" max="4" width="7.125" style="3284" customWidth="1"/>
    <col min="5" max="5" width="8.25" style="3284" hidden="1" customWidth="1"/>
    <col min="6" max="6" width="18.125" style="3284" customWidth="1"/>
    <col min="7" max="7" width="13.75" style="3284" hidden="1" customWidth="1"/>
    <col min="8" max="8" width="8" style="3284" hidden="1" customWidth="1"/>
    <col min="9" max="9" width="13.375" style="3284" hidden="1" customWidth="1"/>
    <col min="10" max="10" width="36.625" style="3284" hidden="1" customWidth="1"/>
    <col min="11" max="11" width="14.375" style="3284" customWidth="1"/>
    <col min="12" max="13" width="17.75" style="3331" customWidth="1"/>
    <col min="14" max="16384" width="9" style="3284"/>
  </cols>
  <sheetData>
    <row r="1" spans="1:16" ht="39.75" customHeight="1">
      <c r="A1" s="3643" t="s">
        <v>3186</v>
      </c>
      <c r="B1" s="3644"/>
      <c r="C1" s="3644"/>
      <c r="D1" s="3644"/>
      <c r="E1" s="3644"/>
      <c r="F1" s="3644"/>
      <c r="G1" s="3644"/>
      <c r="H1" s="3644"/>
      <c r="I1" s="3644"/>
      <c r="J1" s="3644"/>
      <c r="K1" s="3644"/>
      <c r="L1" s="3644"/>
      <c r="M1" s="3644"/>
    </row>
    <row r="2" spans="1:16" ht="23.25" customHeight="1">
      <c r="A2" s="3639" t="s">
        <v>3187</v>
      </c>
      <c r="B2" s="3639" t="s">
        <v>3188</v>
      </c>
      <c r="C2" s="3639" t="s">
        <v>3189</v>
      </c>
      <c r="D2" s="3645" t="s">
        <v>3190</v>
      </c>
      <c r="E2" s="3645" t="s">
        <v>3191</v>
      </c>
      <c r="F2" s="3639" t="s">
        <v>3026</v>
      </c>
      <c r="G2" s="3639" t="s">
        <v>3027</v>
      </c>
      <c r="H2" s="3639" t="s">
        <v>3028</v>
      </c>
      <c r="I2" s="3639" t="s">
        <v>3029</v>
      </c>
      <c r="J2" s="3639" t="s">
        <v>3030</v>
      </c>
      <c r="K2" s="3641" t="s">
        <v>3192</v>
      </c>
      <c r="L2" s="3642" t="s">
        <v>3193</v>
      </c>
      <c r="M2" s="3642"/>
    </row>
    <row r="3" spans="1:16" s="3286" customFormat="1" ht="23.25" customHeight="1">
      <c r="A3" s="3640"/>
      <c r="B3" s="3640"/>
      <c r="C3" s="3640"/>
      <c r="D3" s="3646"/>
      <c r="E3" s="3646"/>
      <c r="F3" s="3640"/>
      <c r="G3" s="3640"/>
      <c r="H3" s="3640"/>
      <c r="I3" s="3640"/>
      <c r="J3" s="3640"/>
      <c r="K3" s="3641"/>
      <c r="L3" s="3285" t="s">
        <v>3194</v>
      </c>
      <c r="M3" s="3285" t="s">
        <v>3195</v>
      </c>
    </row>
    <row r="4" spans="1:16" s="3293" customFormat="1" ht="95.25" hidden="1" customHeight="1">
      <c r="A4" s="3287">
        <v>2016</v>
      </c>
      <c r="B4" s="3288" t="s">
        <v>3196</v>
      </c>
      <c r="C4" s="3288" t="s">
        <v>3197</v>
      </c>
      <c r="D4" s="3289" t="s">
        <v>3198</v>
      </c>
      <c r="E4" s="3289" t="s">
        <v>3199</v>
      </c>
      <c r="F4" s="3290" t="s">
        <v>3200</v>
      </c>
      <c r="G4" s="3289" t="s">
        <v>3201</v>
      </c>
      <c r="H4" s="3289" t="s">
        <v>3202</v>
      </c>
      <c r="I4" s="3289" t="s">
        <v>3203</v>
      </c>
      <c r="J4" s="3289" t="s">
        <v>3204</v>
      </c>
      <c r="K4" s="3291">
        <v>16.73</v>
      </c>
      <c r="L4" s="3289">
        <v>15586.51</v>
      </c>
      <c r="M4" s="3289">
        <v>24154.36</v>
      </c>
      <c r="N4" s="3292">
        <f t="shared" ref="N4:N9" si="0">(L4+M4)/K4</f>
        <v>2375.4255827854154</v>
      </c>
    </row>
    <row r="5" spans="1:16" s="3293" customFormat="1" ht="95.25" hidden="1" customHeight="1">
      <c r="A5" s="3287">
        <v>2016</v>
      </c>
      <c r="B5" s="3288" t="s">
        <v>3196</v>
      </c>
      <c r="C5" s="3288" t="s">
        <v>3197</v>
      </c>
      <c r="D5" s="3289" t="s">
        <v>3198</v>
      </c>
      <c r="E5" s="3289" t="s">
        <v>3199</v>
      </c>
      <c r="F5" s="3290" t="s">
        <v>3205</v>
      </c>
      <c r="G5" s="3289" t="s">
        <v>3201</v>
      </c>
      <c r="H5" s="3289" t="s">
        <v>3202</v>
      </c>
      <c r="I5" s="3289" t="s">
        <v>3206</v>
      </c>
      <c r="J5" s="3289" t="s">
        <v>3204</v>
      </c>
      <c r="K5" s="3294">
        <v>39.770000000000003</v>
      </c>
      <c r="L5" s="3289">
        <v>17716.41</v>
      </c>
      <c r="M5" s="3289">
        <v>2390.64</v>
      </c>
      <c r="N5" s="3292">
        <f t="shared" si="0"/>
        <v>505.58335428715105</v>
      </c>
    </row>
    <row r="6" spans="1:16" s="3293" customFormat="1" ht="95.25" hidden="1" customHeight="1">
      <c r="A6" s="3287">
        <v>2016</v>
      </c>
      <c r="B6" s="3288" t="s">
        <v>3196</v>
      </c>
      <c r="C6" s="3288" t="s">
        <v>3197</v>
      </c>
      <c r="D6" s="3289" t="s">
        <v>3198</v>
      </c>
      <c r="E6" s="3295" t="s">
        <v>3046</v>
      </c>
      <c r="F6" s="3290" t="s">
        <v>3207</v>
      </c>
      <c r="G6" s="3295" t="s">
        <v>3048</v>
      </c>
      <c r="H6" s="3295" t="s">
        <v>3202</v>
      </c>
      <c r="I6" s="3295" t="s">
        <v>3049</v>
      </c>
      <c r="J6" s="3289" t="s">
        <v>3208</v>
      </c>
      <c r="K6" s="3294">
        <v>663.6</v>
      </c>
      <c r="L6" s="3289">
        <v>191909.86</v>
      </c>
      <c r="M6" s="3289">
        <v>204137.8</v>
      </c>
      <c r="N6" s="3292">
        <f t="shared" si="0"/>
        <v>596.81684749849296</v>
      </c>
    </row>
    <row r="7" spans="1:16" s="3293" customFormat="1" ht="95.25" hidden="1" customHeight="1">
      <c r="A7" s="3287">
        <v>2016</v>
      </c>
      <c r="B7" s="3288" t="s">
        <v>3209</v>
      </c>
      <c r="C7" s="3288" t="s">
        <v>3210</v>
      </c>
      <c r="D7" s="3296" t="s">
        <v>3198</v>
      </c>
      <c r="E7" s="3296" t="s">
        <v>3046</v>
      </c>
      <c r="F7" s="3290" t="s">
        <v>3211</v>
      </c>
      <c r="G7" s="3297" t="s">
        <v>3212</v>
      </c>
      <c r="H7" s="3296" t="s">
        <v>3055</v>
      </c>
      <c r="I7" s="3296" t="s">
        <v>3056</v>
      </c>
      <c r="J7" s="3296" t="s">
        <v>3213</v>
      </c>
      <c r="K7" s="3294">
        <v>129.57</v>
      </c>
      <c r="L7" s="3289">
        <v>122822.85</v>
      </c>
      <c r="M7" s="3289">
        <v>403475</v>
      </c>
      <c r="N7" s="3292">
        <f t="shared" si="0"/>
        <v>4061.8804507216178</v>
      </c>
    </row>
    <row r="8" spans="1:16" s="3292" customFormat="1" ht="95.25" hidden="1" customHeight="1">
      <c r="A8" s="3287">
        <v>2017</v>
      </c>
      <c r="B8" s="3298" t="s">
        <v>3058</v>
      </c>
      <c r="C8" s="3298" t="s">
        <v>3214</v>
      </c>
      <c r="D8" s="3296" t="s">
        <v>3198</v>
      </c>
      <c r="E8" s="3299" t="s">
        <v>3046</v>
      </c>
      <c r="F8" s="3290" t="s">
        <v>3215</v>
      </c>
      <c r="G8" s="3297" t="s">
        <v>3212</v>
      </c>
      <c r="H8" s="3299" t="s">
        <v>3055</v>
      </c>
      <c r="I8" s="3299" t="s">
        <v>3061</v>
      </c>
      <c r="J8" s="3300" t="s">
        <v>3216</v>
      </c>
      <c r="K8" s="3294">
        <v>34.26</v>
      </c>
      <c r="L8" s="3289">
        <v>38931.19</v>
      </c>
      <c r="M8" s="3289">
        <v>64775.53</v>
      </c>
      <c r="N8" s="3292">
        <f t="shared" si="0"/>
        <v>3027.0496205487452</v>
      </c>
    </row>
    <row r="9" spans="1:16" s="3292" customFormat="1" ht="95.25" hidden="1" customHeight="1">
      <c r="A9" s="3287">
        <v>2017</v>
      </c>
      <c r="B9" s="3298" t="s">
        <v>3058</v>
      </c>
      <c r="C9" s="3298" t="s">
        <v>3214</v>
      </c>
      <c r="D9" s="3296" t="s">
        <v>3198</v>
      </c>
      <c r="E9" s="3296" t="s">
        <v>3046</v>
      </c>
      <c r="F9" s="3290" t="s">
        <v>3217</v>
      </c>
      <c r="G9" s="3296" t="s">
        <v>3212</v>
      </c>
      <c r="H9" s="3296" t="s">
        <v>3055</v>
      </c>
      <c r="I9" s="3296" t="s">
        <v>3203</v>
      </c>
      <c r="J9" s="3296" t="s">
        <v>3218</v>
      </c>
      <c r="K9" s="3294">
        <v>51.07</v>
      </c>
      <c r="L9" s="3289">
        <v>33012.44</v>
      </c>
      <c r="M9" s="3289">
        <v>46402.36</v>
      </c>
      <c r="N9" s="3292">
        <f t="shared" si="0"/>
        <v>1555.0186019189348</v>
      </c>
    </row>
    <row r="10" spans="1:16" s="3292" customFormat="1" ht="67.5" hidden="1" customHeight="1">
      <c r="A10" s="3287">
        <v>2017</v>
      </c>
      <c r="B10" s="3298" t="s">
        <v>3058</v>
      </c>
      <c r="C10" s="3298" t="s">
        <v>3214</v>
      </c>
      <c r="D10" s="3297" t="s">
        <v>3219</v>
      </c>
      <c r="E10" s="3297" t="s">
        <v>3046</v>
      </c>
      <c r="F10" s="3290" t="s">
        <v>3220</v>
      </c>
      <c r="G10" s="3297" t="s">
        <v>3221</v>
      </c>
      <c r="H10" s="3297" t="s">
        <v>3202</v>
      </c>
      <c r="I10" s="3301" t="s">
        <v>3222</v>
      </c>
      <c r="J10" s="3301" t="s">
        <v>3223</v>
      </c>
      <c r="K10" s="3289">
        <v>96.99</v>
      </c>
      <c r="L10" s="3289">
        <v>51676.39</v>
      </c>
      <c r="M10" s="3289">
        <v>172115.08</v>
      </c>
      <c r="N10" s="3292">
        <f>(L10+M10)/K10</f>
        <v>2307.3664295288172</v>
      </c>
    </row>
    <row r="11" spans="1:16" s="3292" customFormat="1" ht="95.25" hidden="1" customHeight="1">
      <c r="A11" s="3287">
        <v>2017</v>
      </c>
      <c r="B11" s="3298" t="s">
        <v>3058</v>
      </c>
      <c r="C11" s="3298" t="s">
        <v>3214</v>
      </c>
      <c r="D11" s="3297" t="s">
        <v>3219</v>
      </c>
      <c r="E11" s="3297" t="s">
        <v>3046</v>
      </c>
      <c r="F11" s="3290" t="s">
        <v>3224</v>
      </c>
      <c r="G11" s="3297" t="s">
        <v>3225</v>
      </c>
      <c r="H11" s="3297" t="s">
        <v>3202</v>
      </c>
      <c r="I11" s="3301" t="s">
        <v>3226</v>
      </c>
      <c r="J11" s="3302" t="s">
        <v>3227</v>
      </c>
      <c r="K11" s="3303">
        <v>49.52</v>
      </c>
      <c r="L11" s="3289">
        <v>25737.439999999999</v>
      </c>
      <c r="M11" s="3289">
        <v>180122.23999999999</v>
      </c>
      <c r="N11" s="3292">
        <f t="shared" ref="N11:N32" si="1">(L11+M11)/K11</f>
        <v>4157.1017770597737</v>
      </c>
    </row>
    <row r="12" spans="1:16" s="3292" customFormat="1" ht="45.75" hidden="1" customHeight="1">
      <c r="A12" s="3287">
        <v>2017</v>
      </c>
      <c r="B12" s="3298" t="s">
        <v>3058</v>
      </c>
      <c r="C12" s="3298" t="s">
        <v>3214</v>
      </c>
      <c r="D12" s="3297" t="s">
        <v>3075</v>
      </c>
      <c r="E12" s="3297" t="s">
        <v>3046</v>
      </c>
      <c r="F12" s="3290" t="s">
        <v>3228</v>
      </c>
      <c r="G12" s="3297" t="s">
        <v>3229</v>
      </c>
      <c r="H12" s="3299" t="s">
        <v>3055</v>
      </c>
      <c r="I12" s="3301" t="s">
        <v>3078</v>
      </c>
      <c r="J12" s="3289" t="s">
        <v>3230</v>
      </c>
      <c r="K12" s="3294">
        <v>116.6</v>
      </c>
      <c r="L12" s="3289">
        <v>138739.75</v>
      </c>
      <c r="M12" s="3289">
        <v>441601.69</v>
      </c>
      <c r="N12" s="3304">
        <f t="shared" si="1"/>
        <v>4977.1993138936532</v>
      </c>
    </row>
    <row r="13" spans="1:16" s="3305" customFormat="1" ht="96" hidden="1">
      <c r="A13" s="3287">
        <v>2017</v>
      </c>
      <c r="B13" s="3299" t="s">
        <v>3231</v>
      </c>
      <c r="C13" s="3299" t="s">
        <v>3232</v>
      </c>
      <c r="D13" s="3299" t="s">
        <v>3233</v>
      </c>
      <c r="E13" s="3299" t="s">
        <v>3199</v>
      </c>
      <c r="F13" s="3297" t="s">
        <v>3234</v>
      </c>
      <c r="G13" s="3297" t="s">
        <v>3235</v>
      </c>
      <c r="H13" s="3297" t="s">
        <v>3202</v>
      </c>
      <c r="I13" s="3301" t="s">
        <v>3236</v>
      </c>
      <c r="J13" s="3302" t="s">
        <v>3237</v>
      </c>
      <c r="K13" s="3291">
        <v>33.36</v>
      </c>
      <c r="L13" s="3289">
        <v>16588.11</v>
      </c>
      <c r="M13" s="3289">
        <v>13953.2</v>
      </c>
      <c r="N13" s="3292">
        <f t="shared" si="1"/>
        <v>915.50689448441256</v>
      </c>
    </row>
    <row r="14" spans="1:16" s="3307" customFormat="1" ht="48" hidden="1" customHeight="1">
      <c r="A14" s="3287">
        <v>2017</v>
      </c>
      <c r="B14" s="3306" t="s">
        <v>3089</v>
      </c>
      <c r="C14" s="3306" t="s">
        <v>3238</v>
      </c>
      <c r="D14" s="3297" t="s">
        <v>3219</v>
      </c>
      <c r="E14" s="3297" t="s">
        <v>3046</v>
      </c>
      <c r="F14" s="3299" t="s">
        <v>3239</v>
      </c>
      <c r="G14" s="3297" t="s">
        <v>3240</v>
      </c>
      <c r="H14" s="3297" t="s">
        <v>3202</v>
      </c>
      <c r="I14" s="3301" t="s">
        <v>3241</v>
      </c>
      <c r="J14" s="3301" t="s">
        <v>3242</v>
      </c>
      <c r="K14" s="3289">
        <v>19.994820000000001</v>
      </c>
      <c r="L14" s="3289">
        <v>4110.28</v>
      </c>
      <c r="M14" s="3289">
        <v>1634.87</v>
      </c>
      <c r="N14" s="3292">
        <f t="shared" si="1"/>
        <v>287.33191896701243</v>
      </c>
    </row>
    <row r="15" spans="1:16" s="3305" customFormat="1" ht="95.25" customHeight="1">
      <c r="A15" s="3287">
        <v>2017</v>
      </c>
      <c r="B15" s="3298" t="s">
        <v>3096</v>
      </c>
      <c r="C15" s="3298" t="s">
        <v>3243</v>
      </c>
      <c r="D15" s="3297" t="s">
        <v>3244</v>
      </c>
      <c r="E15" s="3297" t="s">
        <v>3046</v>
      </c>
      <c r="F15" s="3297" t="s">
        <v>3245</v>
      </c>
      <c r="G15" s="3297" t="s">
        <v>3100</v>
      </c>
      <c r="H15" s="3297" t="s">
        <v>3055</v>
      </c>
      <c r="I15" s="3301" t="s">
        <v>3101</v>
      </c>
      <c r="J15" s="3302" t="s">
        <v>3246</v>
      </c>
      <c r="K15" s="3308">
        <v>72.180000000000007</v>
      </c>
      <c r="L15" s="3289">
        <v>20148.59</v>
      </c>
      <c r="M15" s="3289">
        <v>195592.13</v>
      </c>
      <c r="N15" s="3292">
        <f t="shared" si="1"/>
        <v>2988.9265724577444</v>
      </c>
      <c r="P15" s="3305">
        <f>(N24+N20+N22+N30+N16+N15)/6</f>
        <v>3962.5411932959341</v>
      </c>
    </row>
    <row r="16" spans="1:16" s="3305" customFormat="1" ht="95.25" customHeight="1">
      <c r="A16" s="3287">
        <v>2017</v>
      </c>
      <c r="B16" s="3298" t="s">
        <v>3096</v>
      </c>
      <c r="C16" s="3298" t="s">
        <v>3243</v>
      </c>
      <c r="D16" s="3297" t="s">
        <v>3244</v>
      </c>
      <c r="E16" s="3297" t="s">
        <v>3046</v>
      </c>
      <c r="F16" s="3297" t="s">
        <v>3247</v>
      </c>
      <c r="G16" s="3297" t="s">
        <v>3248</v>
      </c>
      <c r="H16" s="3297" t="s">
        <v>3055</v>
      </c>
      <c r="I16" s="3301" t="s">
        <v>3249</v>
      </c>
      <c r="J16" s="3309" t="s">
        <v>3250</v>
      </c>
      <c r="K16" s="3294">
        <v>148.19999999999999</v>
      </c>
      <c r="L16" s="3289">
        <v>46469.07</v>
      </c>
      <c r="M16" s="3289">
        <v>462882.97</v>
      </c>
      <c r="N16" s="3292">
        <f t="shared" si="1"/>
        <v>3436.9233468286102</v>
      </c>
    </row>
    <row r="17" spans="1:14" s="3310" customFormat="1" ht="95.25" hidden="1" customHeight="1">
      <c r="A17" s="3287">
        <v>2017</v>
      </c>
      <c r="B17" s="3306" t="s">
        <v>3107</v>
      </c>
      <c r="C17" s="3306" t="s">
        <v>3210</v>
      </c>
      <c r="D17" s="3297" t="s">
        <v>3109</v>
      </c>
      <c r="E17" s="3297" t="s">
        <v>3046</v>
      </c>
      <c r="F17" s="3297" t="s">
        <v>3110</v>
      </c>
      <c r="G17" s="3297" t="s">
        <v>3111</v>
      </c>
      <c r="H17" s="3297" t="s">
        <v>3055</v>
      </c>
      <c r="I17" s="3301" t="s">
        <v>3112</v>
      </c>
      <c r="J17" s="3301" t="s">
        <v>3113</v>
      </c>
      <c r="K17" s="3294">
        <v>89.78</v>
      </c>
      <c r="L17" s="3289">
        <v>52725.51</v>
      </c>
      <c r="M17" s="3289">
        <v>150160.9</v>
      </c>
      <c r="N17" s="3292">
        <f t="shared" si="1"/>
        <v>2259.8174426375585</v>
      </c>
    </row>
    <row r="18" spans="1:14" s="3305" customFormat="1" ht="95.25" hidden="1" customHeight="1">
      <c r="A18" s="3287">
        <v>2017</v>
      </c>
      <c r="B18" s="3306" t="s">
        <v>3107</v>
      </c>
      <c r="C18" s="3306" t="s">
        <v>3210</v>
      </c>
      <c r="D18" s="3297" t="s">
        <v>3109</v>
      </c>
      <c r="E18" s="3297" t="s">
        <v>3046</v>
      </c>
      <c r="F18" s="3297" t="s">
        <v>3114</v>
      </c>
      <c r="G18" s="3297" t="s">
        <v>3115</v>
      </c>
      <c r="H18" s="3297" t="s">
        <v>3055</v>
      </c>
      <c r="I18" s="3301" t="s">
        <v>3116</v>
      </c>
      <c r="J18" s="3311" t="s">
        <v>3117</v>
      </c>
      <c r="K18" s="3294">
        <v>146.24</v>
      </c>
      <c r="L18" s="3289">
        <v>73331.179999999993</v>
      </c>
      <c r="M18" s="3289">
        <v>459399.64</v>
      </c>
      <c r="N18" s="3292">
        <f t="shared" si="1"/>
        <v>3642.8529814004378</v>
      </c>
    </row>
    <row r="19" spans="1:14" s="3305" customFormat="1" ht="51" hidden="1" customHeight="1">
      <c r="A19" s="3287">
        <v>2017</v>
      </c>
      <c r="B19" s="3306" t="s">
        <v>3118</v>
      </c>
      <c r="C19" s="3306" t="s">
        <v>3210</v>
      </c>
      <c r="D19" s="3297" t="s">
        <v>3219</v>
      </c>
      <c r="E19" s="3297" t="s">
        <v>3046</v>
      </c>
      <c r="F19" s="3297" t="s">
        <v>3251</v>
      </c>
      <c r="G19" s="3297" t="s">
        <v>3252</v>
      </c>
      <c r="H19" s="3297" t="s">
        <v>3202</v>
      </c>
      <c r="I19" s="3301" t="s">
        <v>3253</v>
      </c>
      <c r="J19" s="3301" t="s">
        <v>3254</v>
      </c>
      <c r="K19" s="3289">
        <v>132.25</v>
      </c>
      <c r="L19" s="3289">
        <v>24298.5</v>
      </c>
      <c r="M19" s="3289">
        <v>107594.55</v>
      </c>
      <c r="N19" s="3292">
        <f t="shared" si="1"/>
        <v>997.30094517958401</v>
      </c>
    </row>
    <row r="20" spans="1:14" s="3316" customFormat="1" ht="95.25" customHeight="1">
      <c r="A20" s="3287">
        <v>2017</v>
      </c>
      <c r="B20" s="3306" t="s">
        <v>3118</v>
      </c>
      <c r="C20" s="3312" t="s">
        <v>3210</v>
      </c>
      <c r="D20" s="3313" t="s">
        <v>3125</v>
      </c>
      <c r="E20" s="3297" t="s">
        <v>3199</v>
      </c>
      <c r="F20" s="3314" t="s">
        <v>3255</v>
      </c>
      <c r="G20" s="3297" t="s">
        <v>3100</v>
      </c>
      <c r="H20" s="3297" t="s">
        <v>3055</v>
      </c>
      <c r="I20" s="3315" t="s">
        <v>3256</v>
      </c>
      <c r="J20" s="3315" t="s">
        <v>3257</v>
      </c>
      <c r="K20" s="3294">
        <v>217.58</v>
      </c>
      <c r="L20" s="3289">
        <v>106922.18</v>
      </c>
      <c r="M20" s="3289">
        <v>1002860.16</v>
      </c>
      <c r="N20" s="3292">
        <f t="shared" si="1"/>
        <v>5100.5714679658058</v>
      </c>
    </row>
    <row r="21" spans="1:14" s="3293" customFormat="1" ht="95.25" hidden="1" customHeight="1">
      <c r="A21" s="3317">
        <v>2018</v>
      </c>
      <c r="B21" s="3306" t="s">
        <v>3258</v>
      </c>
      <c r="C21" s="3306" t="s">
        <v>3238</v>
      </c>
      <c r="D21" s="3318" t="s">
        <v>3233</v>
      </c>
      <c r="E21" s="3318" t="s">
        <v>3199</v>
      </c>
      <c r="F21" s="3318" t="s">
        <v>3259</v>
      </c>
      <c r="G21" s="3318" t="s">
        <v>3260</v>
      </c>
      <c r="H21" s="3318" t="s">
        <v>3202</v>
      </c>
      <c r="I21" s="3319" t="s">
        <v>3261</v>
      </c>
      <c r="J21" s="3320" t="s">
        <v>3262</v>
      </c>
      <c r="K21" s="3321">
        <v>726.3</v>
      </c>
      <c r="L21" s="3289">
        <v>281939.06</v>
      </c>
      <c r="M21" s="3289">
        <v>704305.38</v>
      </c>
      <c r="N21" s="3292">
        <f t="shared" si="1"/>
        <v>1357.9022993253477</v>
      </c>
    </row>
    <row r="22" spans="1:14" s="3323" customFormat="1" ht="95.25" customHeight="1">
      <c r="A22" s="3318">
        <v>2018</v>
      </c>
      <c r="B22" s="3306" t="s">
        <v>3263</v>
      </c>
      <c r="C22" s="3322" t="s">
        <v>3197</v>
      </c>
      <c r="D22" s="3299" t="s">
        <v>3125</v>
      </c>
      <c r="E22" s="3299" t="s">
        <v>3046</v>
      </c>
      <c r="F22" s="3299" t="s">
        <v>3139</v>
      </c>
      <c r="G22" s="3299" t="s">
        <v>3100</v>
      </c>
      <c r="H22" s="3299" t="s">
        <v>3055</v>
      </c>
      <c r="I22" s="3319" t="s">
        <v>3140</v>
      </c>
      <c r="J22" s="3320" t="s">
        <v>3141</v>
      </c>
      <c r="K22" s="3294">
        <v>193.55</v>
      </c>
      <c r="L22" s="3289">
        <v>230654.05</v>
      </c>
      <c r="M22" s="3289">
        <v>598903.21</v>
      </c>
      <c r="N22" s="3292">
        <f t="shared" si="1"/>
        <v>4286.0101265822786</v>
      </c>
    </row>
    <row r="23" spans="1:14" s="3323" customFormat="1" ht="95.25" customHeight="1">
      <c r="A23" s="3318">
        <v>2018</v>
      </c>
      <c r="B23" s="3306" t="s">
        <v>3263</v>
      </c>
      <c r="C23" s="3322" t="s">
        <v>3197</v>
      </c>
      <c r="D23" s="3299" t="s">
        <v>3125</v>
      </c>
      <c r="E23" s="3299" t="s">
        <v>3046</v>
      </c>
      <c r="F23" s="3299" t="s">
        <v>3142</v>
      </c>
      <c r="G23" s="3299" t="s">
        <v>3143</v>
      </c>
      <c r="H23" s="3299" t="s">
        <v>3055</v>
      </c>
      <c r="I23" s="3319" t="s">
        <v>3144</v>
      </c>
      <c r="J23" s="3320" t="s">
        <v>3145</v>
      </c>
      <c r="K23" s="3324">
        <v>210.43</v>
      </c>
      <c r="L23" s="3289">
        <v>23862.83</v>
      </c>
      <c r="M23" s="3289">
        <v>602931.53</v>
      </c>
      <c r="N23" s="3292">
        <f t="shared" si="1"/>
        <v>2978.6359359406929</v>
      </c>
    </row>
    <row r="24" spans="1:14" s="3323" customFormat="1" ht="95.25" customHeight="1">
      <c r="A24" s="3318">
        <v>2018</v>
      </c>
      <c r="B24" s="3306" t="s">
        <v>3263</v>
      </c>
      <c r="C24" s="3322" t="s">
        <v>3197</v>
      </c>
      <c r="D24" s="3299" t="s">
        <v>3125</v>
      </c>
      <c r="E24" s="3299" t="s">
        <v>3046</v>
      </c>
      <c r="F24" s="3299" t="s">
        <v>3146</v>
      </c>
      <c r="G24" s="3299" t="s">
        <v>3100</v>
      </c>
      <c r="H24" s="3299" t="s">
        <v>3055</v>
      </c>
      <c r="I24" s="3319" t="s">
        <v>3147</v>
      </c>
      <c r="J24" s="3320" t="s">
        <v>3148</v>
      </c>
      <c r="K24" s="3324">
        <v>74.25</v>
      </c>
      <c r="L24" s="3289">
        <v>13520.67</v>
      </c>
      <c r="M24" s="3289">
        <v>291651.92</v>
      </c>
      <c r="N24" s="3292">
        <f t="shared" si="1"/>
        <v>4110.0685521885516</v>
      </c>
    </row>
    <row r="25" spans="1:14" s="3323" customFormat="1" ht="95.25" hidden="1" customHeight="1">
      <c r="A25" s="3318">
        <v>2018</v>
      </c>
      <c r="B25" s="3306" t="s">
        <v>3263</v>
      </c>
      <c r="C25" s="3322" t="s">
        <v>3197</v>
      </c>
      <c r="D25" s="3299" t="s">
        <v>3149</v>
      </c>
      <c r="E25" s="3299" t="s">
        <v>3046</v>
      </c>
      <c r="F25" s="3299" t="s">
        <v>3264</v>
      </c>
      <c r="G25" s="3299" t="s">
        <v>3151</v>
      </c>
      <c r="H25" s="3299" t="s">
        <v>3055</v>
      </c>
      <c r="I25" s="3319" t="s">
        <v>3152</v>
      </c>
      <c r="J25" s="3290" t="s">
        <v>3265</v>
      </c>
      <c r="K25" s="3324">
        <v>29.09</v>
      </c>
      <c r="L25" s="3289">
        <v>12773.36</v>
      </c>
      <c r="M25" s="3289">
        <v>231746.85</v>
      </c>
      <c r="N25" s="3292">
        <f t="shared" si="1"/>
        <v>8405.6448951529746</v>
      </c>
    </row>
    <row r="26" spans="1:14" s="3323" customFormat="1" ht="95.25" customHeight="1">
      <c r="A26" s="3318">
        <v>2018</v>
      </c>
      <c r="B26" s="3306" t="s">
        <v>3266</v>
      </c>
      <c r="C26" s="3325" t="s">
        <v>3267</v>
      </c>
      <c r="D26" s="3324" t="s">
        <v>3125</v>
      </c>
      <c r="E26" s="3324" t="s">
        <v>3046</v>
      </c>
      <c r="F26" s="3324" t="s">
        <v>3156</v>
      </c>
      <c r="G26" s="3324" t="s">
        <v>3100</v>
      </c>
      <c r="H26" s="3324" t="s">
        <v>3055</v>
      </c>
      <c r="I26" s="3324" t="s">
        <v>3268</v>
      </c>
      <c r="J26" s="3324" t="s">
        <v>3158</v>
      </c>
      <c r="K26" s="3324">
        <v>165.53</v>
      </c>
      <c r="L26" s="3289">
        <v>55495.91</v>
      </c>
      <c r="M26" s="3289">
        <v>418159.92</v>
      </c>
      <c r="N26" s="3292">
        <f t="shared" si="1"/>
        <v>2861.4500694738113</v>
      </c>
    </row>
    <row r="27" spans="1:14" s="3323" customFormat="1" ht="72">
      <c r="A27" s="3318">
        <v>2018</v>
      </c>
      <c r="B27" s="3306" t="s">
        <v>3269</v>
      </c>
      <c r="C27" s="3325" t="s">
        <v>3267</v>
      </c>
      <c r="D27" s="3324" t="s">
        <v>3125</v>
      </c>
      <c r="E27" s="3324" t="s">
        <v>3046</v>
      </c>
      <c r="F27" s="3324" t="s">
        <v>3160</v>
      </c>
      <c r="G27" s="3324" t="s">
        <v>3161</v>
      </c>
      <c r="H27" s="3324" t="s">
        <v>3055</v>
      </c>
      <c r="I27" s="3324" t="s">
        <v>3270</v>
      </c>
      <c r="J27" s="3324" t="s">
        <v>3163</v>
      </c>
      <c r="K27" s="3326">
        <v>175.57</v>
      </c>
      <c r="L27" s="3289">
        <v>157294.39999999999</v>
      </c>
      <c r="M27" s="3289">
        <v>394653.43</v>
      </c>
      <c r="N27" s="3292">
        <f t="shared" si="1"/>
        <v>3143.7479637751321</v>
      </c>
    </row>
    <row r="28" spans="1:14" s="3293" customFormat="1" ht="63.75" hidden="1" customHeight="1">
      <c r="A28" s="3318">
        <v>2018</v>
      </c>
      <c r="B28" s="3306" t="s">
        <v>3271</v>
      </c>
      <c r="C28" s="3327" t="s">
        <v>3272</v>
      </c>
      <c r="D28" s="3328" t="s">
        <v>3075</v>
      </c>
      <c r="E28" s="3328" t="s">
        <v>3046</v>
      </c>
      <c r="F28" s="3328" t="s">
        <v>3273</v>
      </c>
      <c r="G28" s="3328" t="s">
        <v>3167</v>
      </c>
      <c r="H28" s="3328" t="s">
        <v>3055</v>
      </c>
      <c r="I28" s="3328" t="s">
        <v>3168</v>
      </c>
      <c r="J28" s="3328" t="s">
        <v>3169</v>
      </c>
      <c r="K28" s="3324">
        <v>49.58</v>
      </c>
      <c r="L28" s="3289">
        <v>61873.95</v>
      </c>
      <c r="M28" s="3289">
        <v>240341.82</v>
      </c>
      <c r="N28" s="3304">
        <f t="shared" si="1"/>
        <v>6095.5177490923761</v>
      </c>
    </row>
    <row r="29" spans="1:14" s="3293" customFormat="1" ht="95.25" hidden="1" customHeight="1">
      <c r="A29" s="3318">
        <v>2018</v>
      </c>
      <c r="B29" s="3306" t="s">
        <v>3271</v>
      </c>
      <c r="C29" s="3327" t="s">
        <v>3272</v>
      </c>
      <c r="D29" s="3328" t="s">
        <v>3170</v>
      </c>
      <c r="E29" s="3328" t="s">
        <v>3046</v>
      </c>
      <c r="F29" s="3328" t="s">
        <v>3171</v>
      </c>
      <c r="G29" s="3328" t="s">
        <v>3172</v>
      </c>
      <c r="H29" s="3328" t="s">
        <v>3055</v>
      </c>
      <c r="I29" s="3328" t="s">
        <v>3173</v>
      </c>
      <c r="J29" s="3328" t="s">
        <v>3174</v>
      </c>
      <c r="K29" s="3329">
        <v>113.32</v>
      </c>
      <c r="L29" s="3289">
        <v>84598.35</v>
      </c>
      <c r="M29" s="3289">
        <v>378467.53</v>
      </c>
      <c r="N29" s="3292">
        <f t="shared" si="1"/>
        <v>4086.3561595481824</v>
      </c>
    </row>
    <row r="30" spans="1:14" s="3293" customFormat="1" ht="95.25" customHeight="1">
      <c r="A30" s="3318">
        <v>2018</v>
      </c>
      <c r="B30" s="3306" t="s">
        <v>3271</v>
      </c>
      <c r="C30" s="3294">
        <v>12</v>
      </c>
      <c r="D30" s="3328" t="s">
        <v>3125</v>
      </c>
      <c r="E30" s="3328" t="s">
        <v>3046</v>
      </c>
      <c r="F30" s="3328" t="s">
        <v>3175</v>
      </c>
      <c r="G30" s="3328" t="s">
        <v>3100</v>
      </c>
      <c r="H30" s="3328" t="s">
        <v>3055</v>
      </c>
      <c r="I30" s="3328" t="s">
        <v>3176</v>
      </c>
      <c r="J30" s="3328" t="s">
        <v>3177</v>
      </c>
      <c r="K30" s="3324">
        <v>239.14</v>
      </c>
      <c r="L30" s="3289">
        <v>61695.44</v>
      </c>
      <c r="M30" s="3289">
        <v>859650.5</v>
      </c>
      <c r="N30" s="3292">
        <f t="shared" si="1"/>
        <v>3852.7470937526136</v>
      </c>
    </row>
    <row r="31" spans="1:14" s="3293" customFormat="1" ht="120" hidden="1" customHeight="1">
      <c r="A31" s="3318">
        <v>2018</v>
      </c>
      <c r="B31" s="3306" t="s">
        <v>3271</v>
      </c>
      <c r="C31" s="3294" t="s">
        <v>3272</v>
      </c>
      <c r="D31" s="3328" t="s">
        <v>3109</v>
      </c>
      <c r="E31" s="3328" t="s">
        <v>3046</v>
      </c>
      <c r="F31" s="3328" t="s">
        <v>3178</v>
      </c>
      <c r="G31" s="3328" t="s">
        <v>3179</v>
      </c>
      <c r="H31" s="3328" t="s">
        <v>3055</v>
      </c>
      <c r="I31" s="3328" t="s">
        <v>3180</v>
      </c>
      <c r="J31" s="3328" t="s">
        <v>3181</v>
      </c>
      <c r="K31" s="3324">
        <v>129.57</v>
      </c>
      <c r="L31" s="3289">
        <v>164075.88</v>
      </c>
      <c r="M31" s="3289">
        <v>363152.48</v>
      </c>
      <c r="N31" s="3292">
        <f t="shared" si="1"/>
        <v>4069.061974222428</v>
      </c>
    </row>
    <row r="32" spans="1:14" s="3293" customFormat="1" ht="72">
      <c r="A32" s="3318">
        <v>2018</v>
      </c>
      <c r="B32" s="3306" t="s">
        <v>3269</v>
      </c>
      <c r="C32" s="3294" t="s">
        <v>3272</v>
      </c>
      <c r="D32" s="3328" t="s">
        <v>3125</v>
      </c>
      <c r="E32" s="3328" t="s">
        <v>3046</v>
      </c>
      <c r="F32" s="3328" t="s">
        <v>3182</v>
      </c>
      <c r="G32" s="3328" t="s">
        <v>3100</v>
      </c>
      <c r="H32" s="3328" t="s">
        <v>3055</v>
      </c>
      <c r="I32" s="3328" t="s">
        <v>3183</v>
      </c>
      <c r="J32" s="3328" t="s">
        <v>3184</v>
      </c>
      <c r="K32" s="3324">
        <v>55.01</v>
      </c>
      <c r="L32" s="3289">
        <v>61454.45</v>
      </c>
      <c r="M32" s="3289">
        <v>558371.41</v>
      </c>
      <c r="N32" s="3292">
        <f t="shared" si="1"/>
        <v>11267.512452281404</v>
      </c>
    </row>
    <row r="33" spans="11:14">
      <c r="K33" s="3330">
        <f>SUBTOTAL(9,K10:K32)</f>
        <v>1551.4399999999998</v>
      </c>
      <c r="L33" s="3331">
        <f>SUBTOTAL(9,L10:L32)</f>
        <v>777517.59000000008</v>
      </c>
      <c r="M33" s="3331">
        <f>SUBTOTAL(9,M10:M32)</f>
        <v>5385657.1799999997</v>
      </c>
      <c r="N33" s="3284">
        <f>(L33+M33)/K33</f>
        <v>3972.5511589233229</v>
      </c>
    </row>
    <row r="34" spans="11:14">
      <c r="K34" s="3330"/>
      <c r="M34" s="3332"/>
    </row>
    <row r="35" spans="11:14">
      <c r="K35" s="3330"/>
    </row>
    <row r="36" spans="11:14">
      <c r="K36" s="3330"/>
    </row>
    <row r="37" spans="11:14">
      <c r="K37" s="3330"/>
    </row>
    <row r="38" spans="11:14">
      <c r="K38" s="3330"/>
    </row>
    <row r="39" spans="11:14">
      <c r="K39" s="3330"/>
    </row>
    <row r="40" spans="11:14">
      <c r="K40" s="3330"/>
    </row>
    <row r="41" spans="11:14">
      <c r="K41" s="3330"/>
    </row>
    <row r="42" spans="11:14">
      <c r="K42" s="3330"/>
    </row>
    <row r="43" spans="11:14">
      <c r="K43" s="3330"/>
    </row>
    <row r="44" spans="11:14">
      <c r="K44" s="3330"/>
    </row>
    <row r="45" spans="11:14">
      <c r="K45" s="3330"/>
    </row>
    <row r="46" spans="11:14">
      <c r="K46" s="3330"/>
    </row>
    <row r="47" spans="11:14">
      <c r="K47" s="3330"/>
    </row>
    <row r="48" spans="11:14">
      <c r="K48" s="3330"/>
    </row>
    <row r="49" spans="11:11">
      <c r="K49" s="3330"/>
    </row>
    <row r="50" spans="11:11">
      <c r="K50" s="3330"/>
    </row>
    <row r="51" spans="11:11">
      <c r="K51" s="3330"/>
    </row>
    <row r="52" spans="11:11">
      <c r="K52" s="3330"/>
    </row>
    <row r="53" spans="11:11">
      <c r="K53" s="3330"/>
    </row>
    <row r="54" spans="11:11">
      <c r="K54" s="3330"/>
    </row>
    <row r="55" spans="11:11">
      <c r="K55" s="3330"/>
    </row>
    <row r="56" spans="11:11">
      <c r="K56" s="3330"/>
    </row>
    <row r="57" spans="11:11">
      <c r="K57" s="3330"/>
    </row>
    <row r="58" spans="11:11">
      <c r="K58" s="3330"/>
    </row>
    <row r="59" spans="11:11">
      <c r="K59" s="3330"/>
    </row>
    <row r="60" spans="11:11">
      <c r="K60" s="3330"/>
    </row>
    <row r="61" spans="11:11">
      <c r="K61" s="3330"/>
    </row>
    <row r="62" spans="11:11">
      <c r="K62" s="3330"/>
    </row>
  </sheetData>
  <autoFilter ref="A3:K32">
    <filterColumn colId="3">
      <filters>
        <filter val="大兴"/>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{189D6DB9-C435-45E5-8FCC-7741E45A47D3}</x14:id>
        </ext>
      </extLst>
    </cfRule>
  </conditionalFormatting>
  <conditionalFormatting sqref="B27">
    <cfRule type="dataBar" priority="6">
      <dataBar>
        <cfvo type="min"/>
        <cfvo type="max"/>
        <color rgb="FF638EC6"/>
      </dataBar>
      <extLst>
        <ext xmlns:x14="http://schemas.microsoft.com/office/spreadsheetml/2009/9/main" uri="{B025F937-C7B1-47D3-B67F-A62EFF666E3E}">
          <x14:id>{16505CC5-24E7-49EA-9932-E23834880105}</x14:id>
        </ext>
      </extLst>
    </cfRule>
  </conditionalFormatting>
  <conditionalFormatting sqref="B28">
    <cfRule type="dataBar" priority="5">
      <dataBar>
        <cfvo type="min"/>
        <cfvo type="max"/>
        <color rgb="FF638EC6"/>
      </dataBar>
      <extLst>
        <ext xmlns:x14="http://schemas.microsoft.com/office/spreadsheetml/2009/9/main" uri="{B025F937-C7B1-47D3-B67F-A62EFF666E3E}">
          <x14:id>{1F3AED6F-1D6F-41D5-9EB1-69A2BF649781}</x14:id>
        </ext>
      </extLst>
    </cfRule>
  </conditionalFormatting>
  <conditionalFormatting sqref="B29">
    <cfRule type="dataBar" priority="4">
      <dataBar>
        <cfvo type="min"/>
        <cfvo type="max"/>
        <color rgb="FF638EC6"/>
      </dataBar>
      <extLst>
        <ext xmlns:x14="http://schemas.microsoft.com/office/spreadsheetml/2009/9/main" uri="{B025F937-C7B1-47D3-B67F-A62EFF666E3E}">
          <x14:id>{FE0BA2FC-8BE9-4C30-A5AC-5AE7F9ED21BF}</x14:id>
        </ext>
      </extLst>
    </cfRule>
  </conditionalFormatting>
  <conditionalFormatting sqref="B30">
    <cfRule type="dataBar" priority="3">
      <dataBar>
        <cfvo type="min"/>
        <cfvo type="max"/>
        <color rgb="FF638EC6"/>
      </dataBar>
      <extLst>
        <ext xmlns:x14="http://schemas.microsoft.com/office/spreadsheetml/2009/9/main" uri="{B025F937-C7B1-47D3-B67F-A62EFF666E3E}">
          <x14:id>{FA6F74FA-54C5-40E2-A5F1-1914FBE1C6A2}</x14:id>
        </ext>
      </extLst>
    </cfRule>
  </conditionalFormatting>
  <conditionalFormatting sqref="B31">
    <cfRule type="dataBar" priority="2">
      <dataBar>
        <cfvo type="min"/>
        <cfvo type="max"/>
        <color rgb="FF638EC6"/>
      </dataBar>
      <extLst>
        <ext xmlns:x14="http://schemas.microsoft.com/office/spreadsheetml/2009/9/main" uri="{B025F937-C7B1-47D3-B67F-A62EFF666E3E}">
          <x14:id>{BF842974-0DE3-4D8D-91A9-AC406D15BFA6}</x14:id>
        </ext>
      </extLst>
    </cfRule>
  </conditionalFormatting>
  <conditionalFormatting sqref="B32">
    <cfRule type="dataBar" priority="1">
      <dataBar>
        <cfvo type="min"/>
        <cfvo type="max"/>
        <color rgb="FF638EC6"/>
      </dataBar>
      <extLst>
        <ext xmlns:x14="http://schemas.microsoft.com/office/spreadsheetml/2009/9/main" uri="{B025F937-C7B1-47D3-B67F-A62EFF666E3E}">
          <x14:id>{1802B87D-0DC0-4354-8750-BBA075E0471F}</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189D6DB9-C435-45E5-8FCC-7741E45A47D3}">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16505CC5-24E7-49EA-9932-E23834880105}">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1F3AED6F-1D6F-41D5-9EB1-69A2BF649781}">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FE0BA2FC-8BE9-4C30-A5AC-5AE7F9ED21BF}">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FA6F74FA-54C5-40E2-A5F1-1914FBE1C6A2}">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BF842974-0DE3-4D8D-91A9-AC406D15BFA6}">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1802B87D-0DC0-4354-8750-BBA075E0471F}">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1" sqref="A31"/>
    </sheetView>
  </sheetViews>
  <sheetFormatPr defaultRowHeight="13.5"/>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37" t="s">
        <v>2027</v>
      </c>
      <c r="B1" s="3337"/>
      <c r="C1" s="3337"/>
      <c r="D1" s="3337"/>
      <c r="E1" s="3337"/>
      <c r="F1" s="3337"/>
      <c r="G1" s="3337"/>
      <c r="H1" s="3337"/>
      <c r="I1" s="3337"/>
      <c r="J1" s="3337"/>
      <c r="K1" s="3337"/>
      <c r="L1" s="3337"/>
      <c r="M1" s="3337"/>
      <c r="N1" s="3337"/>
      <c r="O1" s="3337"/>
      <c r="P1" s="3337"/>
      <c r="Q1" s="3337"/>
      <c r="R1" s="3337"/>
    </row>
    <row r="2" spans="1:18">
      <c r="A2" s="1722" t="s">
        <v>2029</v>
      </c>
      <c r="B2" s="1722"/>
      <c r="C2" s="1722"/>
      <c r="D2" s="1722"/>
      <c r="E2" s="1722"/>
      <c r="F2" s="1722"/>
      <c r="G2" s="1722"/>
      <c r="H2" s="1722"/>
      <c r="I2" s="1723"/>
      <c r="J2" s="1723"/>
      <c r="K2" s="1724" t="str">
        <f>"估价期日："&amp;TEXT(项目基本情况!D3,"yyyy年m月d日;;")</f>
        <v>估价期日：2020年8月28日</v>
      </c>
      <c r="L2" s="1722"/>
      <c r="M2" s="1722"/>
      <c r="N2" s="1722"/>
      <c r="O2" s="1722"/>
      <c r="P2" s="1722"/>
      <c r="Q2" s="1722"/>
      <c r="R2" s="1724" t="str">
        <f>"估价期日的国有建设用地使用权性质："&amp;项目基本情况!B16</f>
        <v>估价期日的国有建设用地使用权性质：划拨</v>
      </c>
    </row>
    <row r="3" spans="1:18" ht="23.25" customHeight="1">
      <c r="A3" s="3338" t="s">
        <v>2018</v>
      </c>
      <c r="B3" s="3338" t="s">
        <v>2712</v>
      </c>
      <c r="C3" s="3339" t="s">
        <v>2019</v>
      </c>
      <c r="D3" s="3338" t="s">
        <v>2716</v>
      </c>
      <c r="E3" s="3341" t="s">
        <v>2020</v>
      </c>
      <c r="F3" s="3341"/>
      <c r="G3" s="3341"/>
      <c r="H3" s="3341" t="s">
        <v>2021</v>
      </c>
      <c r="I3" s="3341"/>
      <c r="J3" s="3341"/>
      <c r="K3" s="3339" t="s">
        <v>2022</v>
      </c>
      <c r="L3" s="3339" t="s">
        <v>2023</v>
      </c>
      <c r="M3" s="3338" t="s">
        <v>2713</v>
      </c>
      <c r="N3" s="3340" t="str">
        <f>"（分摊）"&amp;项目基本情况!B16&amp;"国有建设用地使用权面积/㎡"</f>
        <v>（分摊）划拨国有建设用地使用权面积/㎡</v>
      </c>
      <c r="O3" s="3338" t="s">
        <v>2052</v>
      </c>
      <c r="P3" s="3339" t="s">
        <v>2032</v>
      </c>
      <c r="Q3" s="3339" t="s">
        <v>2053</v>
      </c>
      <c r="R3" s="3339" t="s">
        <v>2024</v>
      </c>
    </row>
    <row r="4" spans="1:18" ht="36.75" customHeight="1">
      <c r="A4" s="3338"/>
      <c r="B4" s="3338"/>
      <c r="C4" s="3339"/>
      <c r="D4" s="3338"/>
      <c r="E4" s="2491" t="s">
        <v>2031</v>
      </c>
      <c r="F4" s="2491" t="s">
        <v>2725</v>
      </c>
      <c r="G4" s="2491" t="s">
        <v>2025</v>
      </c>
      <c r="H4" s="2491" t="s">
        <v>2026</v>
      </c>
      <c r="I4" s="2491" t="s">
        <v>2726</v>
      </c>
      <c r="J4" s="2491" t="s">
        <v>2025</v>
      </c>
      <c r="K4" s="3339"/>
      <c r="L4" s="3339"/>
      <c r="M4" s="3338"/>
      <c r="N4" s="3340"/>
      <c r="O4" s="3338"/>
      <c r="P4" s="3339"/>
      <c r="Q4" s="3339"/>
      <c r="R4" s="3339"/>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t="str">
        <f>IF(项目基本情况!B16="出让",项目基本情况!D20,"——")</f>
        <v>——</v>
      </c>
      <c r="N5" s="1725">
        <f>项目基本情况!C22</f>
        <v>23300</v>
      </c>
      <c r="O5" s="1725">
        <f>项目基本情况!C21</f>
        <v>23300</v>
      </c>
      <c r="P5" s="1725">
        <f ca="1">结果表!E42</f>
        <v>6218</v>
      </c>
      <c r="Q5" s="1725">
        <f ca="1">结果表!D42</f>
        <v>6218</v>
      </c>
      <c r="R5" s="1726">
        <f ca="1">结果表!C42</f>
        <v>14488</v>
      </c>
    </row>
    <row r="6" spans="1:18">
      <c r="A6" s="3334" t="str">
        <f>IF(项目基本情况!B9="市场价格","——","抵押价格")</f>
        <v>——</v>
      </c>
      <c r="B6" s="3335"/>
      <c r="C6" s="3335"/>
      <c r="D6" s="3335"/>
      <c r="E6" s="3335"/>
      <c r="F6" s="3335"/>
      <c r="G6" s="3335"/>
      <c r="H6" s="3335"/>
      <c r="I6" s="3335"/>
      <c r="J6" s="3335"/>
      <c r="K6" s="3335"/>
      <c r="L6" s="3335"/>
      <c r="M6" s="3335"/>
      <c r="N6" s="3335"/>
      <c r="O6" s="3335"/>
      <c r="P6" s="3335"/>
      <c r="Q6" s="3336"/>
      <c r="R6" s="1727" t="str">
        <f>结果表!O39</f>
        <v>——</v>
      </c>
    </row>
    <row r="7" spans="1:18">
      <c r="A7" s="3334" t="str">
        <f>IF(项目基本情况!B9="市场价格","——",IF(项目基本情况!E8="已注销及未注销","抵押担保权已注销时的抵押价格","——"))</f>
        <v>——</v>
      </c>
      <c r="B7" s="3335"/>
      <c r="C7" s="3335"/>
      <c r="D7" s="3335"/>
      <c r="E7" s="3335"/>
      <c r="F7" s="3335"/>
      <c r="G7" s="3335"/>
      <c r="H7" s="3335"/>
      <c r="I7" s="3335"/>
      <c r="J7" s="3335"/>
      <c r="K7" s="3335"/>
      <c r="L7" s="3335"/>
      <c r="M7" s="3335"/>
      <c r="N7" s="3335"/>
      <c r="O7" s="3335"/>
      <c r="P7" s="3335"/>
      <c r="Q7" s="3336"/>
      <c r="R7" s="1727" t="str">
        <f>结果表!O40</f>
        <v>——</v>
      </c>
    </row>
    <row r="8" spans="1:18">
      <c r="A8" s="3334" t="str">
        <f>IF(项目基本情况!B9="市场价格","——",项目基本情况!E9)</f>
        <v>——</v>
      </c>
      <c r="B8" s="3335"/>
      <c r="C8" s="3335"/>
      <c r="D8" s="3335"/>
      <c r="E8" s="3335"/>
      <c r="F8" s="3335"/>
      <c r="G8" s="3335"/>
      <c r="H8" s="3335"/>
      <c r="I8" s="3335"/>
      <c r="J8" s="3335"/>
      <c r="K8" s="3335"/>
      <c r="L8" s="3335"/>
      <c r="M8" s="3335"/>
      <c r="N8" s="3335"/>
      <c r="O8" s="3335"/>
      <c r="P8" s="3335"/>
      <c r="Q8" s="3336"/>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43" t="s">
        <v>2054</v>
      </c>
      <c r="B1" s="3343"/>
      <c r="C1" s="3343"/>
      <c r="D1" s="3343"/>
    </row>
    <row r="2" spans="1:4" ht="47.25" customHeight="1">
      <c r="A2" s="3344" t="str">
        <f>"1.权利限制："&amp;项目基本情况!L24&amp;"未设定租赁等其他他项权利。"</f>
        <v>1.权利限制：根据估价对象《不动产权证书》原件、《国有土地使用权》复印件，截至估价期日，估价对象抵押权未见登记。未设定租赁等其他他项权利。</v>
      </c>
      <c r="B2" s="3344"/>
      <c r="C2" s="3344"/>
      <c r="D2" s="3344"/>
    </row>
    <row r="3" spans="1:4" ht="48" customHeight="1">
      <c r="A3" s="334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43"/>
      <c r="C3" s="3343"/>
      <c r="D3" s="3343"/>
    </row>
    <row r="4" spans="1:4" ht="36.75" customHeight="1">
      <c r="A4" s="3343" t="str">
        <f>"3.估价规划限制条件：详见"&amp;项目基本情况!E21&amp;"。"</f>
        <v>3.估价规划限制条件：详见《建设工程规划许可证》[]、《出让合同》[]。</v>
      </c>
      <c r="B4" s="3343"/>
      <c r="C4" s="3343"/>
      <c r="D4" s="3343"/>
    </row>
    <row r="5" spans="1:4">
      <c r="A5" s="3342" t="s">
        <v>2055</v>
      </c>
      <c r="B5" s="3342"/>
      <c r="C5" s="3342"/>
      <c r="D5" s="3342"/>
    </row>
    <row r="6" spans="1:4">
      <c r="A6" s="3343" t="s">
        <v>2033</v>
      </c>
      <c r="B6" s="3343"/>
      <c r="C6" s="3343"/>
      <c r="D6" s="3343"/>
    </row>
    <row r="7" spans="1:4" ht="33" customHeight="1">
      <c r="A7" s="3343" t="s">
        <v>2556</v>
      </c>
      <c r="B7" s="3343"/>
      <c r="C7" s="3343"/>
      <c r="D7" s="3343"/>
    </row>
    <row r="8" spans="1:4" ht="32.25" customHeight="1">
      <c r="A8" s="33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43"/>
      <c r="C8" s="3343"/>
      <c r="D8" s="3343"/>
    </row>
    <row r="9" spans="1:4" ht="33.75" customHeight="1">
      <c r="A9" s="3343" t="str">
        <f>IF(项目基本情况!B8="抵押","3.抵押双方在办理抵押登记手续时，应使用本公司出具的正式《土地估价报告》，特提请报告使用者注意。","——")</f>
        <v>——</v>
      </c>
      <c r="B9" s="3343"/>
      <c r="C9" s="3343"/>
      <c r="D9" s="3343"/>
    </row>
    <row r="10" spans="1:4">
      <c r="A10" s="3343" t="str">
        <f>IF(项目基本情况!B8="抵押","4.估价师所知悉的法定优先受偿款情况为：","——")</f>
        <v>——</v>
      </c>
      <c r="B10" s="3343"/>
      <c r="C10" s="3343"/>
      <c r="D10" s="3343"/>
    </row>
    <row r="11" spans="1:4" ht="37.5" customHeight="1">
      <c r="A11" s="3345" t="str">
        <f>IF(项目基本情况!B8="抵押","（1）"&amp;CONCATENATE(项目基本情况!L24,项目基本情况!L25,项目基本情况!L26),"——")</f>
        <v>——</v>
      </c>
      <c r="B11" s="3345"/>
      <c r="C11" s="3345"/>
      <c r="D11" s="3345"/>
    </row>
    <row r="12" spans="1:4" ht="168" customHeight="1">
      <c r="A12" s="3342" t="s">
        <v>2057</v>
      </c>
      <c r="B12" s="3342"/>
      <c r="C12" s="3342"/>
      <c r="D12" s="3342"/>
    </row>
    <row r="13" spans="1:4">
      <c r="A13" s="3346" t="s">
        <v>2727</v>
      </c>
      <c r="B13" s="3346"/>
      <c r="C13" s="3346"/>
      <c r="D13" s="3346"/>
    </row>
    <row r="14" spans="1:4">
      <c r="A14" s="3345" t="str">
        <f>IF(项目基本情况!B8="抵押","综上，"&amp;结果表!K47,"——")</f>
        <v>——</v>
      </c>
      <c r="B14" s="3345"/>
      <c r="C14" s="3345"/>
      <c r="D14" s="3345"/>
    </row>
    <row r="15" spans="1:4" ht="58.5" customHeight="1">
      <c r="A15" s="33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43"/>
      <c r="C15" s="3343"/>
      <c r="D15" s="3343"/>
    </row>
    <row r="16" spans="1:4" ht="70.5" customHeight="1">
      <c r="A16" s="33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43"/>
      <c r="C16" s="3343"/>
      <c r="D16" s="3343"/>
    </row>
    <row r="17" spans="1:4">
      <c r="A17" s="3343" t="s">
        <v>2683</v>
      </c>
      <c r="B17" s="3343"/>
      <c r="C17" s="3343"/>
      <c r="D17" s="3343"/>
    </row>
    <row r="18" spans="1:4">
      <c r="A18" s="3343" t="s">
        <v>2675</v>
      </c>
      <c r="B18" s="3343"/>
      <c r="C18" s="3343"/>
      <c r="D18" s="3343"/>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343" t="s">
        <v>2680</v>
      </c>
      <c r="B23" s="3343"/>
      <c r="C23" s="3343"/>
      <c r="D23" s="3343"/>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54" t="s">
        <v>53</v>
      </c>
      <c r="B15" s="3355" t="s">
        <v>838</v>
      </c>
      <c r="C15" s="3351"/>
    </row>
    <row r="16" spans="1:7" ht="14.25">
      <c r="A16" s="3354"/>
      <c r="B16" s="3352" t="s">
        <v>54</v>
      </c>
      <c r="C16" s="1155" t="s">
        <v>53</v>
      </c>
    </row>
    <row r="17" spans="1:3" ht="14.25">
      <c r="A17" s="3354"/>
      <c r="B17" s="3352"/>
      <c r="C17" s="1155" t="s">
        <v>55</v>
      </c>
    </row>
    <row r="18" spans="1:3" ht="14.25">
      <c r="A18" s="3354"/>
      <c r="B18" s="3352"/>
      <c r="C18" s="1155" t="s">
        <v>56</v>
      </c>
    </row>
    <row r="19" spans="1:3" ht="14.25">
      <c r="A19" s="3354"/>
      <c r="B19" s="3350" t="s">
        <v>57</v>
      </c>
      <c r="C19" s="3351"/>
    </row>
    <row r="20" spans="1:3" ht="14.25">
      <c r="A20" s="1156" t="s">
        <v>58</v>
      </c>
      <c r="B20" s="1157"/>
      <c r="C20" s="1158"/>
    </row>
    <row r="21" spans="1:3" ht="14.25">
      <c r="A21" s="3353" t="s">
        <v>59</v>
      </c>
      <c r="B21" s="3350" t="s">
        <v>60</v>
      </c>
      <c r="C21" s="3351"/>
    </row>
    <row r="22" spans="1:3" ht="14.25">
      <c r="A22" s="3353"/>
      <c r="B22" s="3350" t="s">
        <v>61</v>
      </c>
      <c r="C22" s="3351"/>
    </row>
    <row r="23" spans="1:3" ht="14.25">
      <c r="A23" s="3353"/>
      <c r="B23" s="3350" t="s">
        <v>62</v>
      </c>
      <c r="C23" s="3351"/>
    </row>
    <row r="24" spans="1:3" ht="14.25">
      <c r="A24" s="3353"/>
      <c r="B24" s="3356" t="s">
        <v>63</v>
      </c>
      <c r="C24" s="1159" t="s">
        <v>829</v>
      </c>
    </row>
    <row r="25" spans="1:3" ht="14.25">
      <c r="A25" s="3353"/>
      <c r="B25" s="3357"/>
      <c r="C25" s="1159" t="s">
        <v>830</v>
      </c>
    </row>
    <row r="26" spans="1:3" ht="14.25">
      <c r="A26" s="3353"/>
      <c r="B26" s="3357"/>
      <c r="C26" s="1159" t="s">
        <v>831</v>
      </c>
    </row>
    <row r="27" spans="1:3" ht="14.25">
      <c r="A27" s="3353"/>
      <c r="B27" s="3357"/>
      <c r="C27" s="1159" t="s">
        <v>832</v>
      </c>
    </row>
    <row r="28" spans="1:3" ht="14.25">
      <c r="A28" s="3353"/>
      <c r="B28" s="3357"/>
      <c r="C28" s="1159" t="s">
        <v>833</v>
      </c>
    </row>
    <row r="29" spans="1:3" ht="14.25">
      <c r="A29" s="3353"/>
      <c r="B29" s="3357"/>
      <c r="C29" s="1159" t="s">
        <v>834</v>
      </c>
    </row>
    <row r="30" spans="1:3" ht="14.25">
      <c r="A30" s="3353"/>
      <c r="B30" s="3357"/>
      <c r="C30" s="1159" t="s">
        <v>835</v>
      </c>
    </row>
    <row r="31" spans="1:3" ht="14.25">
      <c r="A31" s="3353"/>
      <c r="B31" s="3357"/>
      <c r="C31" s="1159" t="s">
        <v>836</v>
      </c>
    </row>
    <row r="32" spans="1:3" ht="14.25">
      <c r="A32" s="3353"/>
      <c r="B32" s="3357"/>
      <c r="C32" s="1159" t="s">
        <v>1637</v>
      </c>
    </row>
    <row r="33" spans="1:3" ht="14.25">
      <c r="A33" s="3353"/>
      <c r="B33" s="3347" t="s">
        <v>1643</v>
      </c>
      <c r="C33" s="1159" t="s">
        <v>1638</v>
      </c>
    </row>
    <row r="34" spans="1:3" ht="14.25">
      <c r="A34" s="3353"/>
      <c r="B34" s="3348"/>
      <c r="C34" s="1164" t="s">
        <v>1639</v>
      </c>
    </row>
    <row r="35" spans="1:3" ht="14.25">
      <c r="A35" s="3353"/>
      <c r="B35" s="3348"/>
      <c r="C35" s="1165" t="s">
        <v>1640</v>
      </c>
    </row>
    <row r="36" spans="1:3" ht="14.25">
      <c r="A36" s="3353"/>
      <c r="B36" s="3348"/>
      <c r="C36" s="1165" t="s">
        <v>1641</v>
      </c>
    </row>
    <row r="37" spans="1:3" ht="14.25">
      <c r="A37" s="3353"/>
      <c r="B37" s="3349"/>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44071</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2945</v>
      </c>
      <c r="B12" s="3030">
        <f ca="1">IF(C12&lt;B2,"已过期",1120040230)</f>
        <v>1120040230</v>
      </c>
      <c r="C12" s="3033">
        <v>44864</v>
      </c>
      <c r="D12" s="3041" t="s">
        <v>2946</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2957</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61" t="s">
        <v>1915</v>
      </c>
      <c r="B17" s="3362"/>
      <c r="C17" s="3362"/>
      <c r="D17" s="3362"/>
      <c r="E17" s="3362"/>
      <c r="F17" s="3362"/>
      <c r="G17" s="3034"/>
    </row>
    <row r="18" spans="1:7" ht="20.25" customHeight="1">
      <c r="A18" s="3358" t="s">
        <v>1916</v>
      </c>
      <c r="B18" s="3358"/>
      <c r="C18" s="3359"/>
      <c r="D18" s="3360" t="s">
        <v>1917</v>
      </c>
      <c r="E18" s="3358"/>
      <c r="F18" s="3358"/>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2956</v>
      </c>
      <c r="F21" s="3038">
        <v>44012</v>
      </c>
      <c r="G21" s="3026"/>
    </row>
    <row r="22" spans="1:7" ht="20.25" customHeight="1">
      <c r="A22" s="3025"/>
      <c r="B22" s="3025"/>
      <c r="C22" s="3039"/>
      <c r="D22" s="3047"/>
      <c r="E22" s="3048"/>
      <c r="F22" s="3040" t="s">
        <v>2971</v>
      </c>
      <c r="G22" s="3025"/>
    </row>
  </sheetData>
  <sheetProtection password="CEE9" sheet="1" objects="1" scenarios="1"/>
  <mergeCells count="3">
    <mergeCell ref="A18:C18"/>
    <mergeCell ref="D18:F18"/>
    <mergeCell ref="A17:F17"/>
  </mergeCells>
  <phoneticPr fontId="4" type="noConversion"/>
  <conditionalFormatting sqref="C16:D16 C5 C12:C13">
    <cfRule type="expression" dxfId="215" priority="149">
      <formula>AND($C5-TODAY()&lt;30,TODAY()&lt;$C5)</formula>
    </cfRule>
  </conditionalFormatting>
  <conditionalFormatting sqref="C20">
    <cfRule type="expression" dxfId="214" priority="148">
      <formula>AND($C20-TODAY()&lt;30,TODAY()&lt;$C20)</formula>
    </cfRule>
  </conditionalFormatting>
  <conditionalFormatting sqref="C20 F4 C5 C13">
    <cfRule type="cellIs" dxfId="213" priority="150" stopIfTrue="1" operator="lessThan">
      <formula>$B$2</formula>
    </cfRule>
  </conditionalFormatting>
  <conditionalFormatting sqref="F5 F7 F9">
    <cfRule type="cellIs" dxfId="212" priority="144" stopIfTrue="1" operator="lessThan">
      <formula>$B$2</formula>
    </cfRule>
  </conditionalFormatting>
  <conditionalFormatting sqref="C16:D16">
    <cfRule type="expression" dxfId="211" priority="142">
      <formula>AND($C16-TODAY()&lt;30,TODAY()&lt;$C16)</formula>
    </cfRule>
  </conditionalFormatting>
  <conditionalFormatting sqref="F6 F8 F10 C16:D16">
    <cfRule type="cellIs" dxfId="210" priority="143" stopIfTrue="1" operator="lessThan">
      <formula>$B$2</formula>
    </cfRule>
  </conditionalFormatting>
  <conditionalFormatting sqref="F14">
    <cfRule type="cellIs" dxfId="209" priority="114" stopIfTrue="1" operator="lessThan">
      <formula>$B$2</formula>
    </cfRule>
  </conditionalFormatting>
  <conditionalFormatting sqref="F13">
    <cfRule type="cellIs" dxfId="208" priority="113" stopIfTrue="1" operator="lessThan">
      <formula>$B$2</formula>
    </cfRule>
  </conditionalFormatting>
  <conditionalFormatting sqref="B4:B11 E4:E11 E13:E15 B13:B15">
    <cfRule type="cellIs" dxfId="207" priority="111" stopIfTrue="1" operator="equal">
      <formula>"已过期"</formula>
    </cfRule>
  </conditionalFormatting>
  <conditionalFormatting sqref="F20">
    <cfRule type="cellIs" dxfId="206" priority="108" stopIfTrue="1" operator="lessThan">
      <formula>$B$2</formula>
    </cfRule>
  </conditionalFormatting>
  <conditionalFormatting sqref="F20">
    <cfRule type="expression" dxfId="205" priority="152">
      <formula>AND($E20-TODAY()&lt;30,TODAY()&lt;$E20)</formula>
    </cfRule>
  </conditionalFormatting>
  <conditionalFormatting sqref="C6">
    <cfRule type="expression" dxfId="204" priority="82">
      <formula>AND($C6-TODAY()&lt;30,TODAY()&lt;$C6)</formula>
    </cfRule>
  </conditionalFormatting>
  <conditionalFormatting sqref="C6">
    <cfRule type="cellIs" dxfId="203" priority="83" stopIfTrue="1" operator="lessThan">
      <formula>$B$2</formula>
    </cfRule>
  </conditionalFormatting>
  <conditionalFormatting sqref="C11 C15">
    <cfRule type="expression" dxfId="202" priority="80">
      <formula>AND($C11-TODAY()&lt;30,TODAY()&lt;$C11)</formula>
    </cfRule>
  </conditionalFormatting>
  <conditionalFormatting sqref="C11 C15">
    <cfRule type="cellIs" dxfId="201" priority="81" stopIfTrue="1" operator="lessThan">
      <formula>$B$2</formula>
    </cfRule>
  </conditionalFormatting>
  <conditionalFormatting sqref="F11">
    <cfRule type="cellIs" dxfId="200" priority="79" stopIfTrue="1" operator="lessThan">
      <formula>$B$2</formula>
    </cfRule>
  </conditionalFormatting>
  <conditionalFormatting sqref="C14">
    <cfRule type="expression" dxfId="199" priority="60">
      <formula>AND($C14-TODAY()&lt;30,TODAY()&lt;$C14)</formula>
    </cfRule>
  </conditionalFormatting>
  <conditionalFormatting sqref="C14">
    <cfRule type="cellIs" dxfId="198" priority="61" stopIfTrue="1" operator="lessThan">
      <formula>$B$2</formula>
    </cfRule>
  </conditionalFormatting>
  <conditionalFormatting sqref="C12">
    <cfRule type="cellIs" dxfId="197" priority="54" stopIfTrue="1" operator="lessThan">
      <formula>$B$2</formula>
    </cfRule>
  </conditionalFormatting>
  <conditionalFormatting sqref="C12">
    <cfRule type="expression" dxfId="196" priority="51">
      <formula>AND($C12-TODAY()&lt;30,TODAY()&lt;$C12)</formula>
    </cfRule>
  </conditionalFormatting>
  <conditionalFormatting sqref="C12">
    <cfRule type="cellIs" dxfId="195" priority="52" stopIfTrue="1" operator="lessThan">
      <formula>$B$2</formula>
    </cfRule>
  </conditionalFormatting>
  <conditionalFormatting sqref="B12">
    <cfRule type="cellIs" dxfId="194" priority="48" stopIfTrue="1" operator="equal">
      <formula>"已过期"</formula>
    </cfRule>
  </conditionalFormatting>
  <conditionalFormatting sqref="E12">
    <cfRule type="cellIs" dxfId="193" priority="38" stopIfTrue="1" operator="equal">
      <formula>"已过期"</formula>
    </cfRule>
  </conditionalFormatting>
  <conditionalFormatting sqref="F12">
    <cfRule type="cellIs" dxfId="192" priority="37" stopIfTrue="1" operator="lessThan">
      <formula>$B$2</formula>
    </cfRule>
  </conditionalFormatting>
  <conditionalFormatting sqref="C9:C10">
    <cfRule type="expression" dxfId="191" priority="33">
      <formula>AND($C9-TODAY()&lt;30,TODAY()&lt;$C9)</formula>
    </cfRule>
  </conditionalFormatting>
  <conditionalFormatting sqref="C9:C10">
    <cfRule type="cellIs" dxfId="190" priority="34" stopIfTrue="1" operator="lessThan">
      <formula>$B$2</formula>
    </cfRule>
  </conditionalFormatting>
  <conditionalFormatting sqref="F21">
    <cfRule type="cellIs" dxfId="189" priority="13" stopIfTrue="1" operator="lessThan">
      <formula>$B$2</formula>
    </cfRule>
  </conditionalFormatting>
  <conditionalFormatting sqref="F21">
    <cfRule type="expression" dxfId="188" priority="14">
      <formula>AND($E21-TODAY()&lt;30,TODAY()&lt;$E21)</formula>
    </cfRule>
  </conditionalFormatting>
  <conditionalFormatting sqref="C7:C8">
    <cfRule type="expression" dxfId="187" priority="5">
      <formula>AND($C7-TODAY()&lt;30,TODAY()&lt;$C7)</formula>
    </cfRule>
  </conditionalFormatting>
  <conditionalFormatting sqref="C7:C8">
    <cfRule type="cellIs" dxfId="186" priority="6" stopIfTrue="1" operator="lessThan">
      <formula>$B$2</formula>
    </cfRule>
  </conditionalFormatting>
  <conditionalFormatting sqref="C7:C8">
    <cfRule type="expression" dxfId="185" priority="3">
      <formula>AND($C7-TODAY()&lt;30,TODAY()&lt;$C7)</formula>
    </cfRule>
  </conditionalFormatting>
  <conditionalFormatting sqref="C7:C8">
    <cfRule type="cellIs" dxfId="184" priority="4" stopIfTrue="1" operator="lessThan">
      <formula>$B$2</formula>
    </cfRule>
  </conditionalFormatting>
  <conditionalFormatting sqref="C4">
    <cfRule type="expression" dxfId="183" priority="1">
      <formula>AND($C4-TODAY()&lt;30,TODAY()&lt;$C4)</formula>
    </cfRule>
  </conditionalFormatting>
  <conditionalFormatting sqref="C4">
    <cfRule type="cellIs" dxfId="182"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2921</v>
      </c>
      <c r="C18" s="1493"/>
    </row>
    <row r="19" spans="1:3">
      <c r="A19" s="8" t="s">
        <v>120</v>
      </c>
      <c r="B19" s="2792" t="s">
        <v>2928</v>
      </c>
      <c r="C19" s="1493"/>
    </row>
    <row r="20" spans="1:3">
      <c r="A20" s="8" t="s">
        <v>121</v>
      </c>
      <c r="B20" s="2792" t="s">
        <v>2972</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85"/>
    </row>
    <row r="52" spans="1:5">
      <c r="A52" s="1683" t="s">
        <v>1975</v>
      </c>
      <c r="B52" s="1686" t="s">
        <v>1976</v>
      </c>
      <c r="C52" s="1684" t="s">
        <v>1977</v>
      </c>
      <c r="D52" s="1684" t="s">
        <v>1978</v>
      </c>
      <c r="E52" s="1685"/>
    </row>
    <row r="53" spans="1:5">
      <c r="A53" s="3363"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2020年8月28日在规划利用条件下、设定土地开发程度为红线外“七通”、宗地内场地，设定用途为的划拨国有建设用地使用权价格。</v>
      </c>
      <c r="D53" s="1685"/>
      <c r="E53" s="1685"/>
    </row>
    <row r="54" spans="1:5">
      <c r="A54" s="3363"/>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85"/>
      <c r="E54" s="1685"/>
    </row>
    <row r="55" spans="1:5">
      <c r="A55" s="3363"/>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85"/>
      <c r="E55" s="1685"/>
    </row>
    <row r="56" spans="1:5">
      <c r="A56" s="3363"/>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85"/>
      <c r="E56" s="1685"/>
    </row>
    <row r="57" spans="1:5">
      <c r="A57" s="3363"/>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土地案例 (自来水)</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2020-08-28T03:37:01Z</dcterms:modified>
</cp:coreProperties>
</file>