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比较法-商业" sheetId="33" state="hidden" r:id="rId21"/>
    <sheet name="成本法 (元)" sheetId="69" state="hidden" r:id="rId22"/>
    <sheet name="收益法 (元)" sheetId="67" r:id="rId23"/>
    <sheet name="基准地价修正" sheetId="43"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G19" i="6" l="1"/>
  <c r="G22" i="4" l="1"/>
  <c r="G23" i="4" s="1"/>
  <c r="C17" i="31" l="1"/>
  <c r="B28" i="31"/>
  <c r="B29" i="31"/>
  <c r="B30" i="31"/>
  <c r="B31" i="31"/>
  <c r="B27" i="31"/>
  <c r="A28" i="31"/>
  <c r="A29" i="31"/>
  <c r="A30" i="31"/>
  <c r="A31" i="31"/>
  <c r="A27" i="31"/>
  <c r="B26" i="31"/>
  <c r="B25" i="31"/>
  <c r="A26" i="31"/>
  <c r="A25" i="31"/>
  <c r="B24" i="31"/>
  <c r="A24" i="31"/>
  <c r="U19" i="1" l="1"/>
  <c r="F19" i="6"/>
  <c r="T19" i="1"/>
  <c r="D33" i="43" l="1"/>
  <c r="C33" i="33"/>
  <c r="T18" i="1"/>
  <c r="T20" i="1" s="1"/>
  <c r="U20" i="1" l="1"/>
  <c r="C75" i="9"/>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l="1"/>
  <c r="C36" i="98" s="1"/>
  <c r="C37" i="34"/>
  <c r="E37" i="34" s="1"/>
  <c r="G37" i="34" s="1"/>
  <c r="I37" i="34" s="1"/>
  <c r="C36" i="33"/>
  <c r="E36" i="33" s="1"/>
  <c r="G36" i="33" s="1"/>
  <c r="I36" i="33" s="1"/>
  <c r="Y6" i="1"/>
  <c r="N28" i="1"/>
  <c r="J36" i="98" l="1"/>
  <c r="E36" i="98"/>
  <c r="F36" i="98" s="1"/>
  <c r="S36" i="98" s="1"/>
  <c r="H36" i="98"/>
  <c r="AC36" i="98"/>
  <c r="W36" i="98"/>
  <c r="AB36" i="98"/>
  <c r="U36" i="98"/>
  <c r="D3" i="4"/>
  <c r="AA36" i="98"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8" i="82"/>
  <c r="F16" i="82"/>
  <c r="M8" i="82"/>
  <c r="D4" i="73"/>
  <c r="L47" i="82"/>
  <c r="M6" i="82"/>
  <c r="E2" i="69"/>
  <c r="M28" i="82"/>
  <c r="F40" i="82"/>
  <c r="M26" i="82"/>
  <c r="M9" i="82"/>
  <c r="E7" i="76"/>
  <c r="F7" i="82"/>
  <c r="B13" i="76"/>
  <c r="F43" i="82"/>
  <c r="M27" i="82"/>
  <c r="E2" i="68"/>
  <c r="B12" i="76"/>
  <c r="M23" i="82"/>
  <c r="E11" i="76"/>
  <c r="B7" i="76"/>
  <c r="L48" i="82"/>
  <c r="F9" i="82"/>
  <c r="D5" i="73"/>
  <c r="E13" i="76"/>
  <c r="F5" i="73"/>
  <c r="J15" i="82"/>
  <c r="F26" i="82"/>
  <c r="C76" i="82"/>
  <c r="F13" i="82"/>
  <c r="M24" i="82"/>
  <c r="F7" i="73"/>
  <c r="M22" i="82"/>
  <c r="D7" i="73"/>
  <c r="F37" i="82"/>
  <c r="B10" i="76"/>
  <c r="B9" i="76"/>
  <c r="F36" i="82"/>
  <c r="F42" i="82"/>
  <c r="E8" i="76"/>
  <c r="F6" i="82"/>
  <c r="E12" i="76"/>
  <c r="E9" i="76"/>
  <c r="D3" i="73"/>
  <c r="F38" i="82"/>
  <c r="F4" i="73"/>
  <c r="F6" i="73"/>
  <c r="E10" i="76"/>
  <c r="D6" i="73"/>
  <c r="F3" i="73"/>
  <c r="B11" i="76"/>
  <c r="M29" i="82"/>
  <c r="F20" i="31"/>
  <c r="B8" i="76"/>
  <c r="G13" i="3" l="1"/>
  <c r="G22" i="68"/>
  <c r="S8" i="34"/>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65"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L47" i="15"/>
  <c r="M23" i="67"/>
  <c r="C76" i="15"/>
  <c r="L48" i="67"/>
  <c r="M24" i="67"/>
  <c r="L47" i="67"/>
  <c r="F43" i="15"/>
  <c r="M26" i="67"/>
  <c r="C16" i="82"/>
  <c r="M28" i="67"/>
  <c r="J15" i="67"/>
  <c r="F38" i="15"/>
  <c r="F26" i="67"/>
  <c r="F40" i="67"/>
  <c r="F26" i="15"/>
  <c r="F42" i="67"/>
  <c r="F9" i="15"/>
  <c r="M6" i="15"/>
  <c r="F16" i="15"/>
  <c r="F13" i="15"/>
  <c r="M6" i="67"/>
  <c r="F38" i="67"/>
  <c r="M29" i="67"/>
  <c r="F8" i="15"/>
  <c r="M29" i="15"/>
  <c r="F9" i="67"/>
  <c r="G1" i="73"/>
  <c r="F7" i="15"/>
  <c r="M26" i="15"/>
  <c r="M24" i="15"/>
  <c r="F36" i="67"/>
  <c r="F6" i="15"/>
  <c r="J15" i="15"/>
  <c r="M23" i="15"/>
  <c r="F42" i="15"/>
  <c r="F36" i="15"/>
  <c r="M9" i="67"/>
  <c r="F37" i="15"/>
  <c r="F40" i="15"/>
  <c r="F8" i="67"/>
  <c r="L48" i="15"/>
  <c r="F37" i="67"/>
  <c r="C76" i="67"/>
  <c r="M22" i="67"/>
  <c r="F16" i="67"/>
  <c r="M8" i="15"/>
  <c r="M22" i="15"/>
  <c r="F7" i="67"/>
  <c r="F43" i="67"/>
  <c r="M28" i="15"/>
  <c r="M8" i="67"/>
  <c r="M9" i="15"/>
  <c r="F13" i="67"/>
  <c r="C59" i="34" l="1"/>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F28" i="12"/>
  <c r="C29" i="12" s="1"/>
  <c r="D28" i="12"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15"/>
  <c r="C16" i="67"/>
  <c r="H7" i="98" l="1"/>
  <c r="F27" i="11"/>
  <c r="C29" i="11" s="1"/>
  <c r="D27" i="11" s="1"/>
  <c r="F7" i="98"/>
  <c r="AA7" i="98" s="1"/>
  <c r="Q74" i="15"/>
  <c r="E56" i="40"/>
  <c r="E59" i="40"/>
  <c r="C49" i="67"/>
  <c r="D50" i="43"/>
  <c r="E3" i="6"/>
  <c r="U4" i="43" s="1"/>
  <c r="J5" i="15"/>
  <c r="J24" i="15" s="1"/>
  <c r="C49" i="15"/>
  <c r="F27" i="69"/>
  <c r="F45" i="69" s="1"/>
  <c r="J7" i="98"/>
  <c r="W7" i="98" s="1"/>
  <c r="L26" i="1"/>
  <c r="L32" i="1" s="1"/>
  <c r="E60" i="40"/>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D3" i="34"/>
  <c r="D19" i="11"/>
  <c r="C19" i="11" s="1"/>
  <c r="C17" i="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M27" i="15"/>
  <c r="M27" i="67"/>
  <c r="D3" i="37" l="1"/>
  <c r="E6" i="6"/>
  <c r="S7" i="98"/>
  <c r="B14" i="74"/>
  <c r="B1" i="74" s="1"/>
  <c r="C33" i="98"/>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J33" i="98"/>
  <c r="H33" i="98"/>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82"/>
  <c r="C14" i="67"/>
  <c r="C17" i="15"/>
  <c r="F41" i="15"/>
  <c r="C17" i="67"/>
  <c r="F34" i="34" l="1"/>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C14" i="82"/>
  <c r="M21" i="82"/>
  <c r="C14" i="15"/>
  <c r="F35" i="82"/>
  <c r="AB34" i="34" l="1"/>
  <c r="S34" i="34"/>
  <c r="I53" i="33"/>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15"/>
  <c r="F6" i="67"/>
  <c r="F35" i="15"/>
  <c r="F35" i="67"/>
  <c r="M21"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82"/>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F41" i="67"/>
  <c r="L51" i="67"/>
  <c r="D2" i="34"/>
  <c r="D2" i="35"/>
  <c r="D2" i="37"/>
  <c r="D2" i="36"/>
  <c r="L51" i="15"/>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10" i="1"/>
  <c r="AO9" i="1"/>
  <c r="F41" i="82"/>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D35" i="9"/>
  <c r="D34" i="9"/>
  <c r="C35" i="9" l="1"/>
  <c r="R22" i="31"/>
  <c r="B20" i="31"/>
  <c r="B21" i="31" s="1"/>
  <c r="F14" i="74"/>
  <c r="B5" i="74"/>
  <c r="D5" i="74" s="1"/>
  <c r="C34" i="9" l="1"/>
  <c r="F118" i="9" l="1"/>
  <c r="G118" i="9" s="1"/>
  <c r="G4" i="52" s="1"/>
  <c r="B52" i="72" s="1"/>
  <c r="D118" i="9" l="1"/>
  <c r="F119" i="9"/>
  <c r="F5" i="52" s="1"/>
  <c r="B53" i="72" s="1"/>
  <c r="F4" i="52"/>
  <c r="B51" i="72" s="1"/>
  <c r="D59" i="9"/>
  <c r="M55" i="9" s="1"/>
  <c r="D4" i="52" l="1"/>
  <c r="B47" i="72" s="1"/>
  <c r="D119" i="9"/>
  <c r="D5" i="52" s="1"/>
  <c r="B49" i="72" s="1"/>
  <c r="H111" i="9" l="1"/>
  <c r="D126" i="9" s="1"/>
  <c r="D21" i="53" l="1"/>
  <c r="B39" i="72" s="1"/>
  <c r="D19" i="53"/>
  <c r="B38" i="72" s="1"/>
  <c r="C8" i="74"/>
  <c r="D127" i="9"/>
  <c r="D13" i="52" s="1"/>
  <c r="D12" i="52"/>
  <c r="D20" i="53" l="1"/>
  <c r="B40" i="72" s="1"/>
  <c r="H118" i="9" l="1"/>
  <c r="H101" i="9" s="1"/>
  <c r="H112" i="9"/>
  <c r="D112" i="9"/>
  <c r="H4" i="52" l="1"/>
  <c r="I118" i="9"/>
  <c r="E118" i="9" s="1"/>
  <c r="E4" i="52" s="1"/>
  <c r="B48" i="72" s="1"/>
  <c r="H119" i="9"/>
  <c r="H5" i="52" s="1"/>
  <c r="C104" i="9"/>
  <c r="D45" i="9"/>
  <c r="M48" i="9"/>
  <c r="D5" i="53"/>
  <c r="H107" i="9"/>
  <c r="I4" i="52" l="1"/>
  <c r="H102" i="9"/>
  <c r="C105" i="9"/>
  <c r="D6" i="53"/>
  <c r="B22" i="72" s="1"/>
  <c r="B20" i="72"/>
  <c r="H108" i="9"/>
  <c r="G14" i="74"/>
  <c r="B6" i="74" s="1"/>
  <c r="M49" i="9"/>
  <c r="D122" i="9"/>
  <c r="D13" i="53"/>
  <c r="D55" i="9"/>
  <c r="M53" i="9" s="1"/>
  <c r="C85" i="9"/>
  <c r="D53" i="9"/>
  <c r="C64" i="9"/>
  <c r="C63" i="9" s="1"/>
  <c r="C67" i="9" s="1"/>
  <c r="C68" i="9" s="1"/>
  <c r="D54" i="9" s="1"/>
  <c r="D48" i="9" s="1"/>
  <c r="M52" i="9" s="1"/>
  <c r="C93" i="9"/>
  <c r="C86" i="9" s="1"/>
  <c r="C78" i="9"/>
  <c r="C73" i="9" s="1"/>
  <c r="D52" i="9"/>
  <c r="M54" i="9"/>
  <c r="C72" i="9"/>
  <c r="C95" i="9" l="1"/>
  <c r="N57" i="9"/>
  <c r="N58" i="9" s="1"/>
  <c r="C5" i="74"/>
  <c r="D7" i="53"/>
  <c r="B21" i="72" s="1"/>
  <c r="C96" i="9"/>
  <c r="E96" i="9" s="1"/>
  <c r="E97" i="9" s="1"/>
  <c r="C6" i="74"/>
  <c r="D6" i="74"/>
  <c r="D14" i="53"/>
  <c r="B32" i="72" s="1"/>
  <c r="B30" i="72"/>
  <c r="D15" i="53"/>
  <c r="B31" i="72" s="1"/>
  <c r="D108" i="9"/>
  <c r="L63" i="9"/>
  <c r="M63" i="9" s="1"/>
  <c r="L65" i="9"/>
  <c r="M65" i="9" s="1"/>
  <c r="L67" i="9"/>
  <c r="M67" i="9" s="1"/>
  <c r="L68" i="9"/>
  <c r="M68" i="9" s="1"/>
  <c r="L64" i="9"/>
  <c r="M64" i="9" s="1"/>
  <c r="L66" i="9"/>
  <c r="M66" i="9" s="1"/>
  <c r="C79" i="9"/>
  <c r="D8" i="52"/>
  <c r="D123" i="9"/>
  <c r="D9" i="52" s="1"/>
  <c r="N59" i="9" l="1"/>
  <c r="N60" i="9" s="1"/>
  <c r="C97" i="9"/>
  <c r="C80" i="9"/>
  <c r="E80" i="9" s="1"/>
  <c r="E81" i="9" s="1"/>
  <c r="M69" i="9"/>
  <c r="N69" i="9" s="1"/>
  <c r="N61" i="9" l="1"/>
  <c r="C81" i="9"/>
  <c r="D58" i="9" s="1"/>
  <c r="D56"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<sst xmlns="http://schemas.openxmlformats.org/spreadsheetml/2006/main" count="8873" uniqueCount="3561">
  <si>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</si>
  <si>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</si>
  <si>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</si>
  <si>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</si>
  <si>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</si>
  <si>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</si>
  <si>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</si>
  <si>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</si>
  <si>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</si>
  <si>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</si>
  <si>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</si>
  <si>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</si>
  <si>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</si>
  <si>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</si>
  <si>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</si>
  <si>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</si>
  <si>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</si>
  <si>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</si>
  <si>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</si>
  <si>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</si>
  <si>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</si>
  <si>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</si>
  <si>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</si>
  <si>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</si>
  <si>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</si>
  <si>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</si>
  <si>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</si>
  <si>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</si>
  <si>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</si>
  <si>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</si>
  <si>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</si>
  <si>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</si>
  <si>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</si>
  <si>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</si>
  <si>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</si>
  <si>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</si>
  <si>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</si>
  <si>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</si>
  <si>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</si>
  <si>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</si>
  <si>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</si>
  <si>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</si>
  <si>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</si>
  <si>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</si>
  <si>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</si>
  <si>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</si>
  <si>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</si>
  <si>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</si>
  <si>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</si>
  <si>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</si>
  <si>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</si>
  <si>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</si>
  <si>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</si>
  <si>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</si>
  <si>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</si>
  <si>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</si>
  <si>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</si>
  <si>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</si>
  <si>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</si>
  <si>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</si>
  <si>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</si>
  <si>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</si>
  <si>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</si>
  <si>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</si>
  <si>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</si>
  <si>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</si>
  <si>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</si>
  <si>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</si>
  <si>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</si>
  <si>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</si>
  <si>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</si>
  <si>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</si>
  <si>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</si>
  <si>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</si>
  <si>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</si>
  <si>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</si>
  <si>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</si>
  <si>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</si>
  <si>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</si>
  <si>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</si>
  <si>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</si>
  <si>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</si>
  <si>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</si>
  <si>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</si>
  <si>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</si>
  <si>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</si>
  <si>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</si>
  <si>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</si>
  <si>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</si>
  <si>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</si>
  <si>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</si>
  <si>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</si>
  <si>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</si>
  <si>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</si>
  <si>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</si>
  <si>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</si>
  <si>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</si>
  <si>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</si>
  <si>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</si>
  <si>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</si>
  <si>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</si>
  <si>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</si>
  <si>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</si>
  <si>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</si>
  <si>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</si>
  <si>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</si>
  <si>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</si>
  <si>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</si>
  <si>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</si>
  <si>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</si>
  <si>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</si>
  <si>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</si>
  <si>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</si>
  <si>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</si>
  <si>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</si>
  <si>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</si>
  <si>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</si>
  <si>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</si>
  <si>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</si>
  <si>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</si>
  <si>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</si>
  <si>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</si>
  <si>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</si>
  <si>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</si>
  <si>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</si>
  <si>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</si>
  <si>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</si>
  <si>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</si>
  <si>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</si>
  <si>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</si>
  <si>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</si>
  <si>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</si>
  <si>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</si>
  <si>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</si>
  <si>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</si>
  <si>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</si>
  <si>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</si>
  <si>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</si>
  <si>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</si>
  <si>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</si>
  <si>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</si>
  <si>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</si>
  <si>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</si>
  <si>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</si>
  <si>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</si>
  <si>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</si>
  <si>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</si>
  <si>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</si>
  <si>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</si>
  <si>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</si>
  <si>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</si>
  <si>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</si>
  <si>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</si>
  <si>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</si>
  <si>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</si>
  <si>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</si>
  <si>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</si>
  <si>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</si>
  <si>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</si>
  <si>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</si>
  <si>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</si>
  <si>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</si>
  <si>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</si>
  <si>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</si>
  <si>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</si>
  <si>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</si>
  <si>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</si>
  <si>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</si>
  <si>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</si>
  <si>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</si>
  <si>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</si>
  <si>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</si>
  <si>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</si>
  <si>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</si>
  <si>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</si>
  <si>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</si>
  <si>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</si>
  <si>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</si>
  <si>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</si>
  <si>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</si>
  <si>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</si>
  <si>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</si>
  <si>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</si>
  <si>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</si>
  <si>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</si>
  <si>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</si>
  <si>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</si>
  <si>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</si>
  <si>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</si>
  <si>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</si>
  <si>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</si>
  <si>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</si>
  <si>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</si>
  <si>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</si>
  <si>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</si>
  <si>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</si>
  <si>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</si>
  <si>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</si>
  <si>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</si>
  <si>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</si>
  <si>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</si>
  <si>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</si>
  <si>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</si>
  <si>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</si>
  <si>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</si>
  <si>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</si>
  <si>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</si>
  <si>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</si>
  <si>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</si>
  <si>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</si>
  <si>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</si>
  <si>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</si>
  <si>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</si>
  <si>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</si>
  <si>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</si>
  <si>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</si>
  <si>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</si>
  <si>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</si>
  <si>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</si>
  <si>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</si>
  <si>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</si>
  <si>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</si>
  <si>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</si>
  <si>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</si>
  <si>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</si>
  <si>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</si>
  <si>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</si>
  <si>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</si>
  <si>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</si>
  <si>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</si>
  <si>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</si>
  <si>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</si>
  <si>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</si>
  <si>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</si>
  <si>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</si>
  <si>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</si>
  <si>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</si>
  <si>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</si>
  <si>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</si>
  <si>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</si>
  <si>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</si>
  <si>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</si>
  <si>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</si>
  <si>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</si>
  <si>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</si>
  <si>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</si>
  <si>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</si>
  <si>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</si>
  <si>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</si>
  <si>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</si>
  <si>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</si>
  <si>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</si>
  <si>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</si>
  <si>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</si>
  <si>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</si>
  <si>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</si>
  <si>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</si>
  <si>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</si>
  <si>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</si>
  <si>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</si>
  <si>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</si>
  <si>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</si>
  <si>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</si>
  <si>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</si>
  <si>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</si>
  <si>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</si>
  <si>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</si>
  <si>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</si>
  <si>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</si>
  <si>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</si>
  <si>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</si>
  <si>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</si>
  <si>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</si>
  <si>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</si>
  <si>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</si>
  <si>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</si>
  <si>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</si>
  <si>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</si>
  <si>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</si>
  <si>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</si>
  <si>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</si>
  <si>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</si>
  <si>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</si>
  <si>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</si>
  <si>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</si>
  <si>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</si>
  <si>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</si>
  <si>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</si>
  <si>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</si>
  <si>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</si>
  <si>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</si>
  <si>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</si>
  <si>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</si>
  <si>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</si>
  <si>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</si>
  <si>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</si>
  <si>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</si>
  <si>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</si>
  <si>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</si>
  <si>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</si>
  <si>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</si>
  <si>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</si>
  <si>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</si>
  <si>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</si>
  <si>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</si>
  <si>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</si>
  <si>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</si>
  <si>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</si>
  <si>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</si>
  <si>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</si>
  <si>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</si>
  <si>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</si>
  <si>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</si>
  <si>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</si>
  <si>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</si>
  <si>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</si>
  <si>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</si>
  <si>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</si>
  <si>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</si>
  <si>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</si>
  <si>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</si>
  <si>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</si>
  <si>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</si>
  <si>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</si>
  <si>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</si>
  <si>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</si>
  <si>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</si>
  <si>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</si>
  <si>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</si>
  <si>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</si>
  <si>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</si>
  <si>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</si>
  <si>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</si>
  <si>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</si>
  <si>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</si>
  <si>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</si>
  <si>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</si>
  <si>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</si>
  <si>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</si>
  <si>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</si>
  <si>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</si>
  <si>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</si>
  <si>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</si>
  <si>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</si>
  <si>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</si>
  <si>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</si>
  <si>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</si>
  <si>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</si>
  <si>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</si>
  <si>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</si>
  <si>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</si>
  <si>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</si>
  <si>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</si>
  <si>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</si>
  <si>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</si>
  <si>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</si>
  <si>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</si>
  <si>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</si>
  <si>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</si>
  <si>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</si>
  <si>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</si>
  <si>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</si>
  <si>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</si>
  <si>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</si>
  <si>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</si>
  <si>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</si>
  <si>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</si>
  <si>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</si>
  <si>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</si>
  <si>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</si>
  <si>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</si>
  <si>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</si>
  <si>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</si>
  <si>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</si>
  <si>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</si>
  <si>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</si>
  <si>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</si>
  <si>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</si>
  <si>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</si>
  <si>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</si>
  <si>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</si>
  <si>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</si>
  <si>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</si>
  <si>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</si>
  <si>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</si>
  <si>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</si>
  <si>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</si>
  <si>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</si>
  <si>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</si>
  <si>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</si>
  <si>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</si>
  <si>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</si>
  <si>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</si>
  <si>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</si>
  <si>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</si>
  <si>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</si>
  <si>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</si>
  <si>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</si>
  <si>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</si>
  <si>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</si>
  <si>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</si>
  <si>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</si>
  <si>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</si>
  <si>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</si>
  <si>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</si>
  <si>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</si>
  <si>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</si>
  <si>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</si>
  <si>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</si>
  <si>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</si>
  <si>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</si>
  <si>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</si>
  <si>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</si>
  <si>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</si>
  <si>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</si>
  <si>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</si>
  <si>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</si>
  <si>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</si>
  <si>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</si>
  <si>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</si>
  <si>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</si>
  <si>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</si>
  <si>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</si>
  <si>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</si>
  <si>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</si>
  <si>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</si>
  <si>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</si>
  <si>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</si>
  <si>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</si>
  <si>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</si>
  <si>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</si>
  <si>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</si>
  <si>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</si>
  <si>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</si>
  <si>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</si>
  <si>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</si>
  <si>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</si>
  <si>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</si>
  <si>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</si>
  <si>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</si>
  <si>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</si>
  <si>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</si>
  <si>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</si>
  <si>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</si>
  <si>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</si>
  <si>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</si>
  <si>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</si>
  <si>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</si>
  <si>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</si>
  <si>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</si>
  <si>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</si>
  <si>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</si>
  <si>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</si>
  <si>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</si>
  <si>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</si>
  <si>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</si>
  <si>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</si>
  <si>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</si>
  <si>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</si>
  <si>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</si>
  <si>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</si>
  <si>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</si>
  <si>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</si>
  <si>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</si>
  <si>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</si>
  <si>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</si>
  <si>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</si>
  <si>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</si>
  <si>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</si>
  <si>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</si>
  <si>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</si>
  <si>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</si>
  <si>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</si>
  <si>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</si>
  <si>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</si>
  <si>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</si>
  <si>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</si>
  <si>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</si>
  <si>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</si>
  <si>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</si>
  <si>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</si>
  <si>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</si>
  <si>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</si>
  <si>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</si>
  <si>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</si>
  <si>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</si>
  <si>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</si>
  <si>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</si>
  <si>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</si>
  <si>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</si>
  <si>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</si>
  <si>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</si>
  <si>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</si>
  <si>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</si>
  <si>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</si>
  <si>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</si>
  <si>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</si>
  <si>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</si>
  <si>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</si>
  <si>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</si>
  <si>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</si>
  <si>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</si>
  <si>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</si>
  <si>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</si>
  <si>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</si>
  <si>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</si>
  <si>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</si>
  <si>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</si>
  <si>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</si>
  <si>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</si>
  <si>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</si>
  <si>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</si>
  <si>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</si>
  <si>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</si>
  <si>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</si>
  <si>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</si>
  <si>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</si>
  <si>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</si>
  <si>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</si>
  <si>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</si>
  <si>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</si>
  <si>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</si>
  <si>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</si>
  <si>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</si>
  <si>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</si>
  <si>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</si>
  <si>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</si>
  <si>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</si>
  <si>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</si>
  <si>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</si>
  <si>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</si>
  <si>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</si>
  <si>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</si>
  <si>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</si>
  <si>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</si>
  <si>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</si>
  <si>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</si>
  <si>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</si>
  <si>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</si>
  <si>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</si>
  <si>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</si>
  <si>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</si>
  <si>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</si>
  <si>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</si>
  <si>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</si>
  <si>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</si>
  <si>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</si>
  <si>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</si>
  <si>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</si>
  <si>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</si>
  <si>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</si>
  <si>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</si>
  <si>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</si>
  <si>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</si>
  <si>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</si>
  <si>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</si>
  <si>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</si>
  <si>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</si>
  <si>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</si>
  <si>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</si>
  <si>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</si>
  <si>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</si>
  <si>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</si>
  <si>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</si>
  <si>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</si>
  <si>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</si>
  <si>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</si>
  <si>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</si>
  <si>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</si>
  <si>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</si>
  <si>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</si>
  <si>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</si>
  <si>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</si>
  <si>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</si>
  <si>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</si>
  <si>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</si>
  <si>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</si>
  <si>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</si>
  <si>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</si>
  <si>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</si>
  <si>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</si>
  <si>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</si>
  <si>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</si>
  <si>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</si>
  <si>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</si>
  <si>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</si>
  <si>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</si>
  <si>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</si>
  <si>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</si>
  <si>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</si>
  <si>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</si>
  <si>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</si>
  <si>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</si>
  <si>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</si>
  <si>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</si>
  <si>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</si>
  <si>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</si>
  <si>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</si>
  <si>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</si>
  <si>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</si>
  <si>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</si>
  <si>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</si>
  <si>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</si>
  <si>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</si>
  <si>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</si>
  <si>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</si>
  <si>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</si>
  <si>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</si>
  <si>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</si>
  <si>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</si>
  <si>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</si>
  <si>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</si>
  <si>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</si>
  <si>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</si>
  <si>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</si>
  <si>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</si>
  <si>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</si>
  <si>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</si>
  <si>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</si>
  <si>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</si>
  <si>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</si>
  <si>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</si>
  <si>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</si>
  <si>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</si>
  <si>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</si>
  <si>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</si>
  <si>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</si>
  <si>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</si>
  <si>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</si>
  <si>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</si>
  <si>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</si>
  <si>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</si>
  <si>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</si>
  <si>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</si>
  <si>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</si>
  <si>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</si>
  <si>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</si>
  <si>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</si>
  <si>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</si>
  <si>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</si>
  <si>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</si>
  <si>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</si>
  <si>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</si>
  <si>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</si>
  <si>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</si>
  <si>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</si>
  <si>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</si>
  <si>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</si>
  <si>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</si>
  <si>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</si>
  <si>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</si>
  <si>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</si>
  <si>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</si>
  <si>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</si>
  <si>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</si>
  <si>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</si>
  <si>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</si>
  <si>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</si>
  <si>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</si>
  <si>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</si>
  <si>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</si>
  <si>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</si>
  <si>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</si>
  <si>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</si>
  <si>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</si>
  <si>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</si>
  <si>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</si>
  <si>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</si>
  <si>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</si>
  <si>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</si>
  <si>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</si>
  <si>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</si>
  <si>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</si>
  <si>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</si>
  <si>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</si>
  <si>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</si>
  <si>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</si>
  <si>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</si>
  <si>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</si>
  <si>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</si>
  <si>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</si>
  <si>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</si>
  <si>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</si>
  <si>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</si>
  <si>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</si>
  <si>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</si>
  <si>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</si>
  <si>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</si>
  <si>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</si>
  <si>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</si>
  <si>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</si>
  <si>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</si>
  <si>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</si>
  <si>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</si>
  <si>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</si>
  <si>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</si>
  <si>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</si>
  <si>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</si>
  <si>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</si>
  <si>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</si>
  <si>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</si>
  <si>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</si>
  <si>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</si>
  <si>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</si>
  <si>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</si>
  <si>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</si>
  <si>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</si>
  <si>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</si>
  <si>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</si>
  <si>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</si>
  <si>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</si>
  <si>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</si>
  <si>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</si>
  <si>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</si>
  <si>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</si>
  <si>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</si>
  <si>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</si>
  <si>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</si>
  <si>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</si>
  <si>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</si>
  <si>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</si>
  <si>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</si>
  <si>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</si>
  <si>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</si>
  <si>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</si>
  <si>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</si>
  <si>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</si>
  <si>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</si>
  <si>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</si>
  <si>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</si>
  <si>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</si>
  <si>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</si>
  <si>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</si>
  <si>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</si>
  <si>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</si>
  <si>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</si>
  <si>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</si>
  <si>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</si>
  <si>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</si>
  <si>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</si>
  <si>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</si>
  <si>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</si>
  <si>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</si>
  <si>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</si>
  <si>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</si>
  <si>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</si>
  <si>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</si>
  <si>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</si>
  <si>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</si>
  <si>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</si>
  <si>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</si>
  <si>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</si>
  <si>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</si>
  <si>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</si>
  <si>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</si>
  <si>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</si>
  <si>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</si>
  <si>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</si>
  <si>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</si>
  <si>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</si>
  <si>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</si>
  <si>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</si>
  <si>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</si>
  <si>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</si>
  <si>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</si>
  <si>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</si>
  <si>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</si>
  <si>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</si>
  <si>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</si>
  <si>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</si>
  <si>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</si>
  <si>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</si>
  <si>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</si>
  <si>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</si>
  <si>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</si>
  <si>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</si>
  <si>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</si>
  <si>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</si>
  <si>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</si>
  <si>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</si>
  <si>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</si>
  <si>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</si>
  <si>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</si>
  <si>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</si>
  <si>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</si>
  <si>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</si>
  <si>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</si>
  <si>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</si>
  <si>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</si>
  <si>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</si>
  <si>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</si>
  <si>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</si>
  <si>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</si>
  <si>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</si>
  <si>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</si>
  <si>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</si>
  <si>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</si>
  <si>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</si>
  <si>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</si>
  <si>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</si>
  <si>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</si>
  <si>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</si>
  <si>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</si>
  <si>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</si>
  <si>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</si>
  <si>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</si>
  <si>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</si>
  <si>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</si>
  <si>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</si>
  <si>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</si>
  <si>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</si>
  <si>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</si>
  <si>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</si>
  <si>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</si>
  <si>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</si>
  <si>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</si>
  <si>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</si>
  <si>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</si>
  <si>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</si>
  <si>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</si>
  <si>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</si>
  <si>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</si>
  <si>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</si>
  <si>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</si>
  <si>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</si>
  <si>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</si>
  <si>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</si>
  <si>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</si>
  <si>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</si>
  <si>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</si>
  <si>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</si>
  <si>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</si>
  <si>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</si>
  <si>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</si>
  <si>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</si>
  <si>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</si>
  <si>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</si>
  <si>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</si>
  <si>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</si>
  <si>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</si>
  <si>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</si>
  <si>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</si>
  <si>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</si>
  <si>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</si>
  <si>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</si>
  <si>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</si>
  <si>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</si>
  <si>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</si>
  <si>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</si>
  <si>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</si>
  <si>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</si>
  <si>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</si>
  <si>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</si>
  <si>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</si>
  <si>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</si>
  <si>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</si>
  <si>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</si>
  <si>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</si>
  <si>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</si>
  <si>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</si>
  <si>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</si>
  <si>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</si>
  <si>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</si>
  <si>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</si>
  <si>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</si>
  <si>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</si>
  <si>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</si>
  <si>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</si>
  <si>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</si>
  <si>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</si>
  <si>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</si>
  <si>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</si>
  <si>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</si>
  <si>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</si>
  <si>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</si>
  <si>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</si>
  <si>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</si>
  <si>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</si>
  <si>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</si>
  <si>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</si>
  <si>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</si>
  <si>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</si>
  <si>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</si>
  <si>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</si>
  <si>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</si>
  <si>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</si>
  <si>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</si>
  <si>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</si>
  <si>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</si>
  <si>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</si>
  <si>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</si>
  <si>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</si>
  <si>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</si>
  <si>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</si>
  <si>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</si>
  <si>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</si>
  <si>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</si>
  <si>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</si>
  <si>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</si>
  <si>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</si>
  <si>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</si>
  <si>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</si>
  <si>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</si>
  <si>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</si>
  <si>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</si>
  <si>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</si>
  <si>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</si>
  <si>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</si>
  <si>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</si>
  <si>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</si>
  <si>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</si>
  <si>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</si>
  <si>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</si>
  <si>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</si>
  <si>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</si>
  <si>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</si>
  <si>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</si>
  <si>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</si>
  <si>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</si>
  <si>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</si>
  <si>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</si>
  <si>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</si>
  <si>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</si>
  <si>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</si>
  <si>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</si>
  <si>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</si>
  <si>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</si>
  <si>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</si>
  <si>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</si>
  <si>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</si>
  <si>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</si>
  <si>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</si>
  <si>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</si>
  <si>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</si>
  <si>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</si>
  <si>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</si>
  <si>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</si>
  <si>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</si>
  <si>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</si>
  <si>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</si>
  <si>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</si>
  <si>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</si>
  <si>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</si>
  <si>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</si>
  <si>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</si>
  <si>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</si>
  <si>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</si>
  <si>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</si>
  <si>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</si>
  <si>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</si>
  <si>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</si>
  <si>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</si>
  <si>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</si>
  <si>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</si>
  <si>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</si>
  <si>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</si>
  <si>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</si>
  <si>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</si>
  <si>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</si>
  <si>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</si>
  <si>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</si>
  <si>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</si>
  <si>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</si>
  <si>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</si>
  <si>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</si>
  <si>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</si>
  <si>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</si>
  <si>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</si>
  <si>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</si>
  <si>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</si>
  <si>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</si>
  <si>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</si>
  <si>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</si>
  <si>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</si>
  <si>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</si>
  <si>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</si>
  <si>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</si>
  <si>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</si>
  <si>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</si>
  <si>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</si>
  <si>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</si>
  <si>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</si>
  <si>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</si>
  <si>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</si>
  <si>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</si>
  <si>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</si>
  <si>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</si>
  <si>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</si>
  <si>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</si>
  <si>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</si>
  <si>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</si>
  <si>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</si>
  <si>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</si>
  <si>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</si>
  <si>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</si>
  <si>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</si>
  <si>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</si>
  <si>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</si>
  <si>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</si>
  <si>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</si>
  <si>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</si>
  <si>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</si>
  <si>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</si>
  <si>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</si>
  <si>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</si>
  <si>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</si>
  <si>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</si>
  <si>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</si>
  <si>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</si>
  <si>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</si>
  <si>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</si>
  <si>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</si>
  <si>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</si>
  <si>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</si>
  <si>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</si>
  <si>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</si>
  <si>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</si>
  <si>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</si>
  <si>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</si>
  <si>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</si>
  <si>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</si>
  <si>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</si>
  <si>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</si>
  <si>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</si>
  <si>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</si>
  <si>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</si>
  <si>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</si>
  <si>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</si>
  <si>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</si>
  <si>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</si>
  <si>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</si>
  <si>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</si>
  <si>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</si>
  <si>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</si>
  <si>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</si>
  <si>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</si>
  <si>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</si>
  <si>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</si>
  <si>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</si>
  <si>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</si>
  <si>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</si>
  <si>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</si>
  <si>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</si>
  <si>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</si>
  <si>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</si>
  <si>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</si>
  <si>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</si>
  <si>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</si>
  <si>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</si>
  <si>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</si>
  <si>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</si>
  <si>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</si>
  <si>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</si>
  <si>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</si>
  <si>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</si>
  <si>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</si>
  <si>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</si>
  <si>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</si>
  <si>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</si>
  <si>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</si>
  <si>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</si>
  <si>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</si>
  <si>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</si>
  <si>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</si>
  <si>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</si>
  <si>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</si>
  <si>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</si>
  <si>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</si>
  <si>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</si>
  <si>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</si>
  <si>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</si>
  <si>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</si>
  <si>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</si>
  <si>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</si>
  <si>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</si>
  <si>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</si>
  <si>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</si>
  <si>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</si>
  <si>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</si>
  <si>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</si>
  <si>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</si>
  <si>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</si>
  <si>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</si>
  <si>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</si>
  <si>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</si>
  <si>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</si>
  <si>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</si>
  <si>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</si>
  <si>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</si>
  <si>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</si>
  <si>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</si>
  <si>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</si>
  <si>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</si>
  <si>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</si>
  <si>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</si>
  <si>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</si>
  <si>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</si>
  <si>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</si>
  <si>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</si>
  <si>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</si>
  <si>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</si>
  <si>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</si>
  <si>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</si>
  <si>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</si>
  <si>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</si>
  <si>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</si>
  <si>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</si>
  <si>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</si>
  <si>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</si>
  <si>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</si>
  <si>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</si>
  <si>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</si>
  <si>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</si>
  <si>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</si>
  <si>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</si>
  <si>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</si>
  <si>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</si>
  <si>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</si>
  <si>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</si>
  <si>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</si>
  <si>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</si>
  <si>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</si>
  <si>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</si>
  <si>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</si>
  <si>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</si>
  <si>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</si>
  <si>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</si>
  <si>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</si>
  <si>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</si>
  <si>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</si>
  <si>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</si>
  <si>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</si>
  <si>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</si>
  <si>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</si>
  <si>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</si>
  <si>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</si>
  <si>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</si>
  <si>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</si>
  <si>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</si>
  <si>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</si>
  <si>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</si>
  <si>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</si>
  <si>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</si>
  <si>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</si>
  <si>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</si>
  <si>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</si>
  <si>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</si>
  <si>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</si>
  <si>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</si>
  <si>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</si>
  <si>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</si>
  <si>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</si>
  <si>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</si>
  <si>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</si>
  <si>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</si>
  <si>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</si>
  <si>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</si>
  <si>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</si>
  <si>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</si>
  <si>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</si>
  <si>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</si>
  <si>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</si>
  <si>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</si>
  <si>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</si>
  <si>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</si>
  <si>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</si>
  <si>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</si>
  <si>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</si>
  <si>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</si>
  <si>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</si>
  <si>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</si>
  <si>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</si>
  <si>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</si>
  <si>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</si>
  <si>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</si>
  <si>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</si>
  <si>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</si>
  <si>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</si>
  <si>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</si>
  <si>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</si>
  <si>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</si>
  <si>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</si>
  <si>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</si>
  <si>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</si>
  <si>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</si>
  <si>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</si>
  <si>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</si>
  <si>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</si>
  <si>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</si>
  <si>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</si>
  <si>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</si>
  <si>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</si>
  <si>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</si>
  <si>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</si>
  <si>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</si>
  <si>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</si>
  <si>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</si>
  <si>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</si>
  <si>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</si>
  <si>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</si>
  <si>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</si>
  <si>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</si>
  <si>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</si>
  <si>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</si>
  <si>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</si>
  <si>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</si>
  <si>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</si>
  <si>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</si>
  <si>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</si>
  <si>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</si>
  <si>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</si>
  <si>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</si>
  <si>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</si>
  <si>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</si>
  <si>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</si>
  <si>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</si>
  <si>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</si>
  <si>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</si>
  <si>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</si>
  <si>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</si>
  <si>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</si>
  <si>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</si>
  <si>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</si>
  <si>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</si>
  <si>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</si>
  <si>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</si>
  <si>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</si>
  <si>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</si>
  <si>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</si>
  <si>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</si>
  <si>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</si>
  <si>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</si>
  <si>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</si>
  <si>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</si>
  <si>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</si>
  <si>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</si>
  <si>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</si>
  <si>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</si>
  <si>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</si>
  <si>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</si>
  <si>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</si>
  <si>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</si>
  <si>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</si>
  <si>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</si>
  <si>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</si>
  <si>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</si>
  <si>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</si>
  <si>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</si>
  <si>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</si>
  <si>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</si>
  <si>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</si>
  <si>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</si>
  <si>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</si>
  <si>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</si>
  <si>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</si>
  <si>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</si>
  <si>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</si>
  <si>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</si>
  <si>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</si>
  <si>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</si>
  <si>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</si>
  <si>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</si>
  <si>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</si>
  <si>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</si>
  <si>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</si>
  <si>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</si>
  <si>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</si>
  <si>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</si>
  <si>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</si>
  <si>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</si>
  <si>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</si>
  <si>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</si>
  <si>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</si>
  <si>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</si>
  <si>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</si>
  <si>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</si>
  <si>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</si>
  <si>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</si>
  <si>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</si>
  <si>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</si>
  <si>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</si>
  <si>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</si>
  <si>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</si>
  <si>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</si>
  <si>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</si>
  <si>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</si>
  <si>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</si>
  <si>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</si>
  <si>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</si>
  <si>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</si>
  <si>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</si>
  <si>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</si>
  <si>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</si>
  <si>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</si>
  <si>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</si>
  <si>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</si>
  <si>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</si>
  <si>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</si>
  <si>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</si>
  <si>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</si>
  <si>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</si>
  <si>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</si>
  <si>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</si>
  <si>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</si>
  <si>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</si>
  <si>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</si>
  <si>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</si>
  <si>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</si>
  <si>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</si>
  <si>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</si>
  <si>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</si>
  <si>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</si>
  <si>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</si>
  <si>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</si>
  <si>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</si>
  <si>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</si>
  <si>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</si>
  <si>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</si>
  <si>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</si>
  <si>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</si>
  <si>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</si>
  <si>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</si>
  <si>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</si>
  <si>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</si>
  <si>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</si>
  <si>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</si>
  <si>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</si>
  <si>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</si>
  <si>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</si>
  <si>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</si>
  <si>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</si>
  <si>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</si>
  <si>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</si>
  <si>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</si>
  <si>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</si>
  <si>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</si>
  <si>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</si>
  <si>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</si>
  <si>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</si>
  <si>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</si>
  <si>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</si>
  <si>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</si>
  <si>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</si>
  <si>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</si>
  <si>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</si>
  <si>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</si>
  <si>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</si>
  <si>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</si>
  <si>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</si>
  <si>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</si>
  <si>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</si>
  <si>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</si>
  <si>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</si>
  <si>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</si>
  <si>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</si>
  <si>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</si>
  <si>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</si>
  <si>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</si>
  <si>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</si>
  <si>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</si>
  <si>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</si>
  <si>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</si>
  <si>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</si>
  <si>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</si>
  <si>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</si>
  <si>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</si>
  <si>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</si>
  <si>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</si>
  <si>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</si>
  <si>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</si>
  <si>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</si>
  <si>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</si>
  <si>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</si>
  <si>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</si>
  <si>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</si>
  <si>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</si>
  <si>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</si>
  <si>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</si>
  <si>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</si>
  <si>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</si>
  <si>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</si>
  <si>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</si>
  <si>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</si>
  <si>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</si>
  <si>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</si>
  <si>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</si>
  <si>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</si>
  <si>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</si>
  <si>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</si>
  <si>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</si>
  <si>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</si>
  <si>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</si>
  <si>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</si>
  <si>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</si>
  <si>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</si>
  <si>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</si>
  <si>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</si>
  <si>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</si>
  <si>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</si>
  <si>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</si>
  <si>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</si>
  <si>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</si>
  <si>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</si>
  <si>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</si>
  <si>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</si>
  <si>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</si>
  <si>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</si>
  <si>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</si>
  <si>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</si>
  <si>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</si>
  <si>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</si>
  <si>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</si>
  <si>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</si>
  <si>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</si>
  <si>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</si>
  <si>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</si>
  <si>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</si>
  <si>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</si>
  <si>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</si>
  <si>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</si>
  <si>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</si>
  <si>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</si>
  <si>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</si>
  <si>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</si>
  <si>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</si>
  <si>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</si>
  <si>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</si>
  <si>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</si>
  <si>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</si>
  <si>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</si>
  <si>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</si>
  <si>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</si>
  <si>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</si>
  <si>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</si>
  <si>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</si>
  <si>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</si>
  <si>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</si>
  <si>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</si>
  <si>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</si>
  <si>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</si>
  <si>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</si>
  <si>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</si>
  <si>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</si>
  <si>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</si>
  <si>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</si>
  <si>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</si>
  <si>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</si>
  <si>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</si>
  <si>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</si>
  <si>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</si>
  <si>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</si>
  <si>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</si>
  <si>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</si>
  <si>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</si>
  <si>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</si>
  <si>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</si>
  <si>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</si>
  <si>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</si>
  <si>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</si>
  <si>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</si>
  <si>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</si>
  <si>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</si>
  <si>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</si>
  <si>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</si>
  <si>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</si>
  <si>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</si>
  <si>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</si>
  <si>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</si>
  <si>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</si>
  <si>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</si>
  <si>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</si>
  <si>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</si>
  <si>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</si>
  <si>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</si>
  <si>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</si>
  <si>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</si>
  <si>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</si>
  <si>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</si>
  <si>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</si>
  <si>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</si>
  <si>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</si>
  <si>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</si>
  <si>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</si>
  <si>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</si>
  <si>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</si>
  <si>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</si>
  <si>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</si>
  <si>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</si>
  <si>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</si>
  <si>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</si>
  <si>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</si>
  <si>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</si>
  <si>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</si>
  <si>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</si>
  <si>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</si>
  <si>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</si>
  <si>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</si>
  <si>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</si>
  <si>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</si>
  <si>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</si>
  <si>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</si>
  <si>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</si>
  <si>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</si>
  <si>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</si>
  <si>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</si>
  <si>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</si>
  <si>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</si>
  <si>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</si>
  <si>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</si>
  <si>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</si>
  <si>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</si>
  <si>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</si>
  <si>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</si>
  <si>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</si>
  <si>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</si>
  <si>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</si>
  <si>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</si>
  <si>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</si>
  <si>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</si>
  <si>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</si>
  <si>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</si>
  <si>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</si>
  <si>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</si>
  <si>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</si>
  <si>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</si>
  <si>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</si>
  <si>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</si>
  <si>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</si>
  <si>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</si>
  <si>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</si>
  <si>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</si>
  <si>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</si>
  <si>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</si>
  <si>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</si>
  <si>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</si>
  <si>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</si>
  <si>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</si>
  <si>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</si>
  <si>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</si>
  <si>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</si>
  <si>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</si>
  <si>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</si>
  <si>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</si>
  <si>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</si>
  <si>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</si>
  <si>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</si>
  <si>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</si>
  <si>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</si>
  <si>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</si>
  <si>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</si>
  <si>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</si>
  <si>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</si>
  <si>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</si>
  <si>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</si>
  <si>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</si>
  <si>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</si>
  <si>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</si>
  <si>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</si>
  <si>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</si>
  <si>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</si>
  <si>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</si>
  <si>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</si>
  <si>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</si>
  <si>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</si>
  <si>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</si>
  <si>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</si>
  <si>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</si>
  <si>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</si>
  <si>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</si>
  <si>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</si>
  <si>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</si>
  <si>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</si>
  <si>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</si>
  <si>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</si>
  <si>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</si>
  <si>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</si>
  <si>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</si>
  <si>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</si>
  <si>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</si>
  <si>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</si>
  <si>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</si>
  <si>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</si>
  <si>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</si>
  <si>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</si>
  <si>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</si>
  <si>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</si>
  <si>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</si>
  <si>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</si>
  <si>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</si>
  <si>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</si>
  <si>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</si>
  <si>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</si>
  <si>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</si>
  <si>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</si>
  <si>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</si>
  <si>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</si>
  <si>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</si>
  <si>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</si>
  <si>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</si>
  <si>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</si>
  <si>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</si>
  <si>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</si>
  <si>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</si>
  <si>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</si>
  <si>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</si>
  <si>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</si>
  <si>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</si>
  <si>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</si>
  <si>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</si>
  <si>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</si>
  <si>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</si>
  <si>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</si>
  <si>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</si>
  <si>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</si>
  <si>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</si>
  <si>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</si>
  <si>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</si>
  <si>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</si>
  <si>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</si>
  <si>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</si>
  <si>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</si>
  <si>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</si>
  <si>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</si>
  <si>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</si>
  <si>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</si>
  <si>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</si>
  <si>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</si>
  <si>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</si>
  <si>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</si>
  <si>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</si>
  <si>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</si>
  <si>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</si>
  <si>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</si>
  <si>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</si>
  <si>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</si>
  <si>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</si>
  <si>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</si>
  <si>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</si>
  <si>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</si>
  <si>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</si>
  <si>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</si>
  <si>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</si>
  <si>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</si>
  <si>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</si>
  <si>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</si>
  <si>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</si>
  <si>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</si>
  <si>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</si>
  <si>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</si>
  <si>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</si>
  <si>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</si>
  <si>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</si>
  <si>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</si>
  <si>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</si>
  <si>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</si>
  <si>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</si>
  <si>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</si>
  <si>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</si>
  <si>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</si>
  <si>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</si>
  <si>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</si>
  <si>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</si>
  <si>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</si>
  <si>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</si>
  <si>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</si>
  <si>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</si>
  <si>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</si>
  <si>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</si>
  <si>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</si>
  <si>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</si>
  <si>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</si>
  <si>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</si>
  <si>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</si>
  <si>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</si>
  <si>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</si>
  <si>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</si>
  <si>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</si>
  <si>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</si>
  <si>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</si>
  <si>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</si>
  <si>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</si>
  <si>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</si>
  <si>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</si>
  <si>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</si>
  <si>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</si>
  <si>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</si>
  <si>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</si>
  <si>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</si>
  <si>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</si>
  <si>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</si>
  <si>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</si>
  <si>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</si>
  <si>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</si>
  <si>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</si>
  <si>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</si>
  <si>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</si>
  <si>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</si>
  <si>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</si>
  <si>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</si>
  <si>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</si>
  <si>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</si>
  <si>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</si>
  <si>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</si>
  <si>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</si>
  <si>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</si>
  <si>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</si>
  <si>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</si>
  <si>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</si>
  <si>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</si>
  <si>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</si>
  <si>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</si>
  <si>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</si>
  <si>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</si>
  <si>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</si>
  <si>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</si>
  <si>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</si>
  <si>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</si>
  <si>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</si>
  <si>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</si>
  <si>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</si>
  <si>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</si>
  <si>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</si>
  <si>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</si>
  <si>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</si>
  <si>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</si>
  <si>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</si>
  <si>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</si>
  <si>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</si>
  <si>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</si>
  <si>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</si>
  <si>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</si>
  <si>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</si>
  <si>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</si>
  <si>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</si>
  <si>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</si>
  <si>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</si>
  <si>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</si>
  <si>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</si>
  <si>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</si>
  <si>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</si>
  <si>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</si>
  <si>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</si>
  <si>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</si>
  <si>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</si>
  <si>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</si>
  <si>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</si>
  <si>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</si>
  <si>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</si>
  <si>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</si>
  <si>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</si>
  <si>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</si>
  <si>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</si>
  <si>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</si>
  <si>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</si>
  <si>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</si>
  <si>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</si>
  <si>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</si>
  <si>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</si>
  <si>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</si>
  <si>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</si>
  <si>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</si>
  <si>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</si>
  <si>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</si>
  <si>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</si>
  <si>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</si>
  <si>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</si>
  <si>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</si>
  <si>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</si>
  <si>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</si>
  <si>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</si>
  <si>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</si>
  <si>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</si>
  <si>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</si>
  <si>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</si>
  <si>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</si>
  <si>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</si>
  <si>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</si>
  <si>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</si>
  <si>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</si>
  <si>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</si>
  <si>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</si>
  <si>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</si>
  <si>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</si>
  <si>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</si>
  <si>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</si>
  <si>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</si>
  <si>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</si>
  <si>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</si>
  <si>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</si>
  <si>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</si>
  <si>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</si>
  <si>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</si>
  <si>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</si>
  <si>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</si>
  <si>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</si>
  <si>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</si>
  <si>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</si>
  <si>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</si>
  <si>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</si>
  <si>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</si>
  <si>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</si>
  <si>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</si>
  <si>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</si>
  <si>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</si>
  <si>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</si>
  <si>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</si>
  <si>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</si>
  <si>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</si>
  <si>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</si>
  <si>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</si>
  <si>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</si>
  <si>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</si>
  <si>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</si>
  <si>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</si>
  <si>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</si>
  <si>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</si>
  <si>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</si>
  <si>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</si>
  <si>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</si>
  <si>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</si>
  <si>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</si>
  <si>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</si>
  <si>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</si>
  <si>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</si>
  <si>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</si>
  <si>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</si>
  <si>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</si>
  <si>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</si>
  <si>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</si>
  <si>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</si>
  <si>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</si>
  <si>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</si>
  <si>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</si>
  <si>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</si>
  <si>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</si>
  <si>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</si>
  <si>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</si>
  <si>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</si>
  <si>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</si>
  <si>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</si>
  <si>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</si>
  <si>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</si>
  <si>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</si>
  <si>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</si>
  <si>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</si>
  <si>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</si>
  <si>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</si>
  <si>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</si>
  <si>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</si>
  <si>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</si>
  <si>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</si>
  <si>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</si>
  <si>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</si>
  <si>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</si>
  <si>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</si>
  <si>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</si>
  <si>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</si>
  <si>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</si>
  <si>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</si>
  <si>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</si>
  <si>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</si>
  <si>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</si>
  <si>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</si>
  <si>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</si>
  <si>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</si>
  <si>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</si>
  <si>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</si>
  <si>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</si>
  <si>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</si>
  <si>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</si>
  <si>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</si>
  <si>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</si>
  <si>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</si>
  <si>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</si>
  <si>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</si>
  <si>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</si>
  <si>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</si>
  <si>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</si>
  <si>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</si>
  <si>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</si>
  <si>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</si>
  <si>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</si>
  <si>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</si>
  <si>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</si>
  <si>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</si>
  <si>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</si>
  <si>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</si>
  <si>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</si>
  <si>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</si>
  <si>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</si>
  <si>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</si>
  <si>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</si>
  <si>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</si>
  <si>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</si>
  <si>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</si>
  <si>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</si>
  <si>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</si>
  <si>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</si>
  <si>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</si>
  <si>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</si>
  <si>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</si>
  <si>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</si>
  <si>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</si>
  <si>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</si>
  <si>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</si>
  <si>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</si>
  <si>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</si>
  <si>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</si>
  <si>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</si>
  <si>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</si>
  <si>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</si>
  <si>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</si>
  <si>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</si>
  <si>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</si>
  <si>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</si>
  <si>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</si>
  <si>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</si>
  <si>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</si>
  <si>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</si>
  <si>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</si>
  <si>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</si>
  <si>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</si>
  <si>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</si>
  <si>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</si>
  <si>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</si>
  <si>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</si>
  <si>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</si>
  <si>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</si>
  <si>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</si>
  <si>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</si>
  <si>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</si>
  <si>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</si>
  <si>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</si>
  <si>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</si>
  <si>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</si>
  <si>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</si>
  <si>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</si>
  <si>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</si>
  <si>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</si>
  <si>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</si>
  <si>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</si>
  <si>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</si>
  <si>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</si>
  <si>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</si>
  <si>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</si>
  <si>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</si>
  <si>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</si>
  <si>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</si>
  <si>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</si>
  <si>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</si>
  <si>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</si>
  <si>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</si>
  <si>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</si>
  <si>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</si>
  <si>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</si>
  <si>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</si>
  <si>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</si>
  <si>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</si>
  <si>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</si>
  <si>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</si>
  <si>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</si>
  <si>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</si>
  <si>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</si>
  <si>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</si>
  <si>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</si>
  <si>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</si>
  <si>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</si>
  <si>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</si>
  <si>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</si>
  <si>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</si>
  <si>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</si>
  <si>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</si>
  <si>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</si>
  <si>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</si>
  <si>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</si>
  <si>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</si>
  <si>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</si>
  <si>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</si>
  <si>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</si>
  <si>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</si>
  <si>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</si>
  <si>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</si>
  <si>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</si>
  <si>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</si>
  <si>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</si>
  <si>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</si>
  <si>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</si>
  <si>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</si>
  <si>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</si>
  <si>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</si>
  <si>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</si>
  <si>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</si>
  <si>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</si>
  <si>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</si>
  <si>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</si>
  <si>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</si>
  <si>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</si>
  <si>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</si>
  <si>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</si>
  <si>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</si>
  <si>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</si>
  <si>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</si>
  <si>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</si>
  <si>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</si>
  <si>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</si>
  <si>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</si>
  <si>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</si>
  <si>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</si>
  <si>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</si>
  <si>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</si>
  <si>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</si>
  <si>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</si>
  <si>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</si>
  <si>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</si>
  <si>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</si>
  <si>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</si>
  <si>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</si>
  <si>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</si>
  <si>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</si>
  <si>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</si>
  <si>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</si>
  <si>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</si>
  <si>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</si>
  <si>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</si>
  <si>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</si>
  <si>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</si>
  <si>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</si>
  <si>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</si>
  <si>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</si>
  <si>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</si>
  <si>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</si>
  <si>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</si>
  <si>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</si>
  <si>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</si>
  <si>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</si>
  <si>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</si>
  <si>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</si>
  <si>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</si>
  <si>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</si>
  <si>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</si>
  <si>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</si>
  <si>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</si>
  <si>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</si>
  <si>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</si>
  <si>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</si>
  <si>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</si>
  <si>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</si>
  <si>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</si>
  <si>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</si>
  <si>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</si>
  <si>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</si>
  <si>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</si>
  <si>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</si>
  <si>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</si>
  <si>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</si>
  <si>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</si>
  <si>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</si>
  <si>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</si>
  <si>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</si>
  <si>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</si>
  <si>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</si>
  <si>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</si>
  <si>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</si>
  <si>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</si>
  <si>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</si>
  <si>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</si>
  <si>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</si>
  <si>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</si>
  <si>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</si>
  <si>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</si>
  <si>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</si>
  <si>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</si>
  <si>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</si>
  <si>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</si>
  <si>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</si>
  <si>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</si>
  <si>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</si>
  <si>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</si>
  <si>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</si>
  <si>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</si>
  <si>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</si>
  <si>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</si>
  <si>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</si>
  <si>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</si>
  <si>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</si>
  <si>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</si>
  <si>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</si>
  <si>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</si>
  <si>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</si>
  <si>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</si>
  <si>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</si>
  <si>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</si>
  <si>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</si>
  <si>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</si>
  <si>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</si>
  <si>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</si>
  <si>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</si>
  <si>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</si>
  <si>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</si>
  <si>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</si>
  <si>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</si>
  <si>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</si>
  <si>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</si>
  <si>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</si>
  <si>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</si>
  <si>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</si>
  <si>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</si>
  <si>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</si>
  <si>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</si>
  <si>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</si>
  <si>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</si>
  <si>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</si>
  <si>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</si>
  <si>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</si>
  <si>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</si>
  <si>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</si>
  <si>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</si>
  <si>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</si>
  <si>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</si>
  <si>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</si>
  <si>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</si>
  <si>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</si>
  <si>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</si>
  <si>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</si>
  <si>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</si>
  <si>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</si>
  <si>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</si>
  <si>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</si>
  <si>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</si>
  <si>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</si>
  <si>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</si>
  <si>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</si>
  <si>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</si>
  <si>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</si>
  <si>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</si>
  <si>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</si>
  <si>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</si>
  <si>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</si>
  <si>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</si>
  <si>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</si>
  <si>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</si>
  <si>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</si>
  <si>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</si>
  <si>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</si>
  <si>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</si>
  <si>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</si>
  <si>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</si>
  <si>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</si>
  <si>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</si>
  <si>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</si>
  <si>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</si>
  <si>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</si>
  <si>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</si>
  <si>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</si>
  <si>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</si>
  <si>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</si>
  <si>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</si>
  <si>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</si>
  <si>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</si>
  <si>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</si>
  <si>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</si>
  <si>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</si>
  <si>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</si>
  <si>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</si>
  <si>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</si>
  <si>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</si>
  <si>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</si>
  <si>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</si>
  <si>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</si>
  <si>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</si>
  <si>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</si>
  <si>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</si>
  <si>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</si>
  <si>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</si>
  <si>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</si>
  <si>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</si>
  <si>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</si>
  <si>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</si>
  <si>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</si>
  <si>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</si>
  <si>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</si>
  <si>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</si>
  <si>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</si>
  <si>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</si>
  <si>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</si>
  <si>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</si>
  <si>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</si>
  <si>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</si>
  <si>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</si>
  <si>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</si>
  <si>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</si>
  <si>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</si>
  <si>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</si>
  <si>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</si>
  <si>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</si>
  <si>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</si>
  <si>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</si>
  <si>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</si>
  <si>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</si>
  <si>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</si>
  <si>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</si>
  <si>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</si>
  <si>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</si>
  <si>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</si>
  <si>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</si>
  <si>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</si>
  <si>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</si>
  <si>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</si>
  <si>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</si>
  <si>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</si>
  <si>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</si>
  <si>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</si>
  <si>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</si>
  <si>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</si>
  <si>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</si>
  <si>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</si>
  <si>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</si>
  <si>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</si>
  <si>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</si>
  <si>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</si>
  <si>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</si>
  <si>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</si>
  <si>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</si>
  <si>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</si>
  <si>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</si>
  <si>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</si>
  <si>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</si>
  <si>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</si>
  <si>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</si>
  <si>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</si>
  <si>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</si>
  <si>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</si>
  <si>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</si>
  <si>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</si>
  <si>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</si>
  <si>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</si>
  <si>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</si>
  <si>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</si>
  <si>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</si>
  <si>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</si>
  <si>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</si>
  <si>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</si>
  <si>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</si>
  <si>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</si>
  <si>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</si>
  <si>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</si>
  <si>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</si>
  <si>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</si>
  <si>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</si>
  <si>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</si>
  <si>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</si>
  <si>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</si>
  <si>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</si>
  <si>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</si>
  <si>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</si>
  <si>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</si>
  <si>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</si>
  <si>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</si>
  <si>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</si>
  <si>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</si>
  <si>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</si>
  <si>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</si>
  <si>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</si>
  <si>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</si>
  <si>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</si>
  <si>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</si>
  <si>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</si>
  <si>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</si>
  <si>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</si>
  <si>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</si>
  <si>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</si>
  <si>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</si>
  <si>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</si>
  <si>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</si>
  <si>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</si>
  <si>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</si>
  <si>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</si>
  <si>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</si>
  <si>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</si>
  <si>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</si>
  <si>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</si>
  <si>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</si>
  <si>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</si>
  <si>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</si>
  <si>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</si>
  <si>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</si>
  <si>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</si>
  <si>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</si>
  <si>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</si>
  <si>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</si>
  <si>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</si>
  <si>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</si>
  <si>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</si>
  <si>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</si>
  <si>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</si>
  <si>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</si>
  <si>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</si>
  <si>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</si>
  <si>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</si>
  <si>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</si>
  <si>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</si>
  <si>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</si>
  <si>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</si>
  <si>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</si>
  <si>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</si>
  <si>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</si>
  <si>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</si>
  <si>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</si>
  <si>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</si>
  <si>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</si>
  <si>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</si>
  <si>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</si>
  <si>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</si>
  <si>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</si>
  <si>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</si>
  <si>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</si>
  <si>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</si>
  <si>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</si>
  <si>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</si>
  <si>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</si>
  <si>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</si>
  <si>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</si>
  <si>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</si>
  <si>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</si>
  <si>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</si>
  <si>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</si>
  <si>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</si>
  <si>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</si>
  <si>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</si>
  <si>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</si>
  <si>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</si>
  <si>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</si>
  <si>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</si>
  <si>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</si>
  <si>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</si>
  <si>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</si>
  <si>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</si>
  <si>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</si>
  <si>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</si>
  <si>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</si>
  <si>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</si>
  <si>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</si>
  <si>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</si>
  <si>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</si>
  <si>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</si>
  <si>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</si>
  <si>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</si>
  <si>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</si>
  <si>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</si>
  <si>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</si>
  <si>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</si>
  <si>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</si>
  <si>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</si>
  <si>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</si>
  <si>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</si>
  <si>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</si>
  <si>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</si>
  <si>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</si>
  <si>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</si>
  <si>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</si>
  <si>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</si>
  <si>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</si>
  <si>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</si>
  <si>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</si>
  <si>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</si>
  <si>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</si>
  <si>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</si>
  <si>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</si>
  <si>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</si>
  <si>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</si>
  <si>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</si>
  <si>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</si>
  <si>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</si>
  <si>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</si>
  <si>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</si>
  <si>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</si>
  <si>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</si>
  <si>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</si>
  <si>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</si>
  <si>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</si>
  <si>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</si>
  <si>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</si>
  <si>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</si>
  <si>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</si>
  <si>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</si>
  <si>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</si>
  <si>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</si>
  <si>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</si>
  <si>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</si>
  <si>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</si>
  <si>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</si>
  <si>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</si>
  <si>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</si>
  <si>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</si>
  <si>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</si>
  <si>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</si>
  <si>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</si>
  <si>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</si>
  <si>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</si>
  <si>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</si>
  <si>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</si>
  <si>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</si>
  <si>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</si>
  <si>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</si>
  <si>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</si>
  <si>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</si>
  <si>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</si>
  <si>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</si>
  <si>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</si>
  <si>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</si>
  <si>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</si>
  <si>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</si>
  <si>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</si>
  <si>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</si>
  <si>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</si>
  <si>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</si>
  <si>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</si>
  <si>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</si>
  <si>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</si>
  <si>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</si>
  <si>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</si>
  <si>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</si>
  <si>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</si>
  <si>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</si>
  <si>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</si>
  <si>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</si>
  <si>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</si>
  <si>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</si>
  <si>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</si>
  <si>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</si>
  <si>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</si>
  <si>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</si>
  <si>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</si>
  <si>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</si>
  <si>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</si>
  <si>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</si>
  <si>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</si>
  <si>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</si>
  <si>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</si>
  <si>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</si>
  <si>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</si>
  <si>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</si>
  <si>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</si>
  <si>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</si>
  <si>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</si>
  <si>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</si>
  <si>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</si>
  <si>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</si>
  <si>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</si>
  <si>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</si>
  <si>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</si>
  <si>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</si>
  <si>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</si>
  <si>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</si>
  <si>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</si>
  <si>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</si>
  <si>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</si>
  <si>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</si>
  <si>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</si>
  <si>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</si>
  <si>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</si>
  <si>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</si>
  <si>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</si>
  <si>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</si>
  <si>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</si>
  <si>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</si>
  <si>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</si>
  <si>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</si>
  <si>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</si>
  <si>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</si>
  <si>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</si>
  <si>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</si>
  <si>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</si>
  <si>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</si>
  <si>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</si>
  <si>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</si>
  <si>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</si>
  <si>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</si>
  <si>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</si>
  <si>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</si>
  <si>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</si>
  <si>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</si>
  <si>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</si>
  <si>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</si>
  <si>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</si>
  <si>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</si>
  <si>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</si>
  <si>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</si>
  <si>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</si>
  <si>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</si>
  <si>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</si>
  <si>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</si>
  <si>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</si>
  <si>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</si>
  <si>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</si>
  <si>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</si>
  <si>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</si>
  <si>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</si>
  <si>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</si>
  <si>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</si>
  <si>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</si>
  <si>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</si>
  <si>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</si>
  <si>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</si>
  <si>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</si>
  <si>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</si>
  <si>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</si>
  <si>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</si>
  <si>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</si>
  <si>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</si>
  <si>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</si>
  <si>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</si>
  <si>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</si>
  <si>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</si>
  <si>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</si>
  <si>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</si>
  <si>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</si>
  <si>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</si>
  <si>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</si>
  <si>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</si>
  <si>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</si>
  <si>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</si>
  <si>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</si>
  <si>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</si>
  <si>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</si>
  <si>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</si>
  <si>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</si>
  <si>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</si>
  <si>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</si>
  <si>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</si>
  <si>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</si>
  <si>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</si>
  <si>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</si>
  <si>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</si>
  <si>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</si>
  <si>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</si>
  <si>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</si>
  <si>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</si>
  <si>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</si>
  <si>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</si>
  <si>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</si>
  <si>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</si>
  <si>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</si>
  <si>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</si>
  <si>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</si>
  <si>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</si>
  <si>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</si>
  <si>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</si>
  <si>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</si>
  <si>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</si>
  <si>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</si>
  <si>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</si>
  <si>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</si>
  <si>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</si>
  <si>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</si>
  <si>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</si>
  <si>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</si>
  <si>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</si>
  <si>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</si>
  <si>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</si>
  <si>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</si>
  <si>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</si>
  <si>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</si>
  <si>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</si>
  <si>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</si>
  <si>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</si>
  <si>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</si>
  <si>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</si>
  <si>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</si>
  <si>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</si>
  <si>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</si>
  <si>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</si>
  <si>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</si>
  <si>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</si>
  <si>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</si>
  <si>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</si>
  <si>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</si>
  <si>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</si>
  <si>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</si>
  <si>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</si>
  <si>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</si>
  <si>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</si>
  <si>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</si>
  <si>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</si>
  <si>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</si>
  <si>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</si>
  <si>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</si>
  <si>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</si>
  <si>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</si>
  <si>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</si>
  <si>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</si>
  <si>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</si>
  <si>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</si>
  <si>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</si>
  <si>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</si>
  <si>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</si>
  <si>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</si>
  <si>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</si>
  <si>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</si>
  <si>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</si>
  <si>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</si>
  <si>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</si>
  <si>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</si>
  <si>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</si>
  <si>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</si>
  <si>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</si>
  <si>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</si>
  <si>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</si>
  <si>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</si>
  <si>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</si>
  <si>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</si>
  <si>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</si>
  <si>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</si>
  <si>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</si>
  <si>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</si>
  <si>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</si>
  <si>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</si>
  <si>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</si>
  <si>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</si>
  <si>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</si>
  <si>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</si>
  <si>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</si>
  <si>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</si>
  <si>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</si>
  <si>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</si>
  <si>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</si>
  <si>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</si>
  <si>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</si>
  <si>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</si>
  <si>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</si>
  <si>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</si>
  <si>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</si>
  <si>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</si>
  <si>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</si>
  <si>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</si>
  <si>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</si>
  <si>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</si>
  <si>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</si>
  <si>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</si>
  <si>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</si>
  <si>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</si>
  <si>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</si>
  <si>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</si>
  <si>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</si>
  <si>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</si>
  <si>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</si>
  <si>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</si>
  <si>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</si>
  <si>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</si>
  <si>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</si>
  <si>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</si>
  <si>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</si>
  <si>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</si>
  <si>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</si>
  <si>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</si>
  <si>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</si>
  <si>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</si>
  <si>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</si>
  <si>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</si>
  <si>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</si>
  <si>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</si>
  <si>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</si>
  <si>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</si>
  <si>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</si>
  <si>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</si>
  <si>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</si>
  <si>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</si>
  <si>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</si>
  <si>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</si>
  <si>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</si>
  <si>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</si>
  <si>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</si>
  <si>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</si>
  <si>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</si>
  <si>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</si>
  <si>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</si>
  <si>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</si>
  <si>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</si>
  <si>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</si>
  <si>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</si>
  <si>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</si>
  <si>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</si>
  <si>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</si>
  <si>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</si>
  <si>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</si>
  <si>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</si>
  <si>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</si>
  <si>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</si>
  <si>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</si>
  <si>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</si>
  <si>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</si>
  <si>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</si>
  <si>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</si>
  <si>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</si>
  <si>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</si>
  <si>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</si>
  <si>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</si>
  <si>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</si>
  <si>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</si>
  <si>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</si>
  <si>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</si>
  <si>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</si>
  <si>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</si>
  <si>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</si>
  <si>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</si>
  <si>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</si>
  <si>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</si>
  <si>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</si>
  <si>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</si>
  <si>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</si>
  <si>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</si>
  <si>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</si>
  <si>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</si>
  <si>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</si>
  <si>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</si>
  <si>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</si>
  <si>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</si>
  <si>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</si>
  <si>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</si>
  <si>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</si>
  <si>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</si>
  <si>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</si>
  <si>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</si>
  <si>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</si>
  <si>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</si>
  <si>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</si>
  <si>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</si>
  <si>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</si>
  <si>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</si>
  <si>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</si>
  <si>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</si>
  <si>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</si>
  <si>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</si>
  <si>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</si>
  <si>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</si>
  <si>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</si>
  <si>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</si>
  <si>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</si>
  <si>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</si>
  <si>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</si>
  <si>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</si>
  <si>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</si>
  <si>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</si>
  <si>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</si>
  <si>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</si>
  <si>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</si>
  <si>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</si>
  <si>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</si>
  <si>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</si>
  <si>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</si>
  <si>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</si>
  <si>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</si>
  <si>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</si>
  <si>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</si>
  <si>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</si>
  <si>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</si>
  <si>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</si>
  <si>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</si>
  <si>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</si>
  <si>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</si>
  <si>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</si>
  <si>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</si>
  <si>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</si>
  <si>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</si>
  <si>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</si>
  <si>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</si>
  <si>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</si>
  <si>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</si>
  <si>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</si>
  <si>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</si>
  <si>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</si>
  <si>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</si>
  <si>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</si>
  <si>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</si>
  <si>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</si>
  <si>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</si>
  <si>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</si>
  <si>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</si>
  <si>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</si>
  <si>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</si>
  <si>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</si>
  <si>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</si>
  <si>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</si>
  <si>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</si>
  <si>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</si>
  <si>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</si>
  <si>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</si>
  <si>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</si>
  <si>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</si>
  <si>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</si>
  <si>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</si>
  <si>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</si>
  <si>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</si>
  <si>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</si>
  <si>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</si>
  <si>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</si>
  <si>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</si>
  <si>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</si>
  <si>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</si>
  <si>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</si>
  <si>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</si>
  <si>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</si>
  <si>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</si>
  <si>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</si>
  <si>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</si>
  <si>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</si>
  <si>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</si>
  <si>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</si>
  <si>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</si>
  <si>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</si>
  <si>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</si>
  <si>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</si>
  <si>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</si>
  <si>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</si>
  <si>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</si>
  <si>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</si>
  <si>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</si>
  <si>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</si>
  <si>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</si>
  <si>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</si>
  <si>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</si>
  <si>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</si>
  <si>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</si>
  <si>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</si>
  <si>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</si>
  <si>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</si>
  <si>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</si>
  <si>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</si>
  <si>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</si>
  <si>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</si>
  <si>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</si>
  <si>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</si>
  <si>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</si>
  <si>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</si>
  <si>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</si>
  <si>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</si>
  <si>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</si>
  <si>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</si>
  <si>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</si>
  <si>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</si>
  <si>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</si>
  <si>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</si>
  <si>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</si>
  <si>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</si>
  <si>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</si>
  <si>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</si>
  <si>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</si>
  <si>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</si>
  <si>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</si>
  <si>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</si>
  <si>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</si>
  <si>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</si>
  <si>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</si>
  <si>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</si>
  <si>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</si>
  <si>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</si>
  <si>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</si>
  <si>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</si>
  <si>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</si>
  <si>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</si>
  <si>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</si>
  <si>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</si>
  <si>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</si>
  <si>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</si>
  <si>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</si>
  <si>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</si>
  <si>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</si>
  <si>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</si>
  <si>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</si>
  <si>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</si>
  <si>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</si>
  <si>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</si>
  <si>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</si>
  <si>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</si>
  <si>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</si>
  <si>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</si>
  <si>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</si>
  <si>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</si>
  <si>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</si>
  <si>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</si>
  <si>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</si>
  <si>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</si>
  <si>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</si>
  <si>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</si>
  <si>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</si>
  <si>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</si>
  <si>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</si>
  <si>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</si>
  <si>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</si>
  <si>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</si>
  <si>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</si>
  <si>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</si>
  <si>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</si>
  <si>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</si>
  <si>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</si>
  <si>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</si>
  <si>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</si>
  <si>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</si>
  <si>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</si>
  <si>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</si>
  <si>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</si>
  <si>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</si>
  <si>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</si>
  <si>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</si>
  <si>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</si>
  <si>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</si>
  <si>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</si>
  <si>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</si>
  <si>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</si>
  <si>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</si>
  <si>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</si>
  <si>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</si>
  <si>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</si>
  <si>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</si>
  <si>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</si>
  <si>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</si>
  <si>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</si>
  <si>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</si>
  <si>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</si>
  <si>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</si>
  <si>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</si>
  <si>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</si>
  <si>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</si>
  <si>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</si>
  <si>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</si>
  <si>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</si>
  <si>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</si>
  <si>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</si>
  <si>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</si>
  <si>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</si>
  <si>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</si>
  <si>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</si>
  <si>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</si>
  <si>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</si>
  <si>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</si>
  <si>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</si>
  <si>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</si>
  <si>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</si>
  <si>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</si>
  <si>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</si>
  <si>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</si>
  <si>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</si>
  <si>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</si>
  <si>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</si>
  <si>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</si>
  <si>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</si>
  <si>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</si>
  <si>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</si>
  <si>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</si>
  <si>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</si>
  <si>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</si>
  <si>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</si>
  <si>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</si>
  <si>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</si>
  <si>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</si>
  <si>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</si>
  <si>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</si>
  <si>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</si>
  <si>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</si>
  <si>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</si>
  <si>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</si>
  <si>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</si>
  <si>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</si>
  <si>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</si>
  <si>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</si>
  <si>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</si>
  <si>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</si>
  <si>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</si>
  <si>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</si>
  <si>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</si>
  <si>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</si>
  <si>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</si>
  <si>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</si>
  <si>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</si>
  <si>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</si>
  <si>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</si>
  <si>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</si>
  <si>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</si>
  <si>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</si>
  <si>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</si>
  <si>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</si>
  <si>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</si>
  <si>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</si>
  <si>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</si>
  <si>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</si>
  <si>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</si>
  <si>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</si>
  <si>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</si>
  <si>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</si>
  <si>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</si>
  <si>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</si>
  <si>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</si>
  <si>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</si>
  <si>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</si>
  <si>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</si>
  <si>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</si>
  <si>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</si>
  <si>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</si>
  <si>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</si>
  <si>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</si>
  <si>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</si>
  <si>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</si>
  <si>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</si>
  <si>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</si>
  <si>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</si>
  <si>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</si>
  <si>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</si>
  <si>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</si>
  <si>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</si>
  <si>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</si>
  <si>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</si>
  <si>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</si>
  <si>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</si>
  <si>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</si>
  <si>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</si>
  <si>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</si>
  <si>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</si>
  <si>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</si>
  <si>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</si>
  <si>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</si>
  <si>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</si>
  <si>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</si>
  <si>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</si>
  <si>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</si>
  <si>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</si>
  <si>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</si>
  <si>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</si>
  <si>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</si>
  <si>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</si>
  <si>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</si>
  <si>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</si>
  <si>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</si>
  <si>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</si>
  <si>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</si>
  <si>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</si>
  <si>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</si>
  <si>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</si>
  <si>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</si>
  <si>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</si>
  <si>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</si>
  <si>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</si>
  <si>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</si>
  <si>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</si>
  <si>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</si>
  <si>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</si>
  <si>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</si>
  <si>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</si>
  <si>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</si>
  <si>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</si>
  <si>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</si>
  <si>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</si>
  <si>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</si>
  <si>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</si>
  <si>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</si>
  <si>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</si>
  <si>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</si>
  <si>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</si>
  <si>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</si>
  <si>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</si>
  <si>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</si>
  <si>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</si>
  <si>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</si>
  <si>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</si>
  <si>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</si>
  <si>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</si>
  <si>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</si>
  <si>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</si>
  <si>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</si>
  <si>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</si>
  <si>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</si>
  <si>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</si>
  <si>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</si>
  <si>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</si>
  <si>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</si>
  <si>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</si>
  <si>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</si>
  <si>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</si>
  <si>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</si>
  <si>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</si>
  <si>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</si>
  <si>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</si>
  <si>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</si>
  <si>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</si>
  <si>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</si>
  <si>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</si>
  <si>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</si>
  <si>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</si>
  <si>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</si>
  <si>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</si>
  <si>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</si>
  <si>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</si>
  <si>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</si>
  <si>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</si>
  <si>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</si>
  <si>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</si>
  <si>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</si>
  <si>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</si>
  <si>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</si>
  <si>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</si>
  <si>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</si>
  <si>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</si>
  <si>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</si>
  <si>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</si>
  <si>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</si>
  <si>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</si>
  <si>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</si>
  <si>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</si>
  <si>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</si>
  <si>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</si>
  <si>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</si>
  <si>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</si>
  <si>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</si>
  <si>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</si>
  <si>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</si>
  <si>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</si>
  <si>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</si>
  <si>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</si>
  <si>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</si>
  <si>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</si>
  <si>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</si>
  <si>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</si>
  <si>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</si>
  <si>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</si>
  <si>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</si>
  <si>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</si>
  <si>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</si>
  <si>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</si>
  <si>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</si>
  <si>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</si>
  <si>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</si>
  <si>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</si>
  <si>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</si>
  <si>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</si>
  <si>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</si>
  <si>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</si>
  <si>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</si>
  <si>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</si>
  <si>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</si>
  <si>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</si>
  <si>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</si>
  <si>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</si>
  <si>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</si>
  <si>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</si>
  <si>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</si>
  <si>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</si>
  <si>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</si>
  <si>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</si>
  <si>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</si>
  <si>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</si>
  <si>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</si>
  <si>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</si>
  <si>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</si>
  <si>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</si>
  <si>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</si>
  <si>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</si>
  <si>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</si>
  <si>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</si>
  <si>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</si>
  <si>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</si>
  <si>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</si>
  <si>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</si>
  <si>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</si>
  <si>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</si>
  <si>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</si>
  <si>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</si>
  <si>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</si>
  <si>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</si>
  <si>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</si>
  <si>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</si>
  <si>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</si>
  <si>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</si>
  <si>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</si>
  <si>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</si>
  <si>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</si>
  <si>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</si>
  <si>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</si>
  <si>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</si>
  <si>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</si>
  <si>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</si>
  <si>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</si>
  <si>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</si>
  <si>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</si>
  <si>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</si>
  <si>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</si>
  <si>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</si>
  <si>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</si>
  <si>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</si>
  <si>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</si>
  <si>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</si>
  <si>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</si>
  <si>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</si>
  <si>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</si>
  <si>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</si>
  <si>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</si>
  <si>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</si>
  <si>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</si>
  <si>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</si>
  <si>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</si>
  <si>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</si>
  <si>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</si>
  <si>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</si>
  <si>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</si>
  <si>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</si>
  <si>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</si>
  <si>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</si>
  <si>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</si>
  <si>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</si>
  <si>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</si>
  <si>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</si>
  <si>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</si>
  <si>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</si>
  <si>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</si>
  <si>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</si>
  <si>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</si>
  <si>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</si>
  <si>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</si>
  <si>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</si>
  <si>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</si>
  <si>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</si>
  <si>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</si>
  <si>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</si>
  <si>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</si>
  <si>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</si>
  <si>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</si>
  <si>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</si>
  <si>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</si>
  <si>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</si>
  <si>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</si>
  <si>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</si>
  <si>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</si>
  <si>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</si>
  <si>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</si>
  <si>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</si>
  <si>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</si>
  <si>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</si>
  <si>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</si>
  <si>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</si>
  <si>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</si>
  <si>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</si>
  <si>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</si>
  <si>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</si>
  <si>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</si>
  <si>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</si>
  <si>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</si>
  <si>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</si>
  <si>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</si>
  <si>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</si>
  <si>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</si>
  <si>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</si>
  <si>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</si>
  <si>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</si>
  <si>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</si>
  <si>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</si>
  <si>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</si>
  <si>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</si>
  <si>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</si>
  <si>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</si>
  <si>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</si>
  <si>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</si>
  <si>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</si>
  <si>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</si>
  <si>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</si>
  <si>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</si>
  <si>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</si>
  <si>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</si>
  <si>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</si>
  <si>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</si>
  <si>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</si>
  <si>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</si>
  <si>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</si>
  <si>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</si>
  <si>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</si>
  <si>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</si>
  <si>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</si>
  <si>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</si>
  <si>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</si>
  <si>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</si>
  <si>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</si>
  <si>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</si>
  <si>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</si>
  <si>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</si>
  <si>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</si>
  <si>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</si>
  <si>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</si>
  <si>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</si>
  <si>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</si>
  <si>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</si>
  <si>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</si>
  <si>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</si>
  <si>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</si>
  <si>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</si>
  <si>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</si>
  <si>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</si>
  <si>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</si>
  <si>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</si>
  <si>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</si>
  <si>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</si>
  <si>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</si>
  <si>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</si>
  <si>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</si>
  <si>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</si>
  <si>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</si>
  <si>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</si>
  <si>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</si>
  <si>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</si>
  <si>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</si>
  <si>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</si>
  <si>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</si>
  <si>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</si>
  <si>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</si>
  <si>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</si>
  <si>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</si>
  <si>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</si>
  <si>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</si>
  <si>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</si>
  <si>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</si>
  <si>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</si>
  <si>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</si>
  <si>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</si>
  <si>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</si>
  <si>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</si>
  <si>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</si>
  <si>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</si>
  <si>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</si>
  <si>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</si>
  <si>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</si>
  <si>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</si>
  <si>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</si>
  <si>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</si>
  <si>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</si>
  <si>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</si>
  <si>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</si>
  <si>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</si>
  <si>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</si>
  <si>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</si>
  <si>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</si>
  <si>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</si>
  <si>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</si>
  <si>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</si>
  <si>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</si>
  <si>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</si>
  <si>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</si>
  <si>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</si>
  <si>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</si>
  <si>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</si>
  <si>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</si>
  <si>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</si>
  <si>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</si>
  <si>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</si>
  <si>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</si>
  <si>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</si>
  <si>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</si>
  <si>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</si>
  <si>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</si>
  <si>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</si>
  <si>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</si>
  <si>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</si>
  <si>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</si>
  <si>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</si>
  <si>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</si>
  <si>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</si>
  <si>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</si>
  <si>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</si>
  <si>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</si>
  <si>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</si>
  <si>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</si>
  <si>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</si>
  <si>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</si>
  <si>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</si>
  <si>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</si>
  <si>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</si>
  <si>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</si>
  <si>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</si>
  <si>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</si>
  <si>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</si>
  <si>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</si>
  <si>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</si>
  <si>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</si>
  <si>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</si>
  <si>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</si>
  <si>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</si>
  <si>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</si>
  <si>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</si>
  <si>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</si>
  <si>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</si>
  <si>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</si>
  <si>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</si>
  <si>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</si>
  <si>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</si>
  <si>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</si>
  <si>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</si>
  <si>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</si>
  <si>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</si>
  <si>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</si>
  <si>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</si>
  <si>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</si>
  <si>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</si>
  <si>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</si>
  <si>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</si>
  <si>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</si>
  <si>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</si>
  <si>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</si>
  <si>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</si>
  <si>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</si>
  <si>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</si>
  <si>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</si>
  <si>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</si>
  <si>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</si>
  <si>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</si>
  <si>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</si>
  <si>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</si>
  <si>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</si>
  <si>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</si>
  <si>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</si>
  <si>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</si>
  <si>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</si>
  <si>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</si>
  <si>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</si>
  <si>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</si>
  <si>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</si>
  <si>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</si>
  <si>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</si>
  <si>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</si>
  <si>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</si>
  <si>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</si>
  <si>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</si>
  <si>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</si>
  <si>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</si>
  <si>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</si>
  <si>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</si>
  <si>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</si>
  <si>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</si>
  <si>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</si>
  <si>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</si>
  <si>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</si>
  <si>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</si>
  <si>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</si>
  <si>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</si>
  <si>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</si>
  <si>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</si>
  <si>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</si>
  <si>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</si>
  <si>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</si>
  <si>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</si>
  <si>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</si>
  <si>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</si>
  <si>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</si>
  <si>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</si>
  <si>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</si>
  <si>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</si>
  <si>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</si>
  <si>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</si>
  <si>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</si>
  <si>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</si>
  <si>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</si>
  <si>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</si>
  <si>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</si>
  <si>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</si>
  <si>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</si>
  <si>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</si>
  <si>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</si>
  <si>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</si>
  <si>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</si>
  <si>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</si>
  <si>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</si>
  <si>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</si>
  <si>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</si>
  <si>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</si>
  <si>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</si>
  <si>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</si>
  <si>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</si>
  <si>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</si>
  <si>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</si>
  <si>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</si>
  <si>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</si>
  <si>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</si>
  <si>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</si>
  <si>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</si>
  <si>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</si>
  <si>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</si>
  <si>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</si>
  <si>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</si>
  <si>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</si>
  <si>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</si>
  <si>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</si>
  <si>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</si>
  <si>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</si>
  <si>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</si>
  <si>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</si>
  <si>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</si>
  <si>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</si>
  <si>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</si>
  <si>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</si>
  <si>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</si>
  <si>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</si>
  <si>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</si>
  <si>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</si>
  <si>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</si>
  <si>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</si>
  <si>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</si>
  <si>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</si>
  <si>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</si>
  <si>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</si>
  <si>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</si>
  <si>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</si>
  <si>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</si>
  <si>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</si>
  <si>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</si>
  <si>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</si>
  <si>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</si>
  <si>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</si>
  <si>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</si>
  <si>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</si>
  <si>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</si>
  <si>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</si>
  <si>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</si>
  <si>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</si>
  <si>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</si>
  <si>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</si>
  <si>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</si>
  <si>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</si>
  <si>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自定义容积率</t>
  </si>
  <si>
    <t>企业</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</si>
  <si>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</si>
  <si>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</si>
  <si>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</si>
  <si>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</si>
  <si>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</si>
  <si>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</si>
  <si>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</si>
  <si>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</si>
  <si>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</si>
  <si>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</si>
  <si>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</si>
  <si>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</si>
  <si>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</si>
  <si>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</si>
  <si>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</si>
  <si>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</si>
  <si>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与级别开发程度一致</t>
  </si>
  <si>
    <t>容积率修正</t>
  </si>
  <si>
    <t>3层</t>
  </si>
  <si>
    <t>全业态</t>
  </si>
  <si>
    <r>
      <t>2</t>
    </r>
    <r>
      <rPr>
        <sz val="11"/>
        <color indexed="8"/>
        <rFont val="宋体"/>
        <family val="3"/>
        <charset val="134"/>
      </rPr>
      <t>层</t>
    </r>
    <phoneticPr fontId="30" type="noConversion"/>
  </si>
  <si>
    <t>2层</t>
  </si>
  <si>
    <t>中心城区以外</t>
  </si>
  <si>
    <t>办公</t>
    <phoneticPr fontId="7" type="noConversion"/>
  </si>
  <si>
    <t>中区</t>
  </si>
  <si>
    <t>比较法-办公</t>
  </si>
  <si>
    <t>非个人房产</t>
  </si>
  <si>
    <t>高区</t>
  </si>
  <si>
    <t xml:space="preserve"> 牛顿</t>
    <phoneticPr fontId="31" type="noConversion"/>
  </si>
  <si>
    <t>牛顿</t>
    <phoneticPr fontId="31" type="noConversion"/>
  </si>
  <si>
    <t>西品</t>
    <phoneticPr fontId="31" type="noConversion"/>
  </si>
  <si>
    <t>工业项目</t>
  </si>
  <si>
    <t>地下</t>
  </si>
  <si>
    <t>工业</t>
    <phoneticPr fontId="31" type="noConversion"/>
  </si>
  <si>
    <t>办公</t>
    <phoneticPr fontId="31" type="noConversion"/>
  </si>
  <si>
    <t>总价</t>
  </si>
  <si>
    <t>低区</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</si>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</sst>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0" fontId="77" fillId="5"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11</xdr:col>
      <xdr:colOff>466238</xdr:colOff>
      <xdr:row>36</xdr:row>
      <xdr:rowOff>65895</xdr:rowOff>
    </xdr:to>
    <xdr:pic>
      <xdr:nvPicPr>
        <xdr:cNvPr id="2" name="图片 1"/>
        <xdr:cNvPicPr>
          <a:picLocks noChangeAspect="1"/>
        </xdr:cNvPicPr>
      </xdr:nvPicPr>
      <xdr:blipFill>
        <a:blip xmlns:r="http://schemas.openxmlformats.org/officeDocument/2006/relationships" r:embed="rId1"/>
        <a:stretch>
          <a:fillRect/>
        </a:stretch>
      </xdr:blipFill>
      <xdr:spPr>
        <a:xfrm>
          <a:off x="4114800" y="0"/>
          <a:ext cx="3895238" cy="6238095"/>
        </a:xfrm>
        <a:prstGeom prst="rect">
          <a:avLst/>
        </a:prstGeom>
      </xdr:spPr>
    </xdr:pic>
    <xdr:clientData/>
  </xdr:twoCellAnchor>
  <xdr:twoCellAnchor editAs="oneCell">
    <xdr:from>
      <xdr:col>6</xdr:col>
      <xdr:colOff>0</xdr:colOff>
      <xdr:row>37</xdr:row>
      <xdr:rowOff>0</xdr:rowOff>
    </xdr:from>
    <xdr:to>
      <xdr:col>12</xdr:col>
      <xdr:colOff>56629</xdr:colOff>
      <xdr:row>63</xdr:row>
      <xdr:rowOff>123252</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6343650"/>
          <a:ext cx="4171429" cy="4580952"/>
        </a:xfrm>
        <a:prstGeom prst="rect">
          <a:avLst/>
        </a:prstGeom>
      </xdr:spPr>
    </xdr:pic>
    <xdr:clientData/>
  </xdr:twoCellAnchor>
  <xdr:twoCellAnchor editAs="oneCell">
    <xdr:from>
      <xdr:col>0</xdr:col>
      <xdr:colOff>0</xdr:colOff>
      <xdr:row>0</xdr:row>
      <xdr:rowOff>0</xdr:rowOff>
    </xdr:from>
    <xdr:to>
      <xdr:col>5</xdr:col>
      <xdr:colOff>542429</xdr:colOff>
      <xdr:row>20</xdr:row>
      <xdr:rowOff>66238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3971429" cy="3495238"/>
        </a:xfrm>
        <a:prstGeom prst="rect">
          <a:avLst/>
        </a:prstGeom>
      </xdr:spPr>
    </xdr:pic>
    <xdr:clientData/>
  </xdr:twoCellAnchor>
  <xdr:twoCellAnchor editAs="oneCell">
    <xdr:from>
      <xdr:col>0</xdr:col>
      <xdr:colOff>0</xdr:colOff>
      <xdr:row>21</xdr:row>
      <xdr:rowOff>0</xdr:rowOff>
    </xdr:from>
    <xdr:to>
      <xdr:col>5</xdr:col>
      <xdr:colOff>332905</xdr:colOff>
      <xdr:row>28</xdr:row>
      <xdr:rowOff>152231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600450"/>
          <a:ext cx="3761905"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估价对象为北京市房地产，为所有。根据《国有土地使用证》[]，估价对象（分摊）出让国有建设用地使用权面积为0平方米，建筑面积为3313.6平方米。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估价对象为北京市房地产,属开发建设的工业项目，该项目尚在开发建设中。根据《国有土地使用证》[]，估价对象（分摊）出让国有建设用地使用权面积为0平方米，规划建筑面积为3313.6平方米。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2025年8月27日（评估专业人员实地查勘之日）</v>
      </c>
    </row>
    <row r="13" spans="1:2" s="1201" customFormat="1">
      <c r="A13" s="1199" t="s">
        <v>529</v>
      </c>
      <c r="B13" s="120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5132</v>
      </c>
    </row>
    <row r="21" spans="1:2" s="1201" customFormat="1">
      <c r="A21" s="1199" t="s">
        <v>537</v>
      </c>
      <c r="B21" s="1200">
        <f ca="1">'预评函-2'!D7</f>
        <v>15488</v>
      </c>
    </row>
    <row r="22" spans="1:2" s="1201" customFormat="1">
      <c r="A22" s="1199" t="s">
        <v>538</v>
      </c>
      <c r="B22" s="1200" t="str">
        <f ca="1">'预评函-2'!D6</f>
        <v>伍仟壹佰叁拾贰万元整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5132</v>
      </c>
    </row>
    <row r="31" spans="1:2" s="1201" customFormat="1">
      <c r="A31" s="1199" t="s">
        <v>576</v>
      </c>
      <c r="B31" s="1200">
        <f ca="1">'预评函-2'!D15</f>
        <v>15488</v>
      </c>
    </row>
    <row r="32" spans="1:2" s="1201" customFormat="1">
      <c r="A32" s="1199" t="s">
        <v>543</v>
      </c>
      <c r="B32" s="1200" t="str">
        <f ca="1">'预评函-2'!D14</f>
        <v>伍仟壹佰叁拾贰万元整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3313.6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3854</v>
      </c>
    </row>
    <row r="48" spans="1:2" s="1201" customFormat="1">
      <c r="A48" s="1199" t="s">
        <v>549</v>
      </c>
      <c r="B48" s="1200">
        <f ca="1">'预评函-3'!E4</f>
        <v>11631</v>
      </c>
    </row>
    <row r="49" spans="1:2" s="1201" customFormat="1">
      <c r="A49" s="1199" t="s">
        <v>550</v>
      </c>
      <c r="B49" s="1200" t="str">
        <f ca="1">'预评函-3'!D5</f>
        <v>叁仟捌佰伍拾肆万元整</v>
      </c>
    </row>
    <row r="50" spans="1:2" s="1201" customFormat="1">
      <c r="A50" s="1199" t="s">
        <v>574</v>
      </c>
      <c r="B50" s="1200" t="str">
        <f>'预评函-3'!F2</f>
        <v>在建建筑物价值</v>
      </c>
    </row>
    <row r="51" spans="1:2" s="1201" customFormat="1">
      <c r="A51" s="1199" t="s">
        <v>551</v>
      </c>
      <c r="B51" s="1200">
        <f ca="1">'预评函-3'!F4</f>
        <v>1278</v>
      </c>
    </row>
    <row r="52" spans="1:2" s="1201" customFormat="1">
      <c r="A52" s="1199" t="s">
        <v>552</v>
      </c>
      <c r="B52" s="1200">
        <f ca="1">'预评函-3'!G4</f>
        <v>3857</v>
      </c>
    </row>
    <row r="53" spans="1:2" s="1201" customFormat="1">
      <c r="A53" s="1199" t="s">
        <v>580</v>
      </c>
      <c r="B53" s="1200" t="str">
        <f ca="1">'预评函-3'!F5</f>
        <v>壹仟贰佰柒拾捌万元整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3339</v>
      </c>
    </row>
    <row r="8" spans="1:23">
      <c r="A8" s="1544" t="s">
        <v>1026</v>
      </c>
      <c r="B8" s="1544" t="s">
        <v>1027</v>
      </c>
      <c r="C8" s="1545" t="s">
        <v>319</v>
      </c>
      <c r="F8" s="1546" t="s">
        <v>1028</v>
      </c>
      <c r="H8" s="1546" t="s">
        <v>2576</v>
      </c>
      <c r="I8" s="1546" t="s">
        <v>3340</v>
      </c>
    </row>
    <row r="9" spans="1:23">
      <c r="A9" s="1544" t="s">
        <v>1029</v>
      </c>
      <c r="B9" s="1544" t="s">
        <v>1030</v>
      </c>
      <c r="C9" s="1545" t="s">
        <v>320</v>
      </c>
      <c r="F9" s="1546" t="s">
        <v>1031</v>
      </c>
      <c r="H9" s="1546"/>
      <c r="I9" s="1549" t="s">
        <v>3341</v>
      </c>
    </row>
    <row r="10" spans="1:23">
      <c r="A10" s="1544" t="s">
        <v>1032</v>
      </c>
      <c r="B10" s="1544" t="s">
        <v>1033</v>
      </c>
      <c r="C10" s="1545" t="s">
        <v>321</v>
      </c>
      <c r="F10" s="1546" t="s">
        <v>2577</v>
      </c>
      <c r="I10" s="1549" t="s">
        <v>3342</v>
      </c>
    </row>
    <row r="11" spans="1:23">
      <c r="A11" s="1544" t="s">
        <v>1034</v>
      </c>
      <c r="B11" s="1544" t="s">
        <v>1035</v>
      </c>
      <c r="C11" s="1545" t="s">
        <v>322</v>
      </c>
      <c r="F11" s="1546" t="s">
        <v>13</v>
      </c>
      <c r="I11" s="1549" t="s">
        <v>3343</v>
      </c>
    </row>
    <row r="12" spans="1:23">
      <c r="A12" s="1544" t="s">
        <v>1036</v>
      </c>
      <c r="B12" s="1544" t="s">
        <v>1037</v>
      </c>
      <c r="C12" s="1545" t="s">
        <v>323</v>
      </c>
      <c r="I12" s="1549" t="s">
        <v>3344</v>
      </c>
    </row>
    <row r="13" spans="1:23">
      <c r="A13" s="1544" t="s">
        <v>1038</v>
      </c>
      <c r="B13" s="1544" t="s">
        <v>1039</v>
      </c>
      <c r="C13" s="1545" t="s">
        <v>324</v>
      </c>
      <c r="I13" s="1549" t="s">
        <v>3345</v>
      </c>
    </row>
    <row r="14" spans="1:23">
      <c r="A14" s="1544" t="s">
        <v>1040</v>
      </c>
      <c r="B14" s="1544" t="s">
        <v>1041</v>
      </c>
      <c r="C14" s="1546" t="s">
        <v>13</v>
      </c>
      <c r="I14" s="1549" t="s">
        <v>3346</v>
      </c>
    </row>
    <row r="15" spans="1:23">
      <c r="A15" s="1544" t="s">
        <v>1042</v>
      </c>
      <c r="B15" s="1544" t="s">
        <v>1043</v>
      </c>
      <c r="C15" s="1545"/>
      <c r="I15" s="1549" t="s">
        <v>3347</v>
      </c>
    </row>
    <row r="16" spans="1:23">
      <c r="A16" s="1544" t="s">
        <v>1044</v>
      </c>
      <c r="B16" s="1544" t="s">
        <v>312</v>
      </c>
      <c r="C16" s="1545"/>
    </row>
    <row r="17" spans="1:3">
      <c r="A17" s="1544" t="s">
        <v>1045</v>
      </c>
      <c r="B17" s="1544" t="s">
        <v>2290</v>
      </c>
      <c r="C17" s="1545"/>
    </row>
    <row r="18" spans="1:3">
      <c r="A18" s="1544" t="s">
        <v>1046</v>
      </c>
      <c r="B18" s="1544" t="s">
        <v>2433</v>
      </c>
      <c r="C18" s="1545"/>
    </row>
    <row r="19" spans="1:3">
      <c r="A19" s="1544" t="s">
        <v>1047</v>
      </c>
      <c r="B19" s="1544" t="s">
        <v>3412</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2" t="s">
        <v>385</v>
      </c>
      <c r="C54" s="1549" t="s">
        <v>583</v>
      </c>
    </row>
    <row r="55" spans="1:4">
      <c r="A55" s="3569"/>
      <c r="B55" s="1552" t="s">
        <v>386</v>
      </c>
      <c r="C55" s="1549" t="s">
        <v>584</v>
      </c>
    </row>
    <row r="56" spans="1:4">
      <c r="A56" s="3569"/>
      <c r="B56" s="1552" t="s">
        <v>387</v>
      </c>
      <c r="C56" s="1549" t="s">
        <v>588</v>
      </c>
    </row>
    <row r="57" spans="1:4">
      <c r="A57" s="356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2499</v>
      </c>
      <c r="B1" s="3007"/>
      <c r="C1" s="3007"/>
      <c r="D1" s="3007"/>
      <c r="E1" s="3007"/>
      <c r="F1" s="3008"/>
      <c r="I1" s="3430" t="s">
        <v>2592</v>
      </c>
      <c r="J1" s="3219"/>
      <c r="K1" s="3219"/>
      <c r="L1" s="3219"/>
      <c r="M1" s="3219"/>
      <c r="N1" s="3431"/>
      <c r="O1" s="3431"/>
      <c r="P1" s="3431"/>
      <c r="Q1" s="3431"/>
      <c r="R1" s="3431"/>
    </row>
    <row r="2" spans="1:18">
      <c r="A2" s="3010"/>
      <c r="B2" s="3011"/>
      <c r="C2" s="3011"/>
      <c r="D2" s="3011"/>
      <c r="E2" s="3011"/>
      <c r="F2" s="3012"/>
      <c r="I2" s="3570" t="s">
        <v>2579</v>
      </c>
      <c r="J2" s="3570"/>
      <c r="K2" s="3570"/>
      <c r="L2" s="3570"/>
      <c r="M2" s="3570"/>
      <c r="N2" s="3570"/>
      <c r="O2" s="3570"/>
      <c r="P2" s="3570"/>
      <c r="Q2" s="3570"/>
      <c r="R2" s="3570"/>
    </row>
    <row r="3" spans="1:18">
      <c r="A3" s="3013" t="s">
        <v>2500</v>
      </c>
      <c r="B3" s="3014">
        <f>项目基本情况!D3</f>
        <v>45896</v>
      </c>
      <c r="C3" s="3016"/>
      <c r="D3" s="3016"/>
      <c r="E3" s="3016"/>
      <c r="F3" s="3012"/>
      <c r="I3" s="3432"/>
      <c r="J3" s="3432" t="s">
        <v>2583</v>
      </c>
      <c r="K3" s="3432" t="s">
        <v>2584</v>
      </c>
      <c r="L3" s="3432" t="s">
        <v>2585</v>
      </c>
      <c r="M3" s="3432" t="s">
        <v>2586</v>
      </c>
      <c r="N3" s="3433" t="s">
        <v>2587</v>
      </c>
      <c r="O3" s="3433" t="s">
        <v>2588</v>
      </c>
      <c r="P3" s="3433" t="s">
        <v>2589</v>
      </c>
      <c r="Q3" s="3433" t="s">
        <v>2590</v>
      </c>
      <c r="R3" s="3433" t="s">
        <v>2591</v>
      </c>
    </row>
    <row r="4" spans="1:18">
      <c r="A4" s="3013" t="s">
        <v>2501</v>
      </c>
      <c r="B4" s="3016" t="s">
        <v>2502</v>
      </c>
      <c r="C4" s="3016" t="s">
        <v>2503</v>
      </c>
      <c r="D4" s="3016" t="s">
        <v>2504</v>
      </c>
      <c r="E4" s="3016" t="s">
        <v>2505</v>
      </c>
      <c r="F4" s="3012"/>
      <c r="I4" s="3432" t="s">
        <v>2580</v>
      </c>
      <c r="J4" s="3432">
        <v>80</v>
      </c>
      <c r="K4" s="3432">
        <v>70</v>
      </c>
      <c r="L4" s="3432">
        <v>20</v>
      </c>
      <c r="M4" s="3432">
        <v>30</v>
      </c>
      <c r="N4" s="3016">
        <v>45</v>
      </c>
      <c r="O4" s="3016">
        <v>60</v>
      </c>
      <c r="P4" s="3016">
        <v>50</v>
      </c>
      <c r="Q4" s="3016">
        <v>20</v>
      </c>
      <c r="R4" s="3016">
        <v>375</v>
      </c>
    </row>
    <row r="5" spans="1:18">
      <c r="A5" s="3017">
        <v>40</v>
      </c>
      <c r="B5" s="3014">
        <v>46375</v>
      </c>
      <c r="C5" s="3016">
        <f>ROUNDDOWN(MIN((B5-B3)/365,A5),2)</f>
        <v>1.31</v>
      </c>
      <c r="D5" s="3018">
        <f>IF(ISERROR(ROUND(POWER(1+E5,A5-C5)*(POWER(1+E5,C5)-1)/(POWER(1+E5,A5)-1),3)),0,ROUND(POWER(1+E5,A5-C5)*(POWER(1+E5,C5)-1)/(POWER(1+E5,A5)-1),4))</f>
        <v>6.3299999999999995E-2</v>
      </c>
      <c r="E5" s="3019">
        <v>0.04</v>
      </c>
      <c r="F5" s="3012"/>
      <c r="I5" s="3432" t="s">
        <v>2581</v>
      </c>
      <c r="J5" s="3432">
        <v>70</v>
      </c>
      <c r="K5" s="3432">
        <v>60</v>
      </c>
      <c r="L5" s="3432">
        <v>15</v>
      </c>
      <c r="M5" s="3432">
        <v>25</v>
      </c>
      <c r="N5" s="3016">
        <v>40</v>
      </c>
      <c r="O5" s="3016">
        <v>50</v>
      </c>
      <c r="P5" s="3016">
        <v>40</v>
      </c>
      <c r="Q5" s="3016">
        <v>15</v>
      </c>
      <c r="R5" s="3016">
        <v>315</v>
      </c>
    </row>
    <row r="6" spans="1:18">
      <c r="A6" s="3017">
        <v>50</v>
      </c>
      <c r="B6" s="3014">
        <v>50028</v>
      </c>
      <c r="C6" s="3016">
        <f>ROUNDDOWN(MIN((B6-B3)/365,A6),2)</f>
        <v>11.32</v>
      </c>
      <c r="D6" s="3018">
        <f>IF(ISERROR(ROUND(POWER(1+E6,A6-C6)*(POWER(1+E6,C6)-1)/(POWER(1+E6,A6)-1),3)),0,ROUND(POWER(1+E6,A6-C6)*(POWER(1+E6,C6)-1)/(POWER(1+E6,A6)-1),4))</f>
        <v>0.41720000000000002</v>
      </c>
      <c r="E6" s="3019">
        <v>0.04</v>
      </c>
      <c r="F6" s="3012"/>
      <c r="I6" s="3432" t="s">
        <v>2582</v>
      </c>
      <c r="J6" s="3432">
        <v>60</v>
      </c>
      <c r="K6" s="3432">
        <v>50</v>
      </c>
      <c r="L6" s="3432">
        <v>10</v>
      </c>
      <c r="M6" s="3432">
        <v>20</v>
      </c>
      <c r="N6" s="3016">
        <v>35</v>
      </c>
      <c r="O6" s="3016">
        <v>40</v>
      </c>
      <c r="P6" s="3016">
        <v>30</v>
      </c>
      <c r="Q6" s="3016">
        <v>10</v>
      </c>
      <c r="R6" s="3016">
        <v>255</v>
      </c>
    </row>
    <row r="7" spans="1:18">
      <c r="A7" s="3017">
        <v>70</v>
      </c>
      <c r="B7" s="3014">
        <v>57333</v>
      </c>
      <c r="C7" s="3016">
        <f>ROUNDDOWN(MIN((B7-B3)/365,A7),2)</f>
        <v>31.33</v>
      </c>
      <c r="D7" s="3018">
        <f>IF(ISERROR(ROUND(POWER(1+E7,A7-C7)*(POWER(1+E7,C7)-1)/(POWER(1+E7,A7)-1),3)),0,ROUND(POWER(1+E7,A7-C7)*(POWER(1+E7,C7)-1)/(POWER(1+E7,A7)-1),4))</f>
        <v>0.75590000000000002</v>
      </c>
      <c r="E7" s="3019">
        <v>0.04</v>
      </c>
      <c r="F7" s="3012"/>
    </row>
    <row r="8" spans="1:18">
      <c r="A8" s="3010"/>
      <c r="B8" s="3011"/>
      <c r="C8" s="3011"/>
      <c r="D8" s="3011"/>
      <c r="E8" s="3011"/>
      <c r="F8" s="3012"/>
    </row>
    <row r="9" spans="1:18">
      <c r="A9" s="3013" t="s">
        <v>2506</v>
      </c>
      <c r="B9" s="3016"/>
      <c r="C9" s="3016"/>
      <c r="D9" s="3016"/>
      <c r="E9" s="3016"/>
      <c r="F9" s="3020"/>
    </row>
    <row r="10" spans="1:18">
      <c r="A10" s="3013" t="s">
        <v>2507</v>
      </c>
      <c r="B10" s="3016"/>
      <c r="C10" s="3016"/>
      <c r="D10" s="3016" t="s">
        <v>2505</v>
      </c>
      <c r="E10" s="3016"/>
      <c r="F10" s="3020" t="s">
        <v>2504</v>
      </c>
    </row>
    <row r="11" spans="1:18">
      <c r="A11" s="3013" t="s">
        <v>2508</v>
      </c>
      <c r="B11" s="3021">
        <v>70</v>
      </c>
      <c r="C11" s="3016" t="s">
        <v>2509</v>
      </c>
      <c r="D11" s="3022">
        <v>4.4999999999999998E-2</v>
      </c>
      <c r="E11" s="3016" t="s">
        <v>2510</v>
      </c>
      <c r="F11" s="3023">
        <f>ROUND(1-(1/(POWER(1+D11,B11))),4)</f>
        <v>0.95409999999999995</v>
      </c>
    </row>
    <row r="12" spans="1:18">
      <c r="A12" s="3013" t="s">
        <v>2511</v>
      </c>
      <c r="B12" s="3021">
        <v>40</v>
      </c>
      <c r="C12" s="3016" t="s">
        <v>2512</v>
      </c>
      <c r="D12" s="3022">
        <v>4.4999999999999998E-2</v>
      </c>
      <c r="E12" s="3016" t="s">
        <v>2513</v>
      </c>
      <c r="F12" s="3023">
        <f>ROUND(1-(1/(POWER(1+D12,B12))),4)</f>
        <v>0.82809999999999995</v>
      </c>
    </row>
    <row r="13" spans="1:18">
      <c r="A13" s="3013" t="s">
        <v>2514</v>
      </c>
      <c r="B13" s="3016"/>
      <c r="C13" s="3016"/>
      <c r="D13" s="3011"/>
      <c r="E13" s="3011"/>
      <c r="F13" s="3012"/>
    </row>
    <row r="14" spans="1:18">
      <c r="A14" s="3013" t="s">
        <v>2515</v>
      </c>
      <c r="B14" s="3021">
        <v>5000</v>
      </c>
      <c r="C14" s="3015"/>
      <c r="D14" s="3011"/>
      <c r="E14" s="3011"/>
      <c r="F14" s="3012"/>
    </row>
    <row r="15" spans="1:18">
      <c r="A15" s="3013" t="s">
        <v>2516</v>
      </c>
      <c r="B15" s="3016">
        <f>ROUND(B14*F12/F11,2)</f>
        <v>4339.6899999999996</v>
      </c>
      <c r="C15" s="3016">
        <f>ROUND(F12/F11,4)</f>
        <v>0.8679</v>
      </c>
      <c r="D15" s="3011"/>
      <c r="E15" s="3011"/>
      <c r="F15" s="3012"/>
    </row>
    <row r="16" spans="1:18">
      <c r="A16" s="3013" t="s">
        <v>2517</v>
      </c>
      <c r="B16" s="3016"/>
      <c r="C16" s="3016"/>
      <c r="D16" s="3011"/>
      <c r="E16" s="3011"/>
      <c r="F16" s="3012"/>
    </row>
    <row r="17" spans="1:13">
      <c r="A17" s="3013" t="s">
        <v>2516</v>
      </c>
      <c r="B17" s="3022">
        <v>4810</v>
      </c>
      <c r="C17" s="3015"/>
      <c r="D17" s="3011"/>
      <c r="E17" s="3011"/>
      <c r="F17" s="3012"/>
    </row>
    <row r="18" spans="1:13" ht="14.25" thickBot="1">
      <c r="A18" s="3024" t="s">
        <v>2515</v>
      </c>
      <c r="B18" s="3025">
        <f>ROUND(B17*F11/F12,2)</f>
        <v>5541.87</v>
      </c>
      <c r="C18" s="3025">
        <f>ROUND(F11/F12,4)</f>
        <v>1.1521999999999999</v>
      </c>
      <c r="D18" s="3026"/>
      <c r="E18" s="3026"/>
      <c r="F18" s="3027"/>
    </row>
    <row r="19" spans="1:13" ht="14.25" thickBot="1"/>
    <row r="20" spans="1:13" s="3062" customFormat="1" ht="14.25" thickTop="1">
      <c r="A20" s="3059" t="s">
        <v>2518</v>
      </c>
      <c r="B20" s="3060"/>
      <c r="C20" s="3060"/>
      <c r="D20" s="3060"/>
      <c r="E20" s="3060"/>
      <c r="F20" s="3060"/>
      <c r="G20" s="3061"/>
      <c r="I20" s="3063" t="s">
        <v>2563</v>
      </c>
      <c r="J20" s="3063" t="s">
        <v>2568</v>
      </c>
      <c r="K20" s="3063"/>
      <c r="L20" s="3063"/>
      <c r="M20" s="3063"/>
    </row>
    <row r="21" spans="1:13">
      <c r="A21" s="3028"/>
      <c r="B21" s="3029" t="s">
        <v>2519</v>
      </c>
      <c r="C21" s="3029" t="s">
        <v>2520</v>
      </c>
      <c r="D21" s="3029" t="s">
        <v>2521</v>
      </c>
      <c r="E21" s="3029" t="s">
        <v>2522</v>
      </c>
      <c r="F21" s="3029" t="s">
        <v>2523</v>
      </c>
      <c r="G21" s="3030" t="s">
        <v>2524</v>
      </c>
      <c r="I21" s="3051">
        <v>5</v>
      </c>
      <c r="J21" s="3051">
        <v>54.2</v>
      </c>
    </row>
    <row r="22" spans="1:13">
      <c r="A22" s="3028" t="s">
        <v>2525</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2526</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2566</v>
      </c>
      <c r="M23" s="3051" t="s">
        <v>2567</v>
      </c>
    </row>
    <row r="24" spans="1:13">
      <c r="A24" s="3028" t="s">
        <v>2527</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2565</v>
      </c>
      <c r="M24" s="3051">
        <v>10</v>
      </c>
    </row>
    <row r="25" spans="1:13">
      <c r="A25" s="3028" t="s">
        <v>2528</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2569</v>
      </c>
      <c r="M25" s="3051">
        <v>8</v>
      </c>
    </row>
    <row r="26" spans="1:13">
      <c r="A26" s="3033"/>
      <c r="B26" s="3034"/>
      <c r="C26" s="3034"/>
      <c r="D26" s="3034"/>
      <c r="E26" s="3034"/>
      <c r="F26" s="3034"/>
      <c r="G26" s="3035"/>
      <c r="I26" s="3051">
        <v>30</v>
      </c>
      <c r="J26" s="3051">
        <v>90.5</v>
      </c>
      <c r="K26" s="3051">
        <f t="shared" si="2"/>
        <v>4.2000000000000028</v>
      </c>
      <c r="L26" s="3051" t="s">
        <v>2570</v>
      </c>
      <c r="M26" s="3051">
        <v>5</v>
      </c>
    </row>
    <row r="27" spans="1:13">
      <c r="A27" s="3033" t="s">
        <v>2529</v>
      </c>
      <c r="B27" s="3034"/>
      <c r="C27" s="3034"/>
      <c r="D27" s="3034"/>
      <c r="E27" s="3034"/>
      <c r="F27" s="3034"/>
      <c r="G27" s="3035"/>
      <c r="I27" s="3051">
        <v>35</v>
      </c>
      <c r="J27" s="3051">
        <v>93.8</v>
      </c>
      <c r="K27" s="3051">
        <f t="shared" si="2"/>
        <v>3.2999999999999972</v>
      </c>
      <c r="L27" s="3051" t="s">
        <v>2571</v>
      </c>
      <c r="M27" s="3051">
        <v>3</v>
      </c>
    </row>
    <row r="28" spans="1:13">
      <c r="A28" s="3033" t="s">
        <v>2530</v>
      </c>
      <c r="B28" s="3034"/>
      <c r="C28" s="3034"/>
      <c r="D28" s="3034"/>
      <c r="E28" s="3034"/>
      <c r="F28" s="3034"/>
      <c r="G28" s="3035"/>
      <c r="I28" s="3051">
        <v>40</v>
      </c>
      <c r="J28" s="3051">
        <v>96.4</v>
      </c>
      <c r="K28" s="3051">
        <f t="shared" si="2"/>
        <v>2.6000000000000085</v>
      </c>
      <c r="L28" s="3051" t="s">
        <v>2572</v>
      </c>
      <c r="M28" s="3051">
        <v>2</v>
      </c>
    </row>
    <row r="29" spans="1:13">
      <c r="A29" s="3033" t="s">
        <v>2531</v>
      </c>
      <c r="B29" s="3034"/>
      <c r="C29" s="3034"/>
      <c r="D29" s="3034"/>
      <c r="E29" s="3034"/>
      <c r="F29" s="3034"/>
      <c r="G29" s="3035"/>
      <c r="I29" s="3051">
        <v>45</v>
      </c>
      <c r="J29" s="3051">
        <v>98.4</v>
      </c>
      <c r="K29" s="3051">
        <f t="shared" si="2"/>
        <v>2</v>
      </c>
    </row>
    <row r="30" spans="1:13">
      <c r="A30" s="3033" t="s">
        <v>2532</v>
      </c>
      <c r="B30" s="3034"/>
      <c r="C30" s="3034"/>
      <c r="D30" s="3034"/>
      <c r="E30" s="3034"/>
      <c r="F30" s="3034"/>
      <c r="G30" s="3035"/>
      <c r="I30" s="3051">
        <v>50</v>
      </c>
      <c r="J30" s="3051">
        <v>100</v>
      </c>
      <c r="K30" s="3051">
        <f t="shared" si="2"/>
        <v>1.5999999999999943</v>
      </c>
    </row>
    <row r="31" spans="1:13">
      <c r="A31" s="3033" t="s">
        <v>2533</v>
      </c>
      <c r="B31" s="3034"/>
      <c r="C31" s="3034"/>
      <c r="D31" s="3034"/>
      <c r="E31" s="3034"/>
      <c r="F31" s="3034"/>
      <c r="G31" s="3035"/>
      <c r="I31" s="3051" t="s">
        <v>2564</v>
      </c>
    </row>
    <row r="32" spans="1:13">
      <c r="A32" s="3033" t="s">
        <v>2534</v>
      </c>
      <c r="B32" s="3034"/>
      <c r="C32" s="3034"/>
      <c r="D32" s="3034"/>
      <c r="E32" s="3034"/>
      <c r="F32" s="3034"/>
      <c r="G32" s="3035"/>
    </row>
    <row r="33" spans="1:13">
      <c r="A33" s="3033" t="s">
        <v>2535</v>
      </c>
      <c r="B33" s="3034"/>
      <c r="C33" s="3034"/>
      <c r="D33" s="3034"/>
      <c r="E33" s="3034"/>
      <c r="F33" s="3034"/>
      <c r="G33" s="3035"/>
      <c r="I33" s="3051" t="s">
        <v>2563</v>
      </c>
      <c r="J33" s="3051" t="s">
        <v>2573</v>
      </c>
    </row>
    <row r="34" spans="1:13">
      <c r="A34" s="3033" t="s">
        <v>2536</v>
      </c>
      <c r="B34" s="3034"/>
      <c r="C34" s="3034"/>
      <c r="D34" s="3034"/>
      <c r="E34" s="3034"/>
      <c r="F34" s="3034"/>
      <c r="G34" s="3035"/>
      <c r="I34" s="3051">
        <v>5</v>
      </c>
      <c r="J34" s="3051">
        <v>55.1</v>
      </c>
    </row>
    <row r="35" spans="1:13">
      <c r="A35" s="3033" t="s">
        <v>2537</v>
      </c>
      <c r="B35" s="3034"/>
      <c r="C35" s="3034"/>
      <c r="D35" s="3034"/>
      <c r="E35" s="3034"/>
      <c r="F35" s="3034"/>
      <c r="G35" s="3035"/>
      <c r="I35" s="3051">
        <v>10</v>
      </c>
      <c r="J35" s="3051">
        <v>67</v>
      </c>
      <c r="K35" s="3051">
        <f>J35-J34</f>
        <v>11.899999999999999</v>
      </c>
    </row>
    <row r="36" spans="1:13">
      <c r="A36" s="3033" t="s">
        <v>2538</v>
      </c>
      <c r="B36" s="3034"/>
      <c r="C36" s="3034"/>
      <c r="D36" s="3034"/>
      <c r="E36" s="3034"/>
      <c r="F36" s="3034"/>
      <c r="G36" s="3035"/>
      <c r="I36" s="3051">
        <v>15</v>
      </c>
      <c r="J36" s="3051">
        <v>76.3</v>
      </c>
      <c r="K36" s="3051">
        <f t="shared" ref="K36:K41" si="3">J36-J35</f>
        <v>9.2999999999999972</v>
      </c>
      <c r="L36" s="3051" t="s">
        <v>2566</v>
      </c>
      <c r="M36" s="3051" t="s">
        <v>2567</v>
      </c>
    </row>
    <row r="37" spans="1:13">
      <c r="A37" s="3033" t="s">
        <v>2539</v>
      </c>
      <c r="B37" s="3034"/>
      <c r="C37" s="3034"/>
      <c r="D37" s="3034"/>
      <c r="E37" s="3034"/>
      <c r="F37" s="3034"/>
      <c r="G37" s="3035"/>
      <c r="I37" s="3051">
        <v>20</v>
      </c>
      <c r="J37" s="3051">
        <v>83.6</v>
      </c>
      <c r="K37" s="3051">
        <f t="shared" si="3"/>
        <v>7.2999999999999972</v>
      </c>
      <c r="L37" s="3051" t="s">
        <v>2565</v>
      </c>
      <c r="M37" s="3051">
        <v>10</v>
      </c>
    </row>
    <row r="38" spans="1:13">
      <c r="A38" s="3033" t="s">
        <v>2540</v>
      </c>
      <c r="B38" s="3034"/>
      <c r="C38" s="3034"/>
      <c r="D38" s="3034"/>
      <c r="E38" s="3034"/>
      <c r="F38" s="3034"/>
      <c r="G38" s="3035"/>
      <c r="I38" s="3051">
        <v>25</v>
      </c>
      <c r="J38" s="3051">
        <v>89.3</v>
      </c>
      <c r="K38" s="3051">
        <f t="shared" si="3"/>
        <v>5.7000000000000028</v>
      </c>
      <c r="L38" s="3051" t="s">
        <v>2569</v>
      </c>
      <c r="M38" s="3051">
        <v>8</v>
      </c>
    </row>
    <row r="39" spans="1:13">
      <c r="A39" s="3033"/>
      <c r="B39" s="3034"/>
      <c r="C39" s="3034"/>
      <c r="D39" s="3034"/>
      <c r="E39" s="3034"/>
      <c r="F39" s="3034"/>
      <c r="G39" s="3035"/>
      <c r="I39" s="3051">
        <v>30</v>
      </c>
      <c r="J39" s="3051">
        <v>93.8</v>
      </c>
      <c r="K39" s="3051">
        <f t="shared" si="3"/>
        <v>4.5</v>
      </c>
      <c r="L39" s="3051" t="s">
        <v>2570</v>
      </c>
      <c r="M39" s="3051">
        <v>6</v>
      </c>
    </row>
    <row r="40" spans="1:13">
      <c r="A40" s="3036" t="s">
        <v>2541</v>
      </c>
      <c r="B40" s="3037"/>
      <c r="C40" s="3037"/>
      <c r="D40" s="3037"/>
      <c r="E40" s="3037"/>
      <c r="F40" s="3037"/>
      <c r="G40" s="3038"/>
      <c r="I40" s="3051">
        <v>35</v>
      </c>
      <c r="J40" s="3051">
        <v>97.2</v>
      </c>
      <c r="K40" s="3051">
        <f t="shared" si="3"/>
        <v>3.4000000000000057</v>
      </c>
      <c r="L40" s="3051" t="s">
        <v>2571</v>
      </c>
      <c r="M40" s="3051">
        <v>3</v>
      </c>
    </row>
    <row r="41" spans="1:13">
      <c r="A41" s="3039" t="s">
        <v>2542</v>
      </c>
      <c r="B41" s="3040" t="s">
        <v>2543</v>
      </c>
      <c r="C41" s="3041" t="s">
        <v>2544</v>
      </c>
      <c r="D41" s="3041" t="s">
        <v>2545</v>
      </c>
      <c r="E41" s="3042"/>
      <c r="F41" s="3043"/>
      <c r="G41" s="3044"/>
      <c r="I41" s="3051">
        <v>40</v>
      </c>
      <c r="J41" s="3051">
        <v>100</v>
      </c>
      <c r="K41" s="3051">
        <f t="shared" si="3"/>
        <v>2.7999999999999972</v>
      </c>
    </row>
    <row r="42" spans="1:13">
      <c r="A42" s="3039" t="s">
        <v>2546</v>
      </c>
      <c r="B42" s="3040" t="s">
        <v>2547</v>
      </c>
      <c r="C42" s="3041" t="s">
        <v>2548</v>
      </c>
      <c r="D42" s="3045" t="s">
        <v>2549</v>
      </c>
      <c r="E42" s="3037" t="s">
        <v>2550</v>
      </c>
      <c r="F42" s="3037"/>
      <c r="G42" s="3038"/>
    </row>
    <row r="43" spans="1:13">
      <c r="A43" s="3039" t="s">
        <v>2551</v>
      </c>
      <c r="B43" s="3040" t="s">
        <v>2552</v>
      </c>
      <c r="C43" s="3041" t="s">
        <v>2553</v>
      </c>
      <c r="D43" s="3041" t="s">
        <v>2554</v>
      </c>
      <c r="E43" s="3042" t="s">
        <v>2555</v>
      </c>
      <c r="F43" s="3043"/>
      <c r="G43" s="3044"/>
      <c r="I43" s="3051" t="s">
        <v>2563</v>
      </c>
      <c r="J43" s="3051" t="s">
        <v>2574</v>
      </c>
    </row>
    <row r="44" spans="1:13">
      <c r="A44" s="3039" t="s">
        <v>2556</v>
      </c>
      <c r="B44" s="3040" t="s">
        <v>2557</v>
      </c>
      <c r="C44" s="3041" t="s">
        <v>2558</v>
      </c>
      <c r="D44" s="3045">
        <v>0.5</v>
      </c>
      <c r="E44" s="3042" t="s">
        <v>2559</v>
      </c>
      <c r="F44" s="3043"/>
      <c r="G44" s="3044"/>
      <c r="I44" s="3051">
        <v>30</v>
      </c>
      <c r="J44" s="3051">
        <v>81.7</v>
      </c>
    </row>
    <row r="45" spans="1:13" ht="14.25" thickBot="1">
      <c r="A45" s="3046" t="s">
        <v>2560</v>
      </c>
      <c r="B45" s="3047" t="s">
        <v>2547</v>
      </c>
      <c r="C45" s="3048" t="s">
        <v>2547</v>
      </c>
      <c r="D45" s="3048" t="s">
        <v>2561</v>
      </c>
      <c r="E45" s="3049" t="s">
        <v>2562</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1" t="str">
        <f>IF(B10="北京市","北京市",C10)&amp;F10&amp;IF(结果表!G1="在建","出让国有建设用地使用权及在建建筑物",IF(结果表!G1="土地","出让国有建设用地使用权",))&amp;B9&amp;"预评估"</f>
        <v>北京市房地产抵押价值预评估</v>
      </c>
      <c r="C1" s="3572"/>
      <c r="D1" s="3572"/>
      <c r="E1" s="3572"/>
      <c r="F1" s="3572"/>
      <c r="G1" s="3572"/>
      <c r="H1" s="3572"/>
      <c r="I1" s="3573"/>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v>45896</v>
      </c>
      <c r="C3" s="2372" t="s">
        <v>2168</v>
      </c>
      <c r="D3" s="2371">
        <f>B3</f>
        <v>45896</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2172</v>
      </c>
      <c r="B7" s="2384"/>
      <c r="C7" s="2382"/>
      <c r="D7" s="2383"/>
      <c r="E7" s="2658"/>
      <c r="F7" s="2660"/>
      <c r="G7" s="2660"/>
      <c r="H7" s="2660"/>
      <c r="I7" s="2660"/>
      <c r="J7" s="2436"/>
      <c r="K7" s="2612"/>
      <c r="L7" s="2609"/>
      <c r="M7" s="2609"/>
      <c r="N7" s="2436"/>
      <c r="O7" s="2447"/>
      <c r="P7" s="2436"/>
      <c r="Q7" s="2436"/>
      <c r="R7" s="2436"/>
    </row>
    <row r="8" spans="1:30">
      <c r="A8" s="2385" t="s">
        <v>2173</v>
      </c>
      <c r="B8" s="2386" t="s">
        <v>3376</v>
      </c>
      <c r="C8" s="2387"/>
      <c r="D8" s="3574" t="s">
        <v>2174</v>
      </c>
      <c r="E8" s="2388" t="s">
        <v>3377</v>
      </c>
      <c r="F8" s="2389"/>
      <c r="G8" s="2659"/>
      <c r="H8" s="2659"/>
      <c r="I8" s="2659"/>
      <c r="J8" s="2436"/>
      <c r="K8" s="2610"/>
      <c r="L8" s="2609"/>
      <c r="M8" s="2609"/>
      <c r="N8" s="2436"/>
      <c r="O8" s="2447"/>
      <c r="P8" s="2436"/>
      <c r="Q8" s="2436"/>
      <c r="R8" s="2436"/>
    </row>
    <row r="9" spans="1:30" ht="13.5" thickBot="1">
      <c r="A9" s="2390" t="s">
        <v>2175</v>
      </c>
      <c r="B9" s="2391" t="s">
        <v>3377</v>
      </c>
      <c r="C9" s="2392"/>
      <c r="D9" s="3575"/>
      <c r="E9" s="2391" t="s">
        <v>43</v>
      </c>
      <c r="F9" s="2393"/>
      <c r="G9" s="2661"/>
      <c r="H9" s="2661"/>
      <c r="I9" s="2661"/>
      <c r="J9" s="2436"/>
      <c r="K9" s="2612"/>
      <c r="L9" s="2609"/>
      <c r="M9" s="2609"/>
      <c r="N9" s="2436"/>
      <c r="O9" s="2447"/>
      <c r="P9" s="2436"/>
      <c r="Q9" s="2436"/>
      <c r="R9" s="2436"/>
    </row>
    <row r="10" spans="1:30" ht="13.5" thickTop="1">
      <c r="A10" s="2394" t="s">
        <v>2176</v>
      </c>
      <c r="B10" s="2395" t="s">
        <v>3378</v>
      </c>
      <c r="C10" s="2396"/>
      <c r="D10" s="2379"/>
      <c r="E10" s="2397" t="s">
        <v>2177</v>
      </c>
      <c r="F10" s="3469"/>
      <c r="G10" s="2662"/>
      <c r="H10" s="2663"/>
      <c r="I10" s="2664"/>
      <c r="J10" s="2436"/>
      <c r="K10" s="2612"/>
      <c r="L10" s="2609"/>
      <c r="M10" s="2609"/>
      <c r="N10" s="2436"/>
      <c r="O10" s="2447"/>
      <c r="P10" s="2436"/>
      <c r="Q10" s="2436"/>
      <c r="R10" s="2436"/>
    </row>
    <row r="11" spans="1:30">
      <c r="A11" s="2398" t="s">
        <v>2178</v>
      </c>
      <c r="B11" s="2399" t="s">
        <v>3522</v>
      </c>
      <c r="C11" s="2400"/>
      <c r="D11" s="2401"/>
      <c r="E11" s="2368"/>
      <c r="F11" s="2368"/>
      <c r="G11" s="2368"/>
      <c r="H11" s="2368"/>
      <c r="I11" s="2368"/>
      <c r="J11" s="3054"/>
      <c r="K11" s="3053"/>
      <c r="L11" s="2609"/>
      <c r="M11" s="2609"/>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2" t="s">
        <v>2575</v>
      </c>
      <c r="J12" s="3055"/>
      <c r="K12" s="2609"/>
      <c r="L12" s="2609"/>
      <c r="M12" s="2436"/>
      <c r="N12" s="2447"/>
      <c r="O12" s="2436"/>
      <c r="P12" s="2436"/>
      <c r="Q12" s="2436"/>
      <c r="AD12" s="1743"/>
    </row>
    <row r="13" spans="1:30">
      <c r="A13" s="3416" t="s">
        <v>3330</v>
      </c>
      <c r="B13" s="2404" t="s">
        <v>2187</v>
      </c>
      <c r="C13" s="854"/>
      <c r="D13" s="3482"/>
      <c r="E13" s="3482"/>
      <c r="F13" s="854"/>
      <c r="G13" s="854"/>
      <c r="H13" s="854">
        <v>52344</v>
      </c>
      <c r="I13" s="854"/>
      <c r="J13" s="3055"/>
      <c r="K13" s="2609"/>
      <c r="L13" s="2609"/>
      <c r="M13" s="2436"/>
      <c r="N13" s="2447"/>
      <c r="O13" s="2436"/>
      <c r="P13" s="2436"/>
      <c r="Q13" s="2436"/>
      <c r="AD13" s="1743"/>
    </row>
    <row r="14" spans="1:30">
      <c r="A14" s="1079"/>
      <c r="B14" s="2404" t="s">
        <v>2188</v>
      </c>
      <c r="C14" s="2405"/>
      <c r="D14" s="2405"/>
      <c r="E14" s="2405"/>
      <c r="F14" s="2405"/>
      <c r="G14" s="2405"/>
      <c r="H14" s="2405">
        <v>50</v>
      </c>
      <c r="I14" s="2405"/>
      <c r="J14" s="3056"/>
      <c r="K14" s="2609"/>
      <c r="L14" s="2609"/>
      <c r="M14" s="2436"/>
      <c r="N14" s="2447"/>
      <c r="O14" s="2436"/>
      <c r="P14" s="2436"/>
      <c r="Q14" s="2436"/>
      <c r="AD14" s="1743"/>
    </row>
    <row r="15" spans="1:30">
      <c r="A15" s="319"/>
      <c r="B15" s="2406" t="s">
        <v>2189</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17.66</v>
      </c>
      <c r="I15" s="2407" t="str">
        <f>IF(A13="出让",IF(I13="","",ROUNDDOWN(MIN((I13-$D$3)/365,I14),2)),I14)</f>
        <v/>
      </c>
      <c r="J15" s="3057"/>
      <c r="K15" s="2448"/>
      <c r="L15" s="2448"/>
      <c r="M15" s="2506"/>
      <c r="N15" s="2448"/>
      <c r="O15" s="2506"/>
      <c r="P15" s="2436"/>
      <c r="Q15" s="2436"/>
      <c r="AD15" s="1743"/>
    </row>
    <row r="16" spans="1:30">
      <c r="A16" s="2397" t="s">
        <v>2190</v>
      </c>
      <c r="B16" s="3581"/>
      <c r="C16" s="3582"/>
      <c r="D16" s="3583"/>
      <c r="E16" s="2410" t="s">
        <v>2191</v>
      </c>
      <c r="F16" s="3584"/>
      <c r="G16" s="3585"/>
      <c r="H16" s="3585"/>
      <c r="I16" s="3586"/>
      <c r="J16" s="2436"/>
      <c r="K16" s="2613"/>
      <c r="L16" s="2448"/>
      <c r="M16" s="2448"/>
      <c r="N16" s="2506"/>
      <c r="O16" s="2448"/>
      <c r="P16" s="2506"/>
      <c r="Q16" s="2436"/>
      <c r="R16" s="2436"/>
    </row>
    <row r="17" spans="1:28">
      <c r="A17" s="312" t="s">
        <v>2192</v>
      </c>
      <c r="B17" s="301" t="s">
        <v>2193</v>
      </c>
      <c r="C17" s="8">
        <f>'数据-汇总表'!E3</f>
        <v>3313.6</v>
      </c>
      <c r="D17" s="2320" t="s">
        <v>2194</v>
      </c>
      <c r="E17" s="3587" t="s">
        <v>2195</v>
      </c>
      <c r="F17" s="3588"/>
      <c r="G17" s="3588"/>
      <c r="H17" s="3588"/>
      <c r="I17" s="3589"/>
      <c r="J17" s="2436"/>
      <c r="K17" s="2614"/>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90" t="s">
        <v>2199</v>
      </c>
      <c r="F18" s="3591"/>
      <c r="G18" s="3591"/>
      <c r="H18" s="3591"/>
      <c r="I18" s="3592"/>
      <c r="J18" s="2436"/>
      <c r="K18" s="2614"/>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2202</v>
      </c>
      <c r="B20" s="3577" t="s">
        <v>2203</v>
      </c>
      <c r="C20" s="3578"/>
      <c r="D20" s="3579" t="s">
        <v>2204</v>
      </c>
      <c r="E20" s="3580"/>
      <c r="F20" s="2643" t="s">
        <v>1056</v>
      </c>
      <c r="G20" s="2660"/>
      <c r="H20" s="2660"/>
      <c r="I20" s="2660"/>
      <c r="J20" s="2436"/>
      <c r="K20" s="3576"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2206</v>
      </c>
      <c r="C21" s="2630" t="s">
        <v>1057</v>
      </c>
      <c r="D21" s="1566" t="s">
        <v>2207</v>
      </c>
      <c r="E21" s="2631" t="s">
        <v>1057</v>
      </c>
      <c r="F21" s="2644"/>
      <c r="G21" s="2660">
        <v>2003</v>
      </c>
      <c r="H21" s="2660"/>
      <c r="I21" s="2660"/>
      <c r="J21" s="2436"/>
      <c r="K21" s="357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2208</v>
      </c>
      <c r="C22" s="2630" t="s">
        <v>1058</v>
      </c>
      <c r="D22" s="2659"/>
      <c r="E22" s="2659"/>
      <c r="F22" s="2659"/>
      <c r="G22" s="2660">
        <f>2024-G21+1</f>
        <v>22</v>
      </c>
      <c r="H22" s="2660"/>
      <c r="I22" s="2660"/>
      <c r="J22" s="2436"/>
      <c r="K22" s="357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2209</v>
      </c>
      <c r="B23" s="2499" t="s">
        <v>2210</v>
      </c>
      <c r="C23" s="2634"/>
      <c r="D23" s="2635" t="s">
        <v>2210</v>
      </c>
      <c r="E23" s="2636"/>
      <c r="F23" s="2659"/>
      <c r="G23" s="2660">
        <f>50-G22</f>
        <v>28</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94" t="s">
        <v>2211</v>
      </c>
      <c r="B27" s="319" t="s">
        <v>2212</v>
      </c>
      <c r="C27" s="2413" t="s">
        <v>3554</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94"/>
      <c r="B28" s="301" t="s">
        <v>2213</v>
      </c>
      <c r="C28" s="2415" t="s">
        <v>3379</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94"/>
      <c r="B29" s="301" t="s">
        <v>2214</v>
      </c>
      <c r="C29" s="2417" t="s">
        <v>3380</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95"/>
      <c r="B30" s="301" t="s">
        <v>2215</v>
      </c>
      <c r="C30" s="3596"/>
      <c r="D30" s="3597"/>
      <c r="E30" s="2660"/>
      <c r="F30" s="2660"/>
      <c r="G30" s="2660"/>
      <c r="H30" s="2660"/>
      <c r="I30" s="2660"/>
      <c r="J30" s="2436"/>
      <c r="K30" s="2612"/>
      <c r="L30" s="2609"/>
      <c r="M30" s="2609"/>
      <c r="N30" s="2436"/>
      <c r="O30" s="2447"/>
      <c r="P30" s="2436"/>
      <c r="Q30" s="2436"/>
      <c r="R30" s="2436"/>
      <c r="S30" s="2436"/>
      <c r="T30" s="2436"/>
      <c r="U30" s="2436"/>
      <c r="V30" s="2436"/>
    </row>
    <row r="31" spans="1:28">
      <c r="A31" s="3598" t="s">
        <v>2216</v>
      </c>
      <c r="B31" s="2419" t="s">
        <v>3381</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99"/>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99"/>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2217</v>
      </c>
      <c r="B34" s="2024" t="s">
        <v>3382</v>
      </c>
      <c r="C34" s="2024" t="s">
        <v>3383</v>
      </c>
      <c r="D34" s="2024" t="s">
        <v>3384</v>
      </c>
      <c r="E34" s="2024" t="s">
        <v>3385</v>
      </c>
      <c r="F34" s="2024" t="s">
        <v>3386</v>
      </c>
      <c r="G34" s="2024" t="s">
        <v>3387</v>
      </c>
      <c r="H34" s="2024" t="s">
        <v>3388</v>
      </c>
      <c r="I34" s="2660"/>
      <c r="J34" s="2436"/>
      <c r="K34" s="2424">
        <f>COUNTIF(B34:H34,"——")</f>
        <v>0</v>
      </c>
      <c r="L34" s="322" t="s">
        <v>2218</v>
      </c>
      <c r="M34" s="322" t="s">
        <v>2219</v>
      </c>
      <c r="N34" s="322" t="s">
        <v>2220</v>
      </c>
      <c r="O34" s="322" t="s">
        <v>2221</v>
      </c>
      <c r="P34" s="322" t="s">
        <v>2222</v>
      </c>
      <c r="Q34" s="322" t="s">
        <v>2223</v>
      </c>
      <c r="R34" s="322" t="s">
        <v>2224</v>
      </c>
      <c r="S34" s="3593" t="s">
        <v>2225</v>
      </c>
      <c r="T34" s="2425" t="str">
        <f>NUMBERSTRING(7-K34,1)&amp;"通"</f>
        <v>七通</v>
      </c>
      <c r="U34" s="2436"/>
      <c r="V34" s="2436"/>
    </row>
    <row r="35" spans="1:30">
      <c r="A35" s="2426"/>
      <c r="B35" s="3600" t="s">
        <v>2226</v>
      </c>
      <c r="C35" s="3600"/>
      <c r="D35" s="3600"/>
      <c r="E35" s="3600"/>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93"/>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8" t="s">
        <v>2578</v>
      </c>
      <c r="G36" s="2660"/>
      <c r="H36" s="2660"/>
      <c r="I36" s="2660"/>
      <c r="J36" s="2436"/>
      <c r="K36" s="2612"/>
      <c r="L36" s="2609"/>
      <c r="M36" s="2609"/>
      <c r="N36" s="2436"/>
      <c r="O36" s="2447"/>
      <c r="P36" s="2436"/>
      <c r="Q36" s="2436"/>
      <c r="R36" s="2436"/>
      <c r="S36" s="2436"/>
      <c r="T36" s="2436"/>
      <c r="U36" s="2436"/>
      <c r="V36" s="2436"/>
    </row>
    <row r="37" spans="1:30">
      <c r="A37" s="2626" t="s">
        <v>2227</v>
      </c>
      <c r="B37" s="2428"/>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2228</v>
      </c>
      <c r="B38" s="2429"/>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O30" sqref="O3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3313.6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3313.6</v>
      </c>
      <c r="H5" s="13">
        <f t="shared" ref="H5:AT5" si="0">SUM(H13:H656)</f>
        <v>2678.5</v>
      </c>
      <c r="I5" s="13">
        <f t="shared" si="0"/>
        <v>2678.5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635.1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635.1</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3313.6</v>
      </c>
      <c r="BA5" s="15">
        <f t="shared" si="1"/>
        <v>2678.5</v>
      </c>
      <c r="BB5" s="15">
        <f t="shared" si="1"/>
        <v>2678.5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635.1</v>
      </c>
      <c r="BM5" s="15">
        <f t="shared" si="1"/>
        <v>0</v>
      </c>
      <c r="BN5" s="15">
        <f t="shared" si="1"/>
        <v>0</v>
      </c>
      <c r="BO5" s="15">
        <f t="shared" si="1"/>
        <v>0</v>
      </c>
      <c r="BP5" s="15">
        <f t="shared" si="1"/>
        <v>0</v>
      </c>
      <c r="BQ5" s="15">
        <f t="shared" si="1"/>
        <v>0</v>
      </c>
      <c r="BR5" s="15">
        <f t="shared" si="1"/>
        <v>635.1</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3523</v>
      </c>
      <c r="J9" s="807"/>
      <c r="K9" s="1601" t="s">
        <v>3555</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t="s">
        <v>3</v>
      </c>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t="str">
        <f>K10</f>
        <v>工业</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527"/>
      <c r="D13" s="1623" t="s">
        <v>3389</v>
      </c>
      <c r="E13" s="13">
        <f>IF($C$3="是",ROUND($A$3*G13/$B$3,2),ROUND($A$3*(G13-AT13)/$B$3,2))</f>
        <v>0</v>
      </c>
      <c r="F13" s="29"/>
      <c r="G13" s="30">
        <f>H13+AC13+AT13</f>
        <v>3313.6</v>
      </c>
      <c r="H13" s="17">
        <f>SUMIF(I$12:AB$12,"总值",I13:AB13)</f>
        <v>2678.5</v>
      </c>
      <c r="I13" s="1624">
        <f>3313.6-AN13</f>
        <v>2678.5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635.1</v>
      </c>
      <c r="AD13" s="1625"/>
      <c r="AE13" s="1625"/>
      <c r="AF13" s="1625"/>
      <c r="AG13" s="1625"/>
      <c r="AH13" s="1625"/>
      <c r="AI13" s="1625"/>
      <c r="AJ13" s="1625"/>
      <c r="AK13" s="1625"/>
      <c r="AL13" s="1625"/>
      <c r="AM13" s="1625"/>
      <c r="AN13" s="1625">
        <v>635.1</v>
      </c>
      <c r="AO13" s="1625"/>
      <c r="AP13" s="1625"/>
      <c r="AQ13" s="1625"/>
      <c r="AR13" s="1625"/>
      <c r="AS13" s="1625"/>
      <c r="AT13" s="1626"/>
      <c r="AU13" s="1627"/>
      <c r="AV13" s="8">
        <f t="shared" ref="AV13:AX17" si="6">A13</f>
        <v>0</v>
      </c>
      <c r="AW13" s="8">
        <f t="shared" si="6"/>
        <v>0</v>
      </c>
      <c r="AX13" s="8">
        <f t="shared" si="6"/>
        <v>0</v>
      </c>
      <c r="AY13" s="1347">
        <f>ROUND($AY$6*AZ13/$AZ$5,2)</f>
        <v>0</v>
      </c>
      <c r="AZ13" s="13">
        <f>BA13+BL13</f>
        <v>3313.6</v>
      </c>
      <c r="BA13" s="13">
        <f>SUM(BB13:BK13)</f>
        <v>2678.5</v>
      </c>
      <c r="BB13" s="13">
        <f>IF($D13="是",I13-J13,0)</f>
        <v>2678.5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635.1</v>
      </c>
      <c r="BM13" s="13">
        <f>IF($D13="是",AD13-AE13,0)</f>
        <v>0</v>
      </c>
      <c r="BN13" s="13">
        <f>IF($D13="是",AF13-AG13,0)</f>
        <v>0</v>
      </c>
      <c r="BO13" s="13">
        <f>IF($D13="是",AH13-AI13,0)</f>
        <v>0</v>
      </c>
      <c r="BP13" s="13">
        <f>IF($D13="是",AJ13-AK13,0)</f>
        <v>0</v>
      </c>
      <c r="BQ13" s="13">
        <f>IF($D13="是",AL13-AM13,0)</f>
        <v>0</v>
      </c>
      <c r="BR13" s="13">
        <f>IF($D13="是",AN13-AO13,0)</f>
        <v>635.1</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10" t="s">
        <v>1131</v>
      </c>
      <c r="B2" s="3610"/>
      <c r="C2" s="3610"/>
      <c r="D2" s="794" t="s">
        <v>1107</v>
      </c>
      <c r="E2" s="1637" t="s">
        <v>1108</v>
      </c>
      <c r="F2" s="2655"/>
      <c r="G2" s="2646"/>
      <c r="H2" s="2647"/>
      <c r="I2" s="2323" t="s">
        <v>1132</v>
      </c>
      <c r="J2" s="2655"/>
      <c r="K2" s="2655"/>
      <c r="L2" s="2655"/>
      <c r="M2" s="2655"/>
      <c r="N2" s="2657"/>
      <c r="O2" s="2655"/>
      <c r="P2" s="2655"/>
    </row>
    <row r="3" spans="1:16" ht="15.75" thickBot="1">
      <c r="A3" s="3611" t="s">
        <v>1105</v>
      </c>
      <c r="B3" s="3611"/>
      <c r="C3" s="3611"/>
      <c r="D3" s="43">
        <f>'数据-基础表'!AY6</f>
        <v>0</v>
      </c>
      <c r="E3" s="43">
        <f>'数据-基础表'!AZ5</f>
        <v>3313.6</v>
      </c>
      <c r="F3" s="2655"/>
      <c r="G3" s="1143"/>
      <c r="H3" s="1024" t="s">
        <v>1106</v>
      </c>
      <c r="I3" s="853" t="e">
        <f>ROUND('数据-基础表'!B3/'数据-基础表'!A3,2)</f>
        <v>#DIV/0!</v>
      </c>
      <c r="J3" s="2655"/>
      <c r="K3" s="2655"/>
      <c r="L3" s="2655"/>
      <c r="M3" s="2655"/>
      <c r="N3" s="2657"/>
      <c r="O3" s="2655"/>
      <c r="P3" s="2655"/>
    </row>
    <row r="4" spans="1:16" ht="15">
      <c r="A4" s="3612"/>
      <c r="B4" s="3613"/>
      <c r="C4" s="3614"/>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15" t="s">
        <v>1110</v>
      </c>
      <c r="C5" s="3615"/>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15" t="s">
        <v>1111</v>
      </c>
      <c r="C6" s="3615"/>
      <c r="D6" s="45">
        <f>ROUND($D$3*E6/$E$3,2)</f>
        <v>0</v>
      </c>
      <c r="E6" s="46">
        <f>E3-E5</f>
        <v>3313.6</v>
      </c>
      <c r="F6" s="2655"/>
      <c r="G6" s="2649" t="s">
        <v>1112</v>
      </c>
      <c r="H6" s="1144" t="s">
        <v>1113</v>
      </c>
      <c r="I6" s="2650" t="e">
        <f>ROUND(F31/D31,2)</f>
        <v>#DIV/0!</v>
      </c>
      <c r="J6" s="2655"/>
      <c r="K6" s="2655"/>
      <c r="L6" s="2655"/>
      <c r="M6" s="2655"/>
      <c r="N6" s="2655"/>
      <c r="O6" s="2655"/>
      <c r="P6" s="2655"/>
    </row>
    <row r="7" spans="1:16" ht="15.75" thickBot="1">
      <c r="A7" s="3607"/>
      <c r="B7" s="3608"/>
      <c r="C7" s="3609"/>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2678.5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2678.5</v>
      </c>
      <c r="F16" s="2655"/>
      <c r="G16" s="2656"/>
      <c r="H16" s="1646" t="s">
        <v>1135</v>
      </c>
      <c r="I16" s="1647"/>
      <c r="J16" s="1137"/>
      <c r="K16" s="3604" t="s">
        <v>1135</v>
      </c>
      <c r="L16" s="3605"/>
      <c r="M16" s="3605"/>
      <c r="N16" s="3605"/>
      <c r="O16" s="3605"/>
      <c r="P16" s="3606"/>
    </row>
    <row r="17" spans="1:19" ht="15">
      <c r="A17" s="1648" t="s">
        <v>1136</v>
      </c>
      <c r="B17" s="1649" t="s">
        <v>1137</v>
      </c>
      <c r="C17" s="1650" t="s">
        <v>1138</v>
      </c>
      <c r="D17" s="1651" t="s">
        <v>1126</v>
      </c>
      <c r="E17" s="1652" t="s">
        <v>1127</v>
      </c>
      <c r="F17" s="1653"/>
      <c r="G17" s="1654"/>
      <c r="H17" s="1655" t="s">
        <v>1139</v>
      </c>
      <c r="I17" s="1656" t="s">
        <v>1124</v>
      </c>
      <c r="J17" s="1137"/>
      <c r="K17" s="3601" t="s">
        <v>1140</v>
      </c>
      <c r="L17" s="3602"/>
      <c r="M17" s="3603"/>
      <c r="N17" s="3601" t="s">
        <v>1141</v>
      </c>
      <c r="O17" s="3602"/>
      <c r="P17" s="360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3546</v>
      </c>
      <c r="D19" s="45">
        <f>ROUND($D$3*E19/$E$3,2)</f>
        <v>0</v>
      </c>
      <c r="E19" s="53">
        <f t="shared" ref="E19:E26" si="1">SUM(F19:G19)</f>
        <v>2678.5</v>
      </c>
      <c r="F19" s="2789">
        <f>'数据-基础表'!I13</f>
        <v>2678.5</v>
      </c>
      <c r="G19" s="2790">
        <f>'数据-基础表'!K13</f>
        <v>0</v>
      </c>
      <c r="H19" s="668">
        <f>ROUND($D$3*I19/$E$3,2)</f>
        <v>0</v>
      </c>
      <c r="I19" s="48">
        <f t="shared" ref="I19:I26" si="2">IF($I$17="自定义",P19,M19)</f>
        <v>635.1</v>
      </c>
      <c r="J19" s="1137"/>
      <c r="K19" s="1136">
        <f t="shared" ref="K19:K26" si="3">ROUND(E$28*E19/E$27,2)</f>
        <v>635.1</v>
      </c>
      <c r="L19" s="1024">
        <f t="shared" ref="L19:L26" si="4">ROUND(IF(COUNTIF(C19,"*住宅*")&gt;0,E$29*E19/E$32,0),2)</f>
        <v>0</v>
      </c>
      <c r="M19" s="1148">
        <f>K19+L19</f>
        <v>635.1</v>
      </c>
      <c r="N19" s="1666"/>
      <c r="O19" s="1667"/>
      <c r="P19" s="1148">
        <f>N19+O19</f>
        <v>0</v>
      </c>
      <c r="R19" s="1024">
        <f t="shared" ref="R19:S26" si="5">D19+H19</f>
        <v>0</v>
      </c>
      <c r="S19" s="1025">
        <f t="shared" si="5"/>
        <v>3313.6</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2678.5</v>
      </c>
      <c r="F27" s="1138">
        <f>IF(SUM(F19:F26)=E8,SUM(F19:F26),"地上面积有误")</f>
        <v>2678.5</v>
      </c>
      <c r="G27" s="1140">
        <f>SUM(G19:G26)</f>
        <v>0</v>
      </c>
      <c r="H27" s="1141">
        <f>SUM(H19:H26)</f>
        <v>0</v>
      </c>
      <c r="I27" s="1142">
        <f>SUM(I19:I26)</f>
        <v>635.1</v>
      </c>
      <c r="J27" s="1137"/>
      <c r="K27" s="1145">
        <f>SUM(K19:K26)</f>
        <v>635.1</v>
      </c>
      <c r="L27" s="1146">
        <f>SUM(L19:L26)</f>
        <v>0</v>
      </c>
      <c r="M27" s="1149">
        <f>SUM(M19:M26)</f>
        <v>635.1</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3313.6</v>
      </c>
    </row>
    <row r="28" spans="1:19">
      <c r="A28" s="1668"/>
      <c r="B28" s="47" t="s">
        <v>1155</v>
      </c>
      <c r="C28" s="1036" t="s">
        <v>1156</v>
      </c>
      <c r="D28" s="45">
        <f>ROUND($D$3*E28/$E$3,2)</f>
        <v>0</v>
      </c>
      <c r="E28" s="53">
        <f>SUM(F28:G28)</f>
        <v>635.1</v>
      </c>
      <c r="F28" s="56">
        <f>'数据-基础表'!BQ5+'数据-基础表'!BS5</f>
        <v>0</v>
      </c>
      <c r="G28" s="57">
        <f>'数据-基础表'!BR5+'数据-基础表'!BT5</f>
        <v>635.1</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635.1</v>
      </c>
      <c r="F30" s="1138">
        <f>SUM(F28:F29)</f>
        <v>0</v>
      </c>
      <c r="G30" s="1140">
        <f>SUM(G28:G29)</f>
        <v>635.1</v>
      </c>
      <c r="H30" s="2655"/>
      <c r="I30" s="2655"/>
      <c r="J30" s="2655"/>
      <c r="K30" s="2655"/>
      <c r="L30" s="2655"/>
      <c r="M30" s="2655"/>
      <c r="N30" s="2655"/>
      <c r="O30" s="2655"/>
      <c r="P30" s="2655"/>
    </row>
    <row r="31" spans="1:19" ht="15.75" thickBot="1">
      <c r="A31" s="1674"/>
      <c r="B31" s="1675"/>
      <c r="C31" s="833" t="s">
        <v>1158</v>
      </c>
      <c r="D31" s="674">
        <f>D27+D30</f>
        <v>0</v>
      </c>
      <c r="E31" s="674">
        <f>E27+E30</f>
        <v>3313.6</v>
      </c>
      <c r="F31" s="675">
        <f>F27+F30</f>
        <v>2678.5</v>
      </c>
      <c r="G31" s="676">
        <f>G27+G30</f>
        <v>635.1</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45896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3</v>
      </c>
      <c r="D6" s="856">
        <f>SUMIF(项目基本情况!C$12:I$12,C6,项目基本情况!C$14:I$14)</f>
        <v>50</v>
      </c>
      <c r="E6" s="855">
        <f>IF(B6="","",SUMIF(项目基本情况!C$12:I$12,C6,项目基本情况!C$13:I$13))</f>
        <v>52344</v>
      </c>
      <c r="F6" s="64">
        <f>SUMIF(项目基本情况!C$12:I$12,C6,项目基本情况!C$15:I$15)</f>
        <v>17.66</v>
      </c>
      <c r="G6" s="65">
        <f>IF(ISERROR(ROUND(POWER(1+H6,D6-F6)*(POWER(1+H6,F6)-1)/(POWER(1+H6,D6)-1),3)),0,ROUND(POWER(1+H6,D6-F6)*(POWER(1+H6,F6)-1)/(POWER(1+H6,D6)-1),3))</f>
        <v>0.63300000000000001</v>
      </c>
      <c r="H6" s="730">
        <v>0.05</v>
      </c>
      <c r="I6" s="730">
        <v>5.5E-2</v>
      </c>
      <c r="J6" s="66">
        <v>7.0000000000000007E-2</v>
      </c>
      <c r="K6" s="1028">
        <f>SUMIF('数据-汇总表'!C$19:C$33,A6,'数据-汇总表'!E$19:E$33)</f>
        <v>2678.5</v>
      </c>
      <c r="L6" s="3483">
        <v>3500</v>
      </c>
      <c r="M6" s="67">
        <f t="shared" ref="M6:M14" si="0">ROUND(K6*L6/10000,0)</f>
        <v>937</v>
      </c>
      <c r="N6" s="3487">
        <f>N21</f>
        <v>0.7</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635.1</v>
      </c>
      <c r="T6" s="1170">
        <f>ROUND($L$14*S6/10000,0)</f>
        <v>0</v>
      </c>
      <c r="U6" s="3488">
        <v>4</v>
      </c>
      <c r="V6" s="70">
        <v>0.02</v>
      </c>
      <c r="W6" s="70">
        <v>0.15</v>
      </c>
      <c r="X6" s="1038"/>
      <c r="Y6" s="71">
        <f>N6</f>
        <v>0.7</v>
      </c>
      <c r="Z6" s="72"/>
      <c r="AA6" s="66"/>
      <c r="AB6" s="66"/>
      <c r="AC6" s="1038"/>
      <c r="AD6" s="73"/>
      <c r="AE6" s="1039">
        <f ca="1">IF(AN6="",0,SUMIF(INDIRECT("'"&amp;AN6&amp;"'"&amp;"!E:E"),$AE$5,INDIRECT("'"&amp;AN6&amp;"'"&amp;"!F:F")))</f>
        <v>17.66</v>
      </c>
      <c r="AF6" s="1346"/>
      <c r="AG6" s="137">
        <f>IF(AF6="",0,AE6-AF6)</f>
        <v>0</v>
      </c>
      <c r="AH6" s="74"/>
      <c r="AI6" s="76">
        <v>365</v>
      </c>
      <c r="AJ6" s="77"/>
      <c r="AK6" s="3473">
        <v>3.0000000000000001E-3</v>
      </c>
      <c r="AL6" s="3474">
        <v>1E-3</v>
      </c>
      <c r="AM6" s="80">
        <v>5.0000000000000001E-3</v>
      </c>
      <c r="AN6" s="1713" t="s">
        <v>3416</v>
      </c>
      <c r="AO6" s="52">
        <f ca="1">SUMIF(INDIRECT("'"&amp;AN6&amp;"'"&amp;"!A:A"),"总价",INDIRECT("'"&amp;AN6&amp;"'"&amp;"!B:B"))</f>
        <v>3620.7437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635.1</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0.63300000000000001</v>
      </c>
      <c r="H16" s="90">
        <f>ROUND(SUMPRODUCT(H6:H13,K6:K13)/SUMPRODUCT((H6:H13&gt;0)*(K6:K13)),3)</f>
        <v>0.05</v>
      </c>
      <c r="I16" s="91"/>
      <c r="J16" s="91"/>
      <c r="K16" s="92">
        <f>SUM(K6:K15)</f>
        <v>3313.6</v>
      </c>
      <c r="L16" s="93">
        <f>ROUND(M16*10000/SUM(K6:K14),0)</f>
        <v>2828</v>
      </c>
      <c r="M16" s="93">
        <f>SUM(M6:M14)</f>
        <v>937</v>
      </c>
      <c r="N16" s="94">
        <f>ROUND(SUMPRODUCT(M6:M14,N6:N14)/M16,3)</f>
        <v>0.7</v>
      </c>
      <c r="O16" s="93">
        <f>SUM(O6:O14)</f>
        <v>0</v>
      </c>
      <c r="P16" s="93">
        <f>SUM(P6:P14)</f>
        <v>0</v>
      </c>
      <c r="Q16" s="95">
        <f>ROUND(SUMPRODUCT(Q6:Q13,K6:K13)/SUMPRODUCT((Q6:Q13&gt;0)*(K6:K13)),2)</f>
        <v>0.15</v>
      </c>
      <c r="R16" s="1032">
        <f ca="1">SUM(R6:R13)</f>
        <v>0</v>
      </c>
      <c r="S16" s="96">
        <f>SUM(S6:S13)</f>
        <v>635.1</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0.15</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1994</v>
      </c>
      <c r="O18" s="2666"/>
      <c r="P18" s="2666"/>
      <c r="Q18" s="2666"/>
      <c r="R18" s="2666"/>
      <c r="S18" s="2666"/>
      <c r="T18" s="2666">
        <f>'数据-基础表'!K13</f>
        <v>0</v>
      </c>
      <c r="U18" s="3455">
        <v>10</v>
      </c>
      <c r="V18" s="2666">
        <v>1</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2302</v>
      </c>
      <c r="D19" s="2671"/>
      <c r="E19" s="2668"/>
      <c r="F19" s="2668"/>
      <c r="G19" s="2668"/>
      <c r="H19" s="2668"/>
      <c r="I19" s="2668"/>
      <c r="J19" s="2668"/>
      <c r="K19" s="2667"/>
      <c r="L19" s="2667"/>
      <c r="M19" s="3455" t="s">
        <v>3435</v>
      </c>
      <c r="N19" s="2666">
        <f>ROUND(1-(1-0%)*(2024-N18)/60,2)</f>
        <v>0.5</v>
      </c>
      <c r="O19" s="2666"/>
      <c r="P19" s="2666"/>
      <c r="Q19" s="2666"/>
      <c r="R19" s="2666"/>
      <c r="S19" s="2666"/>
      <c r="T19" s="3444">
        <f>'数据-基础表'!K13</f>
        <v>0</v>
      </c>
      <c r="U19" s="3444">
        <f>U18*V19</f>
        <v>5</v>
      </c>
      <c r="V19" s="3444">
        <v>0.5</v>
      </c>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1</v>
      </c>
      <c r="C20" s="2794" t="s">
        <v>2300</v>
      </c>
      <c r="D20" s="2671"/>
      <c r="E20" s="2668"/>
      <c r="F20" s="2668"/>
      <c r="G20" s="2668"/>
      <c r="H20" s="2668"/>
      <c r="I20" s="2668"/>
      <c r="J20" s="2668"/>
      <c r="K20" s="2667"/>
      <c r="L20" s="2667"/>
      <c r="M20" s="3455" t="s">
        <v>3436</v>
      </c>
      <c r="N20" s="2666">
        <v>0.9</v>
      </c>
      <c r="O20" s="2666"/>
      <c r="P20" s="2666"/>
      <c r="Q20" s="2666"/>
      <c r="R20" s="2666"/>
      <c r="S20" s="2666"/>
      <c r="T20" s="3444">
        <f>T18+T19</f>
        <v>0</v>
      </c>
      <c r="U20" s="3444" t="e">
        <f>(U18*T18+U19*T19)/T20</f>
        <v>#DIV/0!</v>
      </c>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1</v>
      </c>
      <c r="C21" s="2668"/>
      <c r="D21" s="2671"/>
      <c r="E21" s="2668"/>
      <c r="F21" s="2668"/>
      <c r="G21" s="2668"/>
      <c r="H21" s="2668"/>
      <c r="I21" s="2668"/>
      <c r="J21" s="2668"/>
      <c r="K21" s="2667"/>
      <c r="L21" s="2667"/>
      <c r="M21" s="3455" t="s">
        <v>3437</v>
      </c>
      <c r="N21" s="2666">
        <f>ROUND((N19+N20)/2,2)</f>
        <v>0.7</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1</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1</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3390</v>
      </c>
      <c r="M24" s="3445" t="s">
        <v>3391</v>
      </c>
      <c r="N24" s="3445" t="s">
        <v>3392</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3393</v>
      </c>
      <c r="L25" s="3447"/>
      <c r="M25" s="3448">
        <f>M26+M29+M30</f>
        <v>3199.5868541767263</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3394</v>
      </c>
      <c r="L26" s="3450">
        <f>K16</f>
        <v>3313.6</v>
      </c>
      <c r="M26" s="3451">
        <f>N26/L26</f>
        <v>1414.5868541767263</v>
      </c>
      <c r="N26" s="3452">
        <f>N27+N28</f>
        <v>4687375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2304</v>
      </c>
      <c r="D27" s="2674"/>
      <c r="E27" s="2657"/>
      <c r="F27" s="2657"/>
      <c r="G27" s="2668"/>
      <c r="H27" s="2668"/>
      <c r="I27" s="2668"/>
      <c r="J27" s="2668"/>
      <c r="K27" s="3453" t="s">
        <v>3395</v>
      </c>
      <c r="L27" s="3506">
        <f>K6</f>
        <v>2678.5</v>
      </c>
      <c r="M27" s="3507">
        <v>1750</v>
      </c>
      <c r="N27" s="3452">
        <f>M27*L27</f>
        <v>4687375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2637</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662720</v>
      </c>
      <c r="C29" s="2796" t="s">
        <v>2291</v>
      </c>
      <c r="D29" s="2674"/>
      <c r="E29" s="2657"/>
      <c r="F29" s="2657"/>
      <c r="G29" s="2668"/>
      <c r="H29" s="2668"/>
      <c r="I29" s="2668"/>
      <c r="J29" s="2668"/>
      <c r="K29" s="3449" t="s">
        <v>3396</v>
      </c>
      <c r="L29" s="3450">
        <f>L26</f>
        <v>3313.6</v>
      </c>
      <c r="M29" s="3452">
        <v>700</v>
      </c>
      <c r="N29" s="3452">
        <f t="shared" si="12"/>
        <v>2319520</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3397</v>
      </c>
      <c r="L30" s="3450">
        <f>L26</f>
        <v>3313.6</v>
      </c>
      <c r="M30" s="3452">
        <v>1085</v>
      </c>
      <c r="N30" s="3452">
        <f t="shared" si="12"/>
        <v>3595256</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3398</v>
      </c>
      <c r="L31" s="3452">
        <v>0</v>
      </c>
      <c r="M31" s="3451">
        <f>M25</f>
        <v>3199.5868541767263</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3399</v>
      </c>
      <c r="L32" s="3454">
        <f>L26</f>
        <v>3313.6</v>
      </c>
      <c r="M32" s="3448">
        <f>N32/L32</f>
        <v>3199.5868541767263</v>
      </c>
      <c r="N32" s="3448">
        <f>N26+N29+N30+N31</f>
        <v>10602151</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7"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2294</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3489" t="s">
        <v>3560</v>
      </c>
      <c r="B40" s="1076">
        <f ca="1">IF(A40="利息：取LPR",存贷款利率!G1,存贷款利率!G1+C40)</f>
        <v>3.0000000000000002E-2</v>
      </c>
      <c r="C40" s="2808">
        <v>-4.4999999999999997E-3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6" t="s">
        <v>2283</v>
      </c>
      <c r="B1" s="3617"/>
      <c r="C1" s="3617"/>
      <c r="D1" s="3617"/>
      <c r="E1" s="3617"/>
      <c r="F1" s="3617"/>
      <c r="G1" s="361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3313.6</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45896</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5132</v>
      </c>
      <c r="C5" s="2509">
        <f ca="1">IF(B5=D14,结果表!H102,ROUND(B5*10000/$B$1,0))</f>
        <v>15488</v>
      </c>
      <c r="D5" s="2509" t="e">
        <f ca="1">ROUND(B5*10000/$B$2,0)</f>
        <v>#DIV/0!</v>
      </c>
      <c r="E5" s="2681"/>
      <c r="F5" s="2682"/>
      <c r="G5" s="2682"/>
      <c r="H5" s="2683"/>
      <c r="I5" s="2683"/>
      <c r="J5" s="2683"/>
      <c r="K5" s="2683"/>
    </row>
    <row r="6" spans="1:11" ht="16.5">
      <c r="A6" s="2509" t="s">
        <v>656</v>
      </c>
      <c r="B6" s="2509">
        <f ca="1">SUM(G14:G23)</f>
        <v>5132</v>
      </c>
      <c r="C6" s="2509">
        <f ca="1">IF(B6=G14,结果表!H108,ROUND(B6*10000/$B$1,0))</f>
        <v>15488</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3353</v>
      </c>
      <c r="D10" s="2509" t="s">
        <v>3354</v>
      </c>
      <c r="E10" s="3434"/>
      <c r="F10" s="3438" t="s">
        <v>3355</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3313.6</v>
      </c>
      <c r="C14" s="2515">
        <f>'数据-汇总表'!D3</f>
        <v>0</v>
      </c>
      <c r="D14" s="2515">
        <f ca="1">结果表!G19</f>
        <v>5132</v>
      </c>
      <c r="E14" s="2515">
        <f ca="1">结果表!G20</f>
        <v>19160</v>
      </c>
      <c r="F14" s="2515" t="e">
        <f ca="1">ROUND(D14*10000/C14,0)</f>
        <v>#DIV/0!</v>
      </c>
      <c r="G14" s="2515">
        <f ca="1">结果表!H107</f>
        <v>5132</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R95" sqref="R9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3528"/>
      <c r="D1" s="1745"/>
      <c r="E1" s="1745"/>
      <c r="F1" s="1747" t="s">
        <v>1263</v>
      </c>
      <c r="G1" s="1559"/>
      <c r="H1" s="1748" t="str">
        <f>IF(G1="现房","——","估价对象范围")</f>
        <v>估价对象范围</v>
      </c>
      <c r="I1" s="1749"/>
    </row>
    <row r="2" spans="1:12" ht="21.75" customHeight="1" thickBot="1">
      <c r="A2" s="3685" t="str">
        <f>项目基本情况!S2</f>
        <v>北京市房地产</v>
      </c>
      <c r="B2" s="3686"/>
      <c r="C2" s="3686"/>
      <c r="D2" s="3686"/>
      <c r="E2" s="3686"/>
      <c r="F2" s="3686"/>
      <c r="G2" s="3686"/>
      <c r="H2" s="3686"/>
      <c r="I2" s="3687"/>
    </row>
    <row r="3" spans="1:12" ht="12.75">
      <c r="A3" s="3690" t="s">
        <v>1264</v>
      </c>
      <c r="B3" s="3691"/>
      <c r="C3" s="3691"/>
      <c r="D3" s="3691"/>
      <c r="E3" s="3691"/>
      <c r="F3" s="3691"/>
      <c r="G3" s="3691"/>
      <c r="H3" s="3691"/>
      <c r="I3" s="3691"/>
    </row>
    <row r="4" spans="1:12" ht="14.25">
      <c r="A4" s="1752" t="s">
        <v>1265</v>
      </c>
      <c r="B4" s="1753" t="s">
        <v>1266</v>
      </c>
      <c r="C4" s="1754" t="s">
        <v>3548</v>
      </c>
      <c r="D4" s="1754" t="s">
        <v>3416</v>
      </c>
      <c r="E4" s="3695" t="s">
        <v>1267</v>
      </c>
      <c r="F4" s="3696"/>
      <c r="G4" s="3696"/>
      <c r="H4" s="3696"/>
      <c r="I4" s="369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1268</v>
      </c>
      <c r="B5" s="3688">
        <v>25</v>
      </c>
      <c r="C5" s="3692"/>
      <c r="D5" s="3689"/>
      <c r="E5" s="130" t="s">
        <v>1269</v>
      </c>
      <c r="F5" s="1755"/>
      <c r="G5" s="1755"/>
      <c r="H5" s="1755"/>
      <c r="I5" s="1371"/>
    </row>
    <row r="6" spans="1:12" ht="12.75">
      <c r="A6" s="3633"/>
      <c r="B6" s="3688"/>
      <c r="C6" s="3694"/>
      <c r="D6" s="3689"/>
      <c r="E6" s="130" t="s">
        <v>1270</v>
      </c>
      <c r="F6" s="1755"/>
      <c r="G6" s="1755"/>
      <c r="H6" s="1755"/>
      <c r="I6" s="1371"/>
    </row>
    <row r="7" spans="1:12" ht="12.75">
      <c r="A7" s="3633"/>
      <c r="B7" s="3688"/>
      <c r="C7" s="3693"/>
      <c r="D7" s="3689"/>
      <c r="E7" s="130" t="s">
        <v>1271</v>
      </c>
      <c r="F7" s="1755"/>
      <c r="G7" s="1755"/>
      <c r="H7" s="1755"/>
      <c r="I7" s="1371"/>
    </row>
    <row r="8" spans="1:12" ht="12.75">
      <c r="A8" s="3633" t="s">
        <v>1272</v>
      </c>
      <c r="B8" s="3688">
        <v>15</v>
      </c>
      <c r="C8" s="3692"/>
      <c r="D8" s="3689"/>
      <c r="E8" s="130" t="s">
        <v>1273</v>
      </c>
      <c r="F8" s="1755"/>
      <c r="G8" s="1755"/>
      <c r="H8" s="1755"/>
      <c r="I8" s="1371"/>
    </row>
    <row r="9" spans="1:12" ht="12.75">
      <c r="A9" s="3633"/>
      <c r="B9" s="3688"/>
      <c r="C9" s="3693"/>
      <c r="D9" s="3689"/>
      <c r="E9" s="130" t="s">
        <v>1274</v>
      </c>
      <c r="F9" s="1755"/>
      <c r="G9" s="1755"/>
      <c r="H9" s="1755"/>
      <c r="I9" s="1371"/>
    </row>
    <row r="10" spans="1:12" ht="12.75">
      <c r="A10" s="3633" t="s">
        <v>1275</v>
      </c>
      <c r="B10" s="3688">
        <v>15</v>
      </c>
      <c r="C10" s="3692"/>
      <c r="D10" s="3689"/>
      <c r="E10" s="130" t="s">
        <v>1276</v>
      </c>
      <c r="F10" s="1755"/>
      <c r="G10" s="1755"/>
      <c r="H10" s="1755"/>
      <c r="I10" s="1371"/>
    </row>
    <row r="11" spans="1:12" ht="12.75">
      <c r="A11" s="3633"/>
      <c r="B11" s="3688"/>
      <c r="C11" s="3693"/>
      <c r="D11" s="3689"/>
      <c r="E11" s="130" t="s">
        <v>1277</v>
      </c>
      <c r="F11" s="1755"/>
      <c r="G11" s="1755"/>
      <c r="H11" s="1755"/>
      <c r="I11" s="1371"/>
    </row>
    <row r="12" spans="1:12" ht="12.75">
      <c r="A12" s="3633" t="s">
        <v>1278</v>
      </c>
      <c r="B12" s="3688">
        <v>15</v>
      </c>
      <c r="C12" s="3692"/>
      <c r="D12" s="3689"/>
      <c r="E12" s="130" t="s">
        <v>1279</v>
      </c>
      <c r="F12" s="1755"/>
      <c r="G12" s="1755"/>
      <c r="H12" s="1755"/>
      <c r="I12" s="1371"/>
    </row>
    <row r="13" spans="1:12" ht="12.75">
      <c r="A13" s="3633"/>
      <c r="B13" s="3688"/>
      <c r="C13" s="3693"/>
      <c r="D13" s="3689"/>
      <c r="E13" s="130" t="s">
        <v>1280</v>
      </c>
      <c r="F13" s="1755"/>
      <c r="G13" s="1755"/>
      <c r="H13" s="1755"/>
      <c r="I13" s="1371"/>
    </row>
    <row r="14" spans="1:12" ht="12.75">
      <c r="A14" s="3633" t="s">
        <v>1281</v>
      </c>
      <c r="B14" s="3688">
        <v>30</v>
      </c>
      <c r="C14" s="3708">
        <v>6</v>
      </c>
      <c r="D14" s="3679">
        <v>4</v>
      </c>
      <c r="E14" s="130" t="s">
        <v>1282</v>
      </c>
      <c r="F14" s="1755"/>
      <c r="G14" s="1755"/>
      <c r="H14" s="1755"/>
      <c r="I14" s="1371"/>
    </row>
    <row r="15" spans="1:12" ht="12.75">
      <c r="A15" s="3633"/>
      <c r="B15" s="3688"/>
      <c r="C15" s="3709"/>
      <c r="D15" s="3679"/>
      <c r="E15" s="130" t="s">
        <v>1283</v>
      </c>
      <c r="F15" s="1755"/>
      <c r="G15" s="1755"/>
      <c r="H15" s="1755"/>
      <c r="I15" s="1371"/>
    </row>
    <row r="16" spans="1:12" ht="12.75">
      <c r="A16" s="3633"/>
      <c r="B16" s="3688"/>
      <c r="C16" s="3710"/>
      <c r="D16" s="3679"/>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714" t="s">
        <v>2128</v>
      </c>
      <c r="F18" s="3715"/>
      <c r="G18" s="3715"/>
      <c r="H18" s="3715"/>
      <c r="I18" s="3715"/>
      <c r="J18" s="3494"/>
      <c r="K18" s="301" t="s">
        <v>1289</v>
      </c>
      <c r="L18" s="301">
        <f>IF(C1="",'数据-汇总表'!E3,SUMIF(项目类型,C1,'数据-汇总表'!E17:E26)+SUMIF(项目类型,C1,'数据-汇总表'!I17:I26))</f>
        <v>3313.6</v>
      </c>
      <c r="M18" s="301">
        <f>IF(C1="",'数据-汇总表'!E3,SUMIF(项目类型,C1,'数据-汇总表'!E17:E26))</f>
        <v>3313.6</v>
      </c>
    </row>
    <row r="19" spans="1:36" ht="15">
      <c r="A19" s="1759" t="s">
        <v>1290</v>
      </c>
      <c r="B19" s="1760" t="s">
        <v>1291</v>
      </c>
      <c r="C19" s="133">
        <f ca="1">SUMIF(INDIRECT("'"&amp;C4&amp;"'"&amp;"!A:A"),结果表!B19,INDIRECT("'"&amp;C4&amp;"'"&amp;"!B:B"))</f>
        <v>6139.3899000000001</v>
      </c>
      <c r="D19" s="134">
        <f ca="1">SUMIF(INDIRECT("'"&amp;D4&amp;"'"&amp;"!A:A"),结果表!B19,INDIRECT("'"&amp;D4&amp;"'"&amp;"!B:B"))</f>
        <v>3620.7437</v>
      </c>
      <c r="E19" s="1759" t="s">
        <v>1292</v>
      </c>
      <c r="F19" s="1760" t="s">
        <v>1291</v>
      </c>
      <c r="G19" s="135">
        <f ca="1">ROUND(C19*$C$18+D19*$D$18,0)</f>
        <v>5132</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22921</v>
      </c>
      <c r="D20" s="137">
        <f ca="1">SUMIF(INDIRECT("'"&amp;D4&amp;"'"&amp;"!A:A"),结果表!B20,INDIRECT("'"&amp;D4&amp;"'"&amp;"!B:B"))</f>
        <v>13518</v>
      </c>
      <c r="E20" s="1762"/>
      <c r="F20" s="1024" t="s">
        <v>1295</v>
      </c>
      <c r="G20" s="138">
        <f ca="1">ROUND(C20*$C$18+D20*$D$18,0)</f>
        <v>19160</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0.69561571010950041</v>
      </c>
      <c r="E22" s="128"/>
      <c r="F22" s="128"/>
      <c r="G22" s="128"/>
      <c r="H22" s="128"/>
      <c r="I22" s="128"/>
    </row>
    <row r="23" spans="1:36" ht="13.5" thickBot="1">
      <c r="A23" s="1745"/>
      <c r="B23" s="1745"/>
      <c r="C23" s="1745"/>
      <c r="D23" s="1745"/>
      <c r="E23" s="128"/>
      <c r="F23" s="1746"/>
      <c r="G23" s="1746"/>
      <c r="H23" s="1746"/>
      <c r="I23" s="128"/>
      <c r="J23" s="3504"/>
    </row>
    <row r="24" spans="1:36" ht="14.25">
      <c r="A24" s="3704" t="s">
        <v>1299</v>
      </c>
      <c r="B24" s="1760" t="s">
        <v>1291</v>
      </c>
      <c r="C24" s="135">
        <f>IF(B30=0,0,D30)</f>
        <v>0</v>
      </c>
      <c r="D24" s="1767"/>
      <c r="E24" s="128"/>
      <c r="F24" s="1746"/>
      <c r="G24" s="1746"/>
      <c r="H24" s="1746"/>
      <c r="I24" s="128"/>
    </row>
    <row r="25" spans="1:36" ht="14.25">
      <c r="A25" s="3705"/>
      <c r="B25" s="1024" t="s">
        <v>1295</v>
      </c>
      <c r="C25" s="140">
        <f>IF(B30=0,0,C30)</f>
        <v>0</v>
      </c>
      <c r="D25" s="1768"/>
      <c r="E25" s="128"/>
      <c r="F25" s="1746"/>
      <c r="G25" s="1746"/>
      <c r="H25" s="1746"/>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5132</v>
      </c>
      <c r="D32" s="1773" t="s">
        <v>3558</v>
      </c>
      <c r="E32" s="128"/>
      <c r="F32" s="128"/>
      <c r="G32" s="128"/>
      <c r="H32" s="128"/>
      <c r="I32" s="128"/>
    </row>
    <row r="33" spans="1:15" ht="15">
      <c r="A33" s="784" t="s">
        <v>1306</v>
      </c>
      <c r="B33" s="1774"/>
      <c r="C33" s="1775" t="s">
        <v>3515</v>
      </c>
      <c r="D33" s="1776" t="s">
        <v>3416</v>
      </c>
      <c r="E33" s="1777" t="s">
        <v>1307</v>
      </c>
      <c r="F33" s="1778" t="str">
        <f>IF(D32="楼面单价","取值（单价）","取值（总价）")</f>
        <v>取值（总价）</v>
      </c>
      <c r="G33" s="128"/>
      <c r="H33" s="128"/>
      <c r="I33" s="128"/>
    </row>
    <row r="34" spans="1:15" ht="15">
      <c r="A34" s="1779"/>
      <c r="B34" s="1780" t="s">
        <v>1308</v>
      </c>
      <c r="C34" s="147">
        <f ca="1">IF(C33="自定义",F34,C32-C35)</f>
        <v>3854</v>
      </c>
      <c r="D34" s="859">
        <f ca="1">IF(C33="自定义",ROUND(C34/C32,3),IF(C33="收益比率",SUMIF(INDIRECT("'"&amp;D33&amp;"'"&amp;"!b:b"),"土地收益比率",INDIRECT("'"&amp;D33&amp;"'"&amp;"!c:c")),SUMIF(INDIRECT("'"&amp;D33&amp;"'"&amp;"!b:b"),"土地成本比率",INDIRECT("'"&amp;D33&amp;"'"&amp;"!c:c"))))</f>
        <v>0.751</v>
      </c>
      <c r="E34" s="1781" t="s">
        <v>1309</v>
      </c>
      <c r="F34" s="1328"/>
      <c r="G34" s="128"/>
      <c r="H34" s="128"/>
      <c r="I34" s="128"/>
    </row>
    <row r="35" spans="1:15" ht="15.75" thickBot="1">
      <c r="A35" s="1782"/>
      <c r="B35" s="1783" t="s">
        <v>1310</v>
      </c>
      <c r="C35" s="1168">
        <f ca="1">IF(C33="自定义",F35,ROUND(C32*D35,0))</f>
        <v>1278</v>
      </c>
      <c r="D35" s="1169">
        <f ca="1">IF(C33="自定义",ROUND(C35/C32,3),IF(C33="收益比率",SUMIF(INDIRECT("'"&amp;D33&amp;"'"&amp;"!b:b"),"建筑物收益比率",INDIRECT("'"&amp;D33&amp;"'"&amp;"!c:c")),SUMIF(INDIRECT("'"&amp;D33&amp;"'"&amp;"!b:b"),"建筑物成本比率",INDIRECT("'"&amp;D33&amp;"'"&amp;"!c:c"))))</f>
        <v>0.249</v>
      </c>
      <c r="E35" s="1784" t="s">
        <v>1311</v>
      </c>
      <c r="F35" s="153"/>
      <c r="G35" s="128"/>
      <c r="H35" s="128"/>
      <c r="I35" s="128"/>
    </row>
    <row r="36" spans="1:15" ht="15.75" thickBot="1">
      <c r="A36" s="3680" t="s">
        <v>1312</v>
      </c>
      <c r="B36" s="1785" t="s">
        <v>1313</v>
      </c>
      <c r="C36" s="144"/>
      <c r="D36" s="1786"/>
      <c r="E36" s="1787"/>
      <c r="F36" s="1788"/>
      <c r="G36" s="128"/>
      <c r="H36" s="128"/>
      <c r="I36" s="128"/>
    </row>
    <row r="37" spans="1:15" ht="15.75" thickBot="1">
      <c r="A37" s="3681"/>
      <c r="B37" s="1672" t="s">
        <v>1314</v>
      </c>
      <c r="C37" s="146"/>
      <c r="D37" s="1137"/>
      <c r="E37" s="1137"/>
      <c r="F37" s="1788"/>
      <c r="G37" s="128"/>
      <c r="H37" s="128"/>
      <c r="I37" s="128"/>
    </row>
    <row r="38" spans="1:15" ht="15.75" thickBot="1">
      <c r="A38" s="3682"/>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1" t="s">
        <v>1326</v>
      </c>
      <c r="B45" s="3702"/>
      <c r="C45" s="3703"/>
      <c r="D45" s="154">
        <f ca="1">ROUND(H101*F45,0)</f>
        <v>5132</v>
      </c>
      <c r="E45" s="155" t="s">
        <v>1327</v>
      </c>
      <c r="F45" s="156">
        <v>1</v>
      </c>
      <c r="G45" s="157" t="s">
        <v>1328</v>
      </c>
      <c r="H45" s="128"/>
      <c r="I45" s="128"/>
      <c r="J45" s="3620" t="s">
        <v>1329</v>
      </c>
      <c r="K45" s="3620"/>
      <c r="L45" s="3620"/>
      <c r="M45" s="3620"/>
      <c r="N45" s="3620"/>
      <c r="O45" s="3620"/>
    </row>
    <row r="46" spans="1:15" ht="14.25" customHeight="1">
      <c r="A46" s="3698" t="s">
        <v>1330</v>
      </c>
      <c r="B46" s="3699"/>
      <c r="C46" s="3699"/>
      <c r="D46" s="3699"/>
      <c r="E46" s="3699"/>
      <c r="F46" s="3699"/>
      <c r="G46" s="3700"/>
      <c r="H46" s="1804"/>
      <c r="I46" s="158"/>
      <c r="J46" s="2520">
        <v>1</v>
      </c>
      <c r="K46" s="3621" t="s">
        <v>1331</v>
      </c>
      <c r="L46" s="3621"/>
      <c r="M46" s="3622"/>
      <c r="N46" s="3622"/>
      <c r="O46" s="3622"/>
    </row>
    <row r="47" spans="1:15" ht="12" customHeight="1">
      <c r="A47" s="159" t="s">
        <v>1332</v>
      </c>
      <c r="B47" s="160"/>
      <c r="C47" s="161"/>
      <c r="D47" s="1085" t="s">
        <v>1333</v>
      </c>
      <c r="E47" s="301" t="s">
        <v>1334</v>
      </c>
      <c r="F47" s="162" t="s">
        <v>1335</v>
      </c>
      <c r="G47" s="2543" t="s">
        <v>1336</v>
      </c>
      <c r="H47" s="2544"/>
      <c r="I47" s="158"/>
      <c r="J47" s="2520">
        <v>2</v>
      </c>
      <c r="K47" s="3621" t="s">
        <v>1337</v>
      </c>
      <c r="L47" s="3621"/>
      <c r="M47" s="3623">
        <f>'数据-取费表'!B2</f>
        <v>45896</v>
      </c>
      <c r="N47" s="3623"/>
      <c r="O47" s="3623"/>
    </row>
    <row r="48" spans="1:15" ht="25.5">
      <c r="A48" s="3683" t="s">
        <v>1338</v>
      </c>
      <c r="B48" s="3684"/>
      <c r="C48" s="3684"/>
      <c r="D48" s="2322">
        <f ca="1">IF(H48="情况1",0,IF(H48="情况2",D52,IF(H48="情况3",D53,IF(H48="情况4",D54))))</f>
        <v>266</v>
      </c>
      <c r="E48" s="2332" t="str">
        <f>IF(H48="情况4","(销售额-原购置价)×税（费）率","销售额×税（费）率")</f>
        <v>(销售额-原购置价)×税（费）率</v>
      </c>
      <c r="F48" s="2545">
        <f>IF(H48="情况1","免征",'数据-取费表'!B41)</f>
        <v>5.6000000000000001E-2</v>
      </c>
      <c r="G48" s="2546" t="s">
        <v>1339</v>
      </c>
      <c r="H48" s="2547" t="s">
        <v>3516</v>
      </c>
      <c r="I48" s="1804"/>
      <c r="J48" s="2520">
        <v>3</v>
      </c>
      <c r="K48" s="3621" t="s">
        <v>1340</v>
      </c>
      <c r="L48" s="3621"/>
      <c r="M48" s="3624">
        <f ca="1">H101</f>
        <v>5132</v>
      </c>
      <c r="N48" s="3624"/>
      <c r="O48" s="3624"/>
    </row>
    <row r="49" spans="1:35" ht="25.5" customHeight="1">
      <c r="A49" s="2331" t="s">
        <v>1341</v>
      </c>
      <c r="B49" s="3669" t="s">
        <v>1342</v>
      </c>
      <c r="C49" s="3669"/>
      <c r="D49" s="1588">
        <v>0</v>
      </c>
      <c r="E49" s="323" t="s">
        <v>1343</v>
      </c>
      <c r="F49" s="2421" t="s">
        <v>28</v>
      </c>
      <c r="G49" s="3652"/>
      <c r="H49" s="2308" t="s">
        <v>2131</v>
      </c>
      <c r="I49" s="2309"/>
      <c r="J49" s="2520">
        <v>4</v>
      </c>
      <c r="K49" s="3621" t="str">
        <f>IF(项目基本情况!E8="房地产抵押价值","房地产抵押价值","抵押担保权已注销时的房地产抵押价值")</f>
        <v>房地产抵押价值</v>
      </c>
      <c r="L49" s="3621"/>
      <c r="M49" s="3624">
        <f ca="1">IF(项目基本情况!E8="房地产抵押价值",H107,H109)</f>
        <v>5132</v>
      </c>
      <c r="N49" s="3624"/>
      <c r="O49" s="3624"/>
    </row>
    <row r="50" spans="1:35" ht="25.5" customHeight="1">
      <c r="A50" s="2548"/>
      <c r="B50" s="3669" t="s">
        <v>1344</v>
      </c>
      <c r="C50" s="3669"/>
      <c r="D50" s="2549"/>
      <c r="E50" s="331"/>
      <c r="F50" s="2421"/>
      <c r="G50" s="3653"/>
      <c r="H50" s="2310" t="s">
        <v>2132</v>
      </c>
      <c r="I50" s="2309"/>
      <c r="J50" s="3620" t="s">
        <v>1345</v>
      </c>
      <c r="K50" s="3620"/>
      <c r="L50" s="3620"/>
      <c r="M50" s="3620"/>
      <c r="N50" s="3620"/>
      <c r="O50" s="3620"/>
    </row>
    <row r="51" spans="1:35" ht="20.45" customHeight="1">
      <c r="A51" s="2550"/>
      <c r="B51" s="3669" t="s">
        <v>1346</v>
      </c>
      <c r="C51" s="3669"/>
      <c r="D51" s="1085"/>
      <c r="E51" s="326"/>
      <c r="F51" s="2421"/>
      <c r="G51" s="3654"/>
      <c r="H51" s="2310" t="s">
        <v>2133</v>
      </c>
      <c r="I51" s="2309"/>
      <c r="J51" s="2521" t="s">
        <v>1347</v>
      </c>
      <c r="K51" s="3621" t="s">
        <v>1348</v>
      </c>
      <c r="L51" s="3621"/>
      <c r="M51" s="2521" t="s">
        <v>1349</v>
      </c>
      <c r="N51" s="2521" t="s">
        <v>1350</v>
      </c>
      <c r="O51" s="2521" t="s">
        <v>1351</v>
      </c>
    </row>
    <row r="52" spans="1:35" ht="24" customHeight="1">
      <c r="A52" s="2333" t="s">
        <v>1352</v>
      </c>
      <c r="B52" s="3669" t="s">
        <v>1353</v>
      </c>
      <c r="C52" s="3669"/>
      <c r="D52" s="1085">
        <f ca="1">ROUND(D45*'数据-取费表'!B41/(1+'数据-取费表'!C42),0)</f>
        <v>274</v>
      </c>
      <c r="E52" s="2332" t="s">
        <v>1354</v>
      </c>
      <c r="F52" s="2551">
        <f>'数据-取费表'!B41</f>
        <v>5.6000000000000001E-2</v>
      </c>
      <c r="G52" s="2552"/>
      <c r="H52" s="2541"/>
      <c r="I52" s="1805"/>
      <c r="J52" s="2520">
        <v>1</v>
      </c>
      <c r="K52" s="3646" t="s">
        <v>1355</v>
      </c>
      <c r="L52" s="3646"/>
      <c r="M52" s="2522">
        <f ca="1">D48</f>
        <v>266</v>
      </c>
      <c r="N52" s="2520" t="str">
        <f>E48</f>
        <v>(销售额-原购置价)×税（费）率</v>
      </c>
      <c r="O52" s="2523">
        <f>F48</f>
        <v>5.6000000000000001E-2</v>
      </c>
    </row>
    <row r="53" spans="1:35" ht="12" customHeight="1">
      <c r="A53" s="2333" t="s">
        <v>1356</v>
      </c>
      <c r="B53" s="3670" t="s">
        <v>2288</v>
      </c>
      <c r="C53" s="3671"/>
      <c r="D53" s="1085">
        <f ca="1">ROUND(D45*'数据-取费表'!B41/(1+'数据-取费表'!C42),0)</f>
        <v>274</v>
      </c>
      <c r="E53" s="2332" t="s">
        <v>1354</v>
      </c>
      <c r="F53" s="2551">
        <f>'数据-取费表'!B41</f>
        <v>5.6000000000000001E-2</v>
      </c>
      <c r="G53" s="2552"/>
      <c r="H53" s="2541"/>
      <c r="I53" s="1805"/>
      <c r="J53" s="2520">
        <v>2</v>
      </c>
      <c r="K53" s="3646" t="s">
        <v>1357</v>
      </c>
      <c r="L53" s="3646"/>
      <c r="M53" s="2522">
        <f t="shared" ref="M53:O54" ca="1" si="0">D55</f>
        <v>3</v>
      </c>
      <c r="N53" s="2520" t="str">
        <f t="shared" si="0"/>
        <v>销售额×税（费）率</v>
      </c>
      <c r="O53" s="2523">
        <f t="shared" si="0"/>
        <v>5.0000000000000001E-4</v>
      </c>
    </row>
    <row r="54" spans="1:35" ht="12" customHeight="1">
      <c r="A54" s="2333" t="s">
        <v>1358</v>
      </c>
      <c r="B54" s="3670" t="s">
        <v>2289</v>
      </c>
      <c r="C54" s="3671"/>
      <c r="D54" s="1085">
        <f ca="1">C68</f>
        <v>266</v>
      </c>
      <c r="E54" s="326" t="s">
        <v>1359</v>
      </c>
      <c r="F54" s="2551">
        <f>'数据-取费表'!B41</f>
        <v>5.6000000000000001E-2</v>
      </c>
      <c r="G54" s="2552"/>
      <c r="H54" s="2553"/>
      <c r="I54" s="1805"/>
      <c r="J54" s="2520">
        <v>3</v>
      </c>
      <c r="K54" s="3646" t="s">
        <v>1360</v>
      </c>
      <c r="L54" s="3646"/>
      <c r="M54" s="2522">
        <f ca="1">ROUND(D45/1.05*5%,0)</f>
        <v>244</v>
      </c>
      <c r="N54" s="2520" t="str">
        <f t="shared" si="0"/>
        <v>增值额×税（费）率</v>
      </c>
      <c r="O54" s="2524" t="str">
        <f t="shared" si="0"/>
        <v>——</v>
      </c>
    </row>
    <row r="55" spans="1:35" ht="24" customHeight="1">
      <c r="A55" s="3707" t="s">
        <v>1361</v>
      </c>
      <c r="B55" s="3684"/>
      <c r="C55" s="3684"/>
      <c r="D55" s="2322">
        <f ca="1">IF(H55="个人住宅",0,ROUND(D45*I55,0))</f>
        <v>3</v>
      </c>
      <c r="E55" s="2332" t="s">
        <v>1362</v>
      </c>
      <c r="F55" s="2551">
        <f>IF(H55="正常",I55,"免征")</f>
        <v>5.0000000000000001E-4</v>
      </c>
      <c r="G55" s="2552"/>
      <c r="H55" s="2547" t="s">
        <v>3421</v>
      </c>
      <c r="I55" s="164">
        <f>'数据-取费表'!B49</f>
        <v>5.0000000000000001E-4</v>
      </c>
      <c r="J55" s="2520" t="str">
        <f>IF(H59="非个人房产","",4)</f>
        <v/>
      </c>
      <c r="K55" s="3646" t="str">
        <f>IF(H59="非个人房产","——","个人所得税")</f>
        <v>——</v>
      </c>
      <c r="L55" s="3646"/>
      <c r="M55" s="2525" t="str">
        <f>D59</f>
        <v>——</v>
      </c>
      <c r="N55" s="2038" t="str">
        <f>E59</f>
        <v>——</v>
      </c>
      <c r="O55" s="2526" t="str">
        <f>F59</f>
        <v>——</v>
      </c>
    </row>
    <row r="56" spans="1:35" ht="24.75">
      <c r="A56" s="3707" t="s">
        <v>1363</v>
      </c>
      <c r="B56" s="3684"/>
      <c r="C56" s="3684"/>
      <c r="D56" s="2322">
        <f ca="1">IF(H56="个人住宅",D57,D58)</f>
        <v>2617</v>
      </c>
      <c r="E56" s="2332" t="s">
        <v>1364</v>
      </c>
      <c r="F56" s="2551" t="str">
        <f>IF(H56="正常",F58,"免征")</f>
        <v>——</v>
      </c>
      <c r="G56" s="2554" t="s">
        <v>1365</v>
      </c>
      <c r="H56" s="2555" t="s">
        <v>3421</v>
      </c>
      <c r="I56" s="1806"/>
      <c r="J56" s="2520" t="str">
        <f>IF(项目基本情况!K6="上海银行",IF(J55="",4,J55+1),"")</f>
        <v/>
      </c>
      <c r="K56" s="3627" t="str">
        <f>IF(项目基本情况!K6="上海银行","其他处置费用","")</f>
        <v/>
      </c>
      <c r="L56" s="3628"/>
      <c r="M56" s="2522" t="str">
        <f>IF(项目基本情况!K6="上海银行",M69,"")</f>
        <v/>
      </c>
      <c r="N56" s="3627" t="str">
        <f>IF(项目基本情况!K6="上海银行","包含处置中涉及的律师、诉讼、拍卖、评估等费用","")</f>
        <v/>
      </c>
      <c r="O56" s="3630"/>
    </row>
    <row r="57" spans="1:35" ht="12.75">
      <c r="A57" s="2333" t="s">
        <v>1341</v>
      </c>
      <c r="B57" s="3670" t="s">
        <v>1366</v>
      </c>
      <c r="C57" s="3671"/>
      <c r="D57" s="1588">
        <v>0</v>
      </c>
      <c r="E57" s="323" t="s">
        <v>1343</v>
      </c>
      <c r="F57" s="301"/>
      <c r="G57" s="2552"/>
      <c r="H57" s="2556"/>
      <c r="I57" s="1806"/>
      <c r="J57" s="3646">
        <f>IF(AND(J55="",J56=""),4,IF(项目基本情况!K6="上海银行",结果表!J56+1,结果表!J55+1))</f>
        <v>4</v>
      </c>
      <c r="K57" s="3646" t="s">
        <v>1367</v>
      </c>
      <c r="L57" s="2527" t="s">
        <v>1368</v>
      </c>
      <c r="M57" s="2528"/>
      <c r="N57" s="2529">
        <f ca="1">SUMIF(M52:M56,"&lt;9e307")</f>
        <v>513</v>
      </c>
      <c r="O57" s="2530"/>
      <c r="P57" s="3511"/>
    </row>
    <row r="58" spans="1:35" ht="24.75">
      <c r="A58" s="2333" t="s">
        <v>1352</v>
      </c>
      <c r="B58" s="3670" t="s">
        <v>1369</v>
      </c>
      <c r="C58" s="3669"/>
      <c r="D58" s="2322">
        <f ca="1">IF(H58="转让取得",C81,C97)</f>
        <v>2617</v>
      </c>
      <c r="E58" s="2332" t="s">
        <v>1364</v>
      </c>
      <c r="F58" s="301" t="s">
        <v>28</v>
      </c>
      <c r="G58" s="2552"/>
      <c r="H58" s="2555" t="s">
        <v>3517</v>
      </c>
      <c r="I58" s="1806"/>
      <c r="J58" s="3646"/>
      <c r="K58" s="3646"/>
      <c r="L58" s="2527" t="s">
        <v>1370</v>
      </c>
      <c r="M58" s="2531"/>
      <c r="N58" s="2532" t="str">
        <f ca="1">NUMBERSTRING(INT(N57*10000),2)&amp;"元整"</f>
        <v>伍佰壹拾叁万元整</v>
      </c>
      <c r="O58" s="2533"/>
    </row>
    <row r="59" spans="1:35" ht="24.75" thickBot="1">
      <c r="A59" s="3650" t="s">
        <v>1371</v>
      </c>
      <c r="B59" s="3651"/>
      <c r="C59" s="3651"/>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3512" t="s">
        <v>3519</v>
      </c>
      <c r="H59" s="2312" t="s">
        <v>3549</v>
      </c>
      <c r="I59" s="2311" t="s">
        <v>2134</v>
      </c>
      <c r="J59" s="3648">
        <f>J57+1</f>
        <v>5</v>
      </c>
      <c r="K59" s="3646" t="s">
        <v>1372</v>
      </c>
      <c r="L59" s="2520" t="s">
        <v>1368</v>
      </c>
      <c r="M59" s="2534"/>
      <c r="N59" s="2535">
        <f ca="1">M49-N57</f>
        <v>4619</v>
      </c>
      <c r="O59" s="2536"/>
    </row>
    <row r="60" spans="1:35" ht="12" customHeight="1">
      <c r="A60" s="1807"/>
      <c r="B60" s="1745"/>
      <c r="C60" s="1745"/>
      <c r="D60" s="1745"/>
      <c r="E60" s="1576"/>
      <c r="F60" s="1806"/>
      <c r="G60" s="1806"/>
      <c r="H60" s="1808"/>
      <c r="I60" s="128"/>
      <c r="J60" s="3649"/>
      <c r="K60" s="3646"/>
      <c r="L60" s="2527" t="s">
        <v>1370</v>
      </c>
      <c r="M60" s="2531"/>
      <c r="N60" s="2532" t="str">
        <f ca="1">NUMBERSTRING(INT(N59*10000),2)&amp;"元整"</f>
        <v>肆仟陆佰壹拾玖万元整</v>
      </c>
      <c r="O60" s="2533"/>
    </row>
    <row r="61" spans="1:35" ht="13.5" thickBot="1">
      <c r="A61" s="3706" t="s">
        <v>1373</v>
      </c>
      <c r="B61" s="3706"/>
      <c r="C61" s="3706"/>
      <c r="D61" s="3706"/>
      <c r="E61" s="3706"/>
      <c r="F61" s="1806"/>
      <c r="G61" s="1806"/>
      <c r="H61" s="1808"/>
      <c r="I61" s="128"/>
      <c r="J61" s="2520">
        <f>J59+1</f>
        <v>6</v>
      </c>
      <c r="K61" s="3646" t="s">
        <v>1374</v>
      </c>
      <c r="L61" s="3646"/>
      <c r="M61" s="2537"/>
      <c r="N61" s="2538">
        <f ca="1">ROUND(N59*10000/'数据-汇总表'!E3,0)</f>
        <v>13940</v>
      </c>
      <c r="O61" s="2539"/>
    </row>
    <row r="62" spans="1:35" ht="12.75">
      <c r="A62" s="3665" t="s">
        <v>1375</v>
      </c>
      <c r="B62" s="3666"/>
      <c r="C62" s="2019"/>
      <c r="D62" s="2019" t="s">
        <v>1376</v>
      </c>
      <c r="E62" s="165" t="s">
        <v>1377</v>
      </c>
      <c r="F62" s="1806"/>
      <c r="G62" s="1806"/>
      <c r="H62" s="1808"/>
      <c r="I62" s="128"/>
    </row>
    <row r="63" spans="1:35" ht="12.75">
      <c r="A63" s="172" t="s">
        <v>330</v>
      </c>
      <c r="B63" s="166" t="s">
        <v>1378</v>
      </c>
      <c r="C63" s="2560">
        <f ca="1">ROUND((C64+C65)/(1+'数据-取费表'!C42),0)</f>
        <v>4888</v>
      </c>
      <c r="D63" s="166"/>
      <c r="E63" s="167"/>
      <c r="F63" s="1806"/>
      <c r="G63" s="1806"/>
      <c r="H63" s="1808"/>
      <c r="I63" s="128"/>
      <c r="J63" s="3629" t="s">
        <v>1379</v>
      </c>
      <c r="K63" s="1330" t="s">
        <v>1380</v>
      </c>
      <c r="L63" s="1330">
        <f ca="1">IF(M49&gt;10000,M49*0.5%,IF(AND(M49&gt;1000,M49&lt;=10000),M49*1%,IF(AND(M49&gt;100,M49&lt;=1000),M49*3%,IF(AND(M49&gt;10,M49&lt;=100),M49*5%,M49*8%))))</f>
        <v>51.32</v>
      </c>
      <c r="M63" s="301">
        <f ca="1">ROUND(L63,1)</f>
        <v>51.3</v>
      </c>
      <c r="N63" s="2540"/>
      <c r="Z63" s="1750"/>
      <c r="AI63" s="1751"/>
    </row>
    <row r="64" spans="1:35" ht="14.25" customHeight="1">
      <c r="A64" s="168" t="s">
        <v>325</v>
      </c>
      <c r="B64" s="169" t="s">
        <v>1381</v>
      </c>
      <c r="C64" s="2561">
        <f ca="1">D45</f>
        <v>5132</v>
      </c>
      <c r="D64" s="169" t="s">
        <v>26</v>
      </c>
      <c r="E64" s="171"/>
      <c r="F64" s="1806"/>
      <c r="G64" s="1806"/>
      <c r="H64" s="1808"/>
      <c r="I64" s="128"/>
      <c r="J64" s="3629"/>
      <c r="K64" s="1330" t="s">
        <v>1382</v>
      </c>
      <c r="L64" s="1330">
        <f ca="1">IF(M49&gt;2000,M49*0.5%,IF(AND(M49&gt;1000,M49&lt;=2000),M49*0.6%,IF(AND(M49&gt;500,M49&lt;=1000),M49*0.7%,IF(AND(M49&gt;200,M49&lt;=500),M49*0.8%,IF(AND(M49&gt;100,M49&lt;=200),M49*0.9%,IF(AND(M49&gt;50,M49&lt;=100),M49*1%,IF(AND(M49&gt;20,M49&lt;=50),M49*1.5%,IF(AND(M49&gt;10,M49&lt;=20),M49*2%,IF(AND(M49&gt;1,M49&lt;=10),M49*2.5%)))))))))</f>
        <v>25.66</v>
      </c>
      <c r="M64" s="301">
        <f t="shared" ref="M64:M65" ca="1" si="1">ROUND(L64,1)</f>
        <v>25.7</v>
      </c>
      <c r="N64" s="2541" t="s">
        <v>1383</v>
      </c>
      <c r="Z64" s="1750"/>
      <c r="AI64" s="1751"/>
    </row>
    <row r="65" spans="1:35" ht="14.25" customHeight="1">
      <c r="A65" s="168" t="s">
        <v>326</v>
      </c>
      <c r="B65" s="169" t="s">
        <v>1384</v>
      </c>
      <c r="C65" s="2562"/>
      <c r="D65" s="169"/>
      <c r="E65" s="171"/>
      <c r="F65" s="1806"/>
      <c r="G65" s="1806"/>
      <c r="H65" s="1808"/>
      <c r="I65" s="128"/>
      <c r="J65" s="3629"/>
      <c r="K65" s="1330" t="s">
        <v>1385</v>
      </c>
      <c r="L65" s="1330">
        <f ca="1">IF(M49&gt;1000,M49*0.1%,IF(AND(M49&gt;500,M49&lt;=1000),M49*0.5%,IF(AND(M49&gt;50,M49&lt;=500),M49*1%,IF(AND(M49&gt;1,M49&lt;=50),M49*1.5%))))</f>
        <v>5.1319999999999997</v>
      </c>
      <c r="M65" s="301">
        <f t="shared" ca="1" si="1"/>
        <v>5.0999999999999996</v>
      </c>
      <c r="N65" s="2541" t="s">
        <v>1383</v>
      </c>
      <c r="Z65" s="1750"/>
      <c r="AI65" s="1751"/>
    </row>
    <row r="66" spans="1:35" ht="14.25" customHeight="1">
      <c r="A66" s="172" t="s">
        <v>327</v>
      </c>
      <c r="B66" s="173" t="s">
        <v>1386</v>
      </c>
      <c r="C66" s="2563">
        <v>130</v>
      </c>
      <c r="D66" s="173" t="s">
        <v>26</v>
      </c>
      <c r="E66" s="1336" t="s">
        <v>671</v>
      </c>
      <c r="F66" s="1806"/>
      <c r="G66" s="1806"/>
      <c r="H66" s="1808"/>
      <c r="I66" s="128"/>
      <c r="J66" s="3629"/>
      <c r="K66" s="1330" t="s">
        <v>1387</v>
      </c>
      <c r="L66" s="1330">
        <f ca="1">M49*0.5%</f>
        <v>25.66</v>
      </c>
      <c r="M66" s="301">
        <f ca="1">IF(L66&gt;0.5,0.5,ROUND(L66,0))</f>
        <v>0.5</v>
      </c>
      <c r="N66" s="2541" t="s">
        <v>1388</v>
      </c>
      <c r="Z66" s="1750"/>
      <c r="AI66" s="1751"/>
    </row>
    <row r="67" spans="1:35" ht="14.25" customHeight="1">
      <c r="A67" s="172" t="s">
        <v>328</v>
      </c>
      <c r="B67" s="173" t="s">
        <v>1389</v>
      </c>
      <c r="C67" s="2564">
        <f ca="1">C63-C66</f>
        <v>4758</v>
      </c>
      <c r="D67" s="169" t="s">
        <v>26</v>
      </c>
      <c r="E67" s="171"/>
      <c r="F67" s="1806"/>
      <c r="G67" s="1806"/>
      <c r="H67" s="1808"/>
      <c r="I67" s="128"/>
      <c r="J67" s="3629"/>
      <c r="K67" s="1330" t="s">
        <v>1390</v>
      </c>
      <c r="L67" s="1330">
        <f ca="1">IF(M49&gt;=10000,(8.25+(M49-10000)*0.01%),IF(AND(M49&gt;=8000,M49&lt;10000),(7.85+(M49-8000)*0.02%),IF(AND(M49&gt;=5000,M49&lt;8000),(6.65+(M49-5000)*0.04%),IF(AND(M49&gt;=2000,M49&lt;5000),(4.25+(PM49-2000)*0.08%),IF(AND(M49&gt;=1000,M49&lt;2000),(2.75+(M49-1000)*0.15%),IF(AND(M49&gt;=100,M49&lt;1000),(0.5+(M49-100)*0.25%),IF(AND(M49&gt;0,M49&lt;100),M49*0.5%)))))))</f>
        <v>6.7028000000000008</v>
      </c>
      <c r="M67" s="301">
        <f ca="1">ROUND(L67*0.9,1)</f>
        <v>6</v>
      </c>
      <c r="N67" s="2540"/>
      <c r="Z67" s="1750"/>
      <c r="AI67" s="1751"/>
    </row>
    <row r="68" spans="1:35" ht="14.25" customHeight="1" thickBot="1">
      <c r="A68" s="175" t="s">
        <v>329</v>
      </c>
      <c r="B68" s="176" t="s">
        <v>1391</v>
      </c>
      <c r="C68" s="2565">
        <f ca="1">IF(C67&lt;=0,0,ROUND(C67*D68,0))</f>
        <v>266</v>
      </c>
      <c r="D68" s="2566">
        <f>'数据-取费表'!B41</f>
        <v>5.6000000000000001E-2</v>
      </c>
      <c r="E68" s="177"/>
      <c r="F68" s="1806"/>
      <c r="G68" s="1806"/>
      <c r="H68" s="1808"/>
      <c r="I68" s="128"/>
      <c r="J68" s="3629"/>
      <c r="K68" s="1330" t="s">
        <v>1392</v>
      </c>
      <c r="L68" s="1330">
        <f ca="1">IF(M49&gt;10000,M49*0.5%,IF(AND(M49&gt;5000,M49&lt;=10000),M49*1%,IF(AND(M49&gt;1000,M49&lt;=5000),M49*2%,IF(AND(M49&gt;200,M49&lt;=1000),M49*3%,M49*5%))))</f>
        <v>51.32</v>
      </c>
      <c r="M68" s="301">
        <f ca="1">ROUND(L68,1)</f>
        <v>51.3</v>
      </c>
      <c r="N68" s="2540"/>
      <c r="Z68" s="1750"/>
      <c r="AI68" s="1751"/>
    </row>
    <row r="69" spans="1:35" s="1770" customFormat="1" ht="16.5" customHeight="1">
      <c r="A69" s="1809"/>
      <c r="B69" s="1810"/>
      <c r="C69" s="1811"/>
      <c r="D69" s="1812"/>
      <c r="E69" s="1813"/>
      <c r="F69" s="1576"/>
      <c r="G69" s="1576"/>
      <c r="H69" s="1575"/>
      <c r="I69" s="1745"/>
      <c r="J69" s="3629"/>
      <c r="K69" s="1330" t="s">
        <v>1393</v>
      </c>
      <c r="L69" s="1330"/>
      <c r="M69" s="301">
        <f ca="1">ROUND(SUM(M63:M68),0)</f>
        <v>140</v>
      </c>
      <c r="N69" s="2542">
        <f ca="1">M69/M49</f>
        <v>2.7279812938425563E-2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3" t="s">
        <v>1394</v>
      </c>
      <c r="B70" s="3674"/>
      <c r="C70" s="3674"/>
      <c r="D70" s="3674"/>
      <c r="E70" s="3674"/>
      <c r="F70" s="3674"/>
      <c r="G70" s="3674"/>
      <c r="H70" s="3674"/>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5" t="s">
        <v>1375</v>
      </c>
      <c r="B71" s="3666"/>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4888</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332</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3520</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70" t="s">
        <v>1402</v>
      </c>
      <c r="F76" s="3669"/>
      <c r="G76" s="3669"/>
      <c r="H76" s="367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3518</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29</v>
      </c>
      <c r="D78" s="2573">
        <f>'数据-取费表'!B43</f>
        <v>6.000000000000001E-3</v>
      </c>
      <c r="E78" s="3662" t="s">
        <v>1406</v>
      </c>
      <c r="F78" s="3663"/>
      <c r="G78" s="3663"/>
      <c r="H78" s="366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4556</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13.72289156626506</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2617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3" t="s">
        <v>1410</v>
      </c>
      <c r="B83" s="3674"/>
      <c r="C83" s="3674"/>
      <c r="D83" s="3674"/>
      <c r="E83" s="3674"/>
      <c r="F83" s="3674"/>
      <c r="G83" s="3674"/>
      <c r="H83" s="367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5" t="s">
        <v>1375</v>
      </c>
      <c r="B84" s="3666"/>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4888</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29</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31" t="s">
        <v>2126</v>
      </c>
      <c r="H90" s="3632"/>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62" t="s">
        <v>1419</v>
      </c>
      <c r="F91" s="3663"/>
      <c r="G91" s="366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62" t="s">
        <v>1422</v>
      </c>
      <c r="F92" s="3663"/>
      <c r="G92" s="3663"/>
      <c r="H92" s="3664"/>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29</v>
      </c>
      <c r="D93" s="2573">
        <f>'数据-取费表'!B43</f>
        <v>6.000000000000001E-3</v>
      </c>
      <c r="E93" s="3662" t="s">
        <v>1406</v>
      </c>
      <c r="F93" s="3663"/>
      <c r="G93" s="3663"/>
      <c r="H93" s="366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711" t="s">
        <v>1426</v>
      </c>
      <c r="F94" s="3712"/>
      <c r="G94" s="3712"/>
      <c r="H94" s="371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4859</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167.55172413793105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2905</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2" t="s">
        <v>1428</v>
      </c>
      <c r="B100" s="3613"/>
      <c r="C100" s="3613"/>
      <c r="D100" s="3647"/>
      <c r="E100" s="3613" t="s">
        <v>1429</v>
      </c>
      <c r="F100" s="3613"/>
      <c r="G100" s="3613"/>
      <c r="H100" s="3647"/>
      <c r="I100" s="128"/>
    </row>
    <row r="101" spans="1:35" ht="18.75" customHeight="1">
      <c r="A101" s="3655" t="s">
        <v>1430</v>
      </c>
      <c r="B101" s="3656"/>
      <c r="C101" s="2581" t="str">
        <f>C4</f>
        <v>比较法-办公</v>
      </c>
      <c r="D101" s="2582" t="str">
        <f>D4</f>
        <v>收益法 (元)</v>
      </c>
      <c r="E101" s="3625" t="s">
        <v>1431</v>
      </c>
      <c r="F101" s="3626"/>
      <c r="G101" s="1825" t="s">
        <v>1432</v>
      </c>
      <c r="H101" s="2591">
        <f ca="1">H118</f>
        <v>5132</v>
      </c>
      <c r="I101" s="128"/>
    </row>
    <row r="102" spans="1:35" ht="18.75" customHeight="1">
      <c r="A102" s="3657" t="s">
        <v>1433</v>
      </c>
      <c r="B102" s="2580" t="s">
        <v>1432</v>
      </c>
      <c r="C102" s="2581">
        <f ca="1">IF(D32="楼面单价",ROUND(C19,0),C19)</f>
        <v>6139.3899000000001</v>
      </c>
      <c r="D102" s="2582">
        <f ca="1">IF(D32="楼面单价",ROUND(D19,0),D19)</f>
        <v>3620.7437</v>
      </c>
      <c r="E102" s="3625"/>
      <c r="F102" s="3626"/>
      <c r="G102" s="1825" t="s">
        <v>1434</v>
      </c>
      <c r="H102" s="2552">
        <f ca="1">I118</f>
        <v>15488</v>
      </c>
      <c r="I102" s="128"/>
    </row>
    <row r="103" spans="1:35" ht="42.75" customHeight="1">
      <c r="A103" s="3657"/>
      <c r="B103" s="2580" t="s">
        <v>1434</v>
      </c>
      <c r="C103" s="2583">
        <f ca="1">C20</f>
        <v>22921</v>
      </c>
      <c r="D103" s="2584">
        <f ca="1">D20</f>
        <v>13518</v>
      </c>
      <c r="E103" s="3618" t="s">
        <v>1435</v>
      </c>
      <c r="F103" s="3619"/>
      <c r="G103" s="1826" t="s">
        <v>1436</v>
      </c>
      <c r="H103" s="2591">
        <f>IF(D36="正常操作",H104+H105+H106,H105+H106)</f>
        <v>0</v>
      </c>
      <c r="I103" s="128"/>
    </row>
    <row r="104" spans="1:35" ht="18.75" customHeight="1">
      <c r="A104" s="3657" t="s">
        <v>1437</v>
      </c>
      <c r="B104" s="2585" t="s">
        <v>1432</v>
      </c>
      <c r="C104" s="2586">
        <f ca="1">H118</f>
        <v>5132</v>
      </c>
      <c r="D104" s="2587"/>
      <c r="E104" s="1672" t="s">
        <v>1438</v>
      </c>
      <c r="F104" s="1664"/>
      <c r="G104" s="1826" t="s">
        <v>1436</v>
      </c>
      <c r="H104" s="2592">
        <f>IF(D36="同一抵押权人同一抵押物续贷",C36&amp;"（续贷，未扣减，详见特别提示）",C36)</f>
        <v>0</v>
      </c>
      <c r="I104" s="128"/>
    </row>
    <row r="105" spans="1:35" ht="18.75" customHeight="1" thickBot="1">
      <c r="A105" s="3667"/>
      <c r="B105" s="2588" t="s">
        <v>1434</v>
      </c>
      <c r="C105" s="2589">
        <f ca="1">I118</f>
        <v>15488</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58" t="str">
        <f>IF(项目基本情况!E8="已注销","——","3.房地产抵押价值")</f>
        <v>3.房地产抵押价值</v>
      </c>
      <c r="F107" s="3626"/>
      <c r="G107" s="1825" t="s">
        <v>1432</v>
      </c>
      <c r="H107" s="2591">
        <f ca="1">IF(E107="——","——",H101-H103)</f>
        <v>5132</v>
      </c>
      <c r="I107" s="128"/>
    </row>
    <row r="108" spans="1:35" ht="18.75" customHeight="1">
      <c r="A108" s="128"/>
      <c r="B108" s="128"/>
      <c r="C108" s="128"/>
      <c r="D108" s="128">
        <f ca="1">ROUND(H108*B118,0)</f>
        <v>51321037</v>
      </c>
      <c r="E108" s="3658"/>
      <c r="F108" s="3626"/>
      <c r="G108" s="1825" t="s">
        <v>1434</v>
      </c>
      <c r="H108" s="2552">
        <f ca="1">IF(H107=H101,H102,ROUND(H107*10000/'数据-汇总表'!E3,0))</f>
        <v>15488</v>
      </c>
      <c r="I108" s="128"/>
    </row>
    <row r="109" spans="1:35" ht="18.75" customHeight="1">
      <c r="A109" s="128"/>
      <c r="B109" s="128"/>
      <c r="C109" s="128"/>
      <c r="D109" s="128"/>
      <c r="E109" s="3658" t="str">
        <f>IF(项目基本情况!E8="已注销及未注销","4.抵押担保权已注销时的房地产抵押价值",IF(项目基本情况!E8="已注销","3.抵押担保权已注销时的房地产抵押价值","——"))</f>
        <v>——</v>
      </c>
      <c r="F109" s="3626"/>
      <c r="G109" s="1825" t="s">
        <v>1432</v>
      </c>
      <c r="H109" s="2594" t="str">
        <f>IF(E109="——","——",H101-H105-H106)</f>
        <v>——</v>
      </c>
      <c r="I109" s="128"/>
    </row>
    <row r="110" spans="1:35" ht="18.75" customHeight="1">
      <c r="A110" s="128"/>
      <c r="B110" s="128"/>
      <c r="C110" s="128"/>
      <c r="D110" s="128"/>
      <c r="E110" s="3658"/>
      <c r="F110" s="3626"/>
      <c r="G110" s="1825" t="s">
        <v>1434</v>
      </c>
      <c r="H110" s="2552" t="str">
        <f>IF(H109="——","——",ROUND(H109*10000/'数据-汇总表'!E3,0))</f>
        <v>——</v>
      </c>
      <c r="I110" s="128"/>
    </row>
    <row r="111" spans="1:35" ht="18.75" customHeight="1">
      <c r="A111" s="128"/>
      <c r="B111" s="128"/>
      <c r="C111" s="128"/>
      <c r="D111" s="128"/>
      <c r="E111" s="3659" t="str">
        <f>IF(项目基本情况!E9="抵押净值",IF(OR(项目基本情况!E8="已注销",项目基本情况!E8="房地产抵押价值"),"4.抵押净值","5.抵押净值"),"——")</f>
        <v>——</v>
      </c>
      <c r="F111" s="3645"/>
      <c r="G111" s="1825" t="s">
        <v>1432</v>
      </c>
      <c r="H111" s="2591" t="str">
        <f>IF(E111="——","——",N59)</f>
        <v>——</v>
      </c>
      <c r="I111" s="128"/>
    </row>
    <row r="112" spans="1:35" ht="18.75" customHeight="1" thickBot="1">
      <c r="A112" s="128"/>
      <c r="B112" s="128"/>
      <c r="C112" s="128"/>
      <c r="D112" s="128" t="e">
        <f>ROUND(H112*B118,0)</f>
        <v>#VALUE!</v>
      </c>
      <c r="E112" s="3660"/>
      <c r="F112" s="3661"/>
      <c r="G112" s="1828" t="s">
        <v>1434</v>
      </c>
      <c r="H112" s="2595" t="str">
        <f>IF(E111="——","——",N61)</f>
        <v>——</v>
      </c>
      <c r="I112" s="128"/>
    </row>
    <row r="113" spans="1:27" ht="18.75" customHeight="1">
      <c r="A113" s="128"/>
      <c r="B113" s="128"/>
      <c r="C113" s="128"/>
      <c r="D113" s="128"/>
      <c r="E113" s="3668" t="s">
        <v>1440</v>
      </c>
      <c r="F113" s="3668"/>
      <c r="G113" s="3668"/>
      <c r="H113" s="3668"/>
      <c r="I113" s="128"/>
    </row>
    <row r="114" spans="1:27" ht="3.75" customHeight="1">
      <c r="A114" s="1745"/>
      <c r="B114" s="1745"/>
      <c r="C114" s="1745"/>
      <c r="D114" s="1745"/>
      <c r="E114" s="1807"/>
      <c r="F114" s="1807"/>
      <c r="G114" s="1807"/>
      <c r="H114" s="1807"/>
      <c r="I114" s="1745"/>
    </row>
    <row r="115" spans="1:27" ht="18.75" customHeight="1">
      <c r="A115" s="3676" t="s">
        <v>1442</v>
      </c>
      <c r="B115" s="3677"/>
      <c r="C115" s="3677"/>
      <c r="D115" s="3677"/>
      <c r="E115" s="3677"/>
      <c r="F115" s="3677"/>
      <c r="G115" s="3677"/>
      <c r="H115" s="3677"/>
      <c r="I115" s="3678"/>
    </row>
    <row r="116" spans="1:27" ht="27" customHeight="1">
      <c r="A116" s="3633" t="s">
        <v>1443</v>
      </c>
      <c r="B116" s="3637" t="s">
        <v>1444</v>
      </c>
      <c r="C116" s="3637" t="s">
        <v>1445</v>
      </c>
      <c r="D116" s="3643" t="s">
        <v>1446</v>
      </c>
      <c r="E116" s="3644"/>
      <c r="F116" s="3675" t="s">
        <v>1447</v>
      </c>
      <c r="G116" s="3675"/>
      <c r="H116" s="3633" t="s">
        <v>1448</v>
      </c>
      <c r="I116" s="3633"/>
    </row>
    <row r="117" spans="1:27" ht="18.75" customHeight="1">
      <c r="A117" s="3633"/>
      <c r="B117" s="3638"/>
      <c r="C117" s="3638"/>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3313.6</v>
      </c>
      <c r="C118" s="2327">
        <f>M19</f>
        <v>0</v>
      </c>
      <c r="D118" s="2327">
        <f ca="1">ROUND(IF(D32="总价",C34,E118*B118/10000),0)</f>
        <v>3854</v>
      </c>
      <c r="E118" s="2327">
        <f ca="1">ROUND(IF(C33="自定义",IF(D32="楼面单价",C34,D118*10000/B118),I118-G118),0)</f>
        <v>11631</v>
      </c>
      <c r="F118" s="2327">
        <f ca="1">ROUND(IF(D32="总价",C35,G118*B118/10000),0)</f>
        <v>1278</v>
      </c>
      <c r="G118" s="2327">
        <f ca="1">ROUND(IF(D32="楼面单价",C35,F118*10000/B118),0)</f>
        <v>3857</v>
      </c>
      <c r="H118" s="2327">
        <f ca="1">ROUND(IF(D32="总价",C32,I118*B118/10000),0)</f>
        <v>5132</v>
      </c>
      <c r="I118" s="2327">
        <f ca="1">ROUND(IF(D32="楼面单价",C32,H118*10000/B118),0)</f>
        <v>15488</v>
      </c>
    </row>
    <row r="119" spans="1:27" ht="18.75" customHeight="1">
      <c r="A119" s="3633" t="s">
        <v>1452</v>
      </c>
      <c r="B119" s="3633"/>
      <c r="C119" s="3633"/>
      <c r="D119" s="3639" t="str">
        <f ca="1">NUMBERSTRING(INT(D118*10000),2)&amp;"元整"</f>
        <v>叁仟捌佰伍拾肆万元整</v>
      </c>
      <c r="E119" s="3640"/>
      <c r="F119" s="3639" t="str">
        <f ca="1">NUMBERSTRING(INT(F118*10000),2)&amp;"元整"</f>
        <v>壹仟贰佰柒拾捌万元整</v>
      </c>
      <c r="G119" s="3640"/>
      <c r="H119" s="3639" t="str">
        <f ca="1">NUMBERSTRING(INT(H118*10000),2)&amp;"元整"</f>
        <v>伍仟壹佰叁拾贰万元整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9" t="s">
        <v>1452</v>
      </c>
      <c r="B121" s="3641"/>
      <c r="C121" s="3640"/>
      <c r="D121" s="3639" t="str">
        <f>IF(D120=0,"零元整",NUMBERSTRING(INT(D120*10000),2)&amp;"元整")</f>
        <v>零元整</v>
      </c>
      <c r="E121" s="3641"/>
      <c r="F121" s="3641"/>
      <c r="G121" s="3641"/>
      <c r="H121" s="3641"/>
      <c r="I121" s="3640"/>
      <c r="AA121" s="723"/>
    </row>
    <row r="122" spans="1:27" ht="18.75" customHeight="1">
      <c r="A122" s="3645" t="str">
        <f>IF(项目基本情况!B9="房地产市场价值","",MID(E107,3,LEN(E107)-2))</f>
        <v>房地产抵押价值</v>
      </c>
      <c r="B122" s="3645"/>
      <c r="C122" s="3645"/>
      <c r="D122" s="3634">
        <f ca="1">H107</f>
        <v>5132</v>
      </c>
      <c r="E122" s="3635"/>
      <c r="F122" s="3635"/>
      <c r="G122" s="3635"/>
      <c r="H122" s="3635"/>
      <c r="I122" s="3636"/>
      <c r="AA122" s="723"/>
    </row>
    <row r="123" spans="1:27" ht="18.75" customHeight="1">
      <c r="A123" s="3633" t="s">
        <v>1452</v>
      </c>
      <c r="B123" s="3633"/>
      <c r="C123" s="3633"/>
      <c r="D123" s="3639" t="str">
        <f ca="1">NUMBERSTRING(INT(D122*10000),2)&amp;"元整"</f>
        <v>伍仟壹佰叁拾贰万元整</v>
      </c>
      <c r="E123" s="3641"/>
      <c r="F123" s="3641"/>
      <c r="G123" s="3641"/>
      <c r="H123" s="3641"/>
      <c r="I123" s="3640"/>
      <c r="AA123" s="723"/>
    </row>
    <row r="124" spans="1:27" ht="18.75" customHeight="1">
      <c r="A124" s="3645" t="str">
        <f>IF(项目基本情况!B9="房地产市场价值","",MID(E109,3,LEN(E109)-2))</f>
        <v/>
      </c>
      <c r="B124" s="3645"/>
      <c r="C124" s="3645"/>
      <c r="D124" s="3634" t="str">
        <f>H109</f>
        <v>——</v>
      </c>
      <c r="E124" s="3635"/>
      <c r="F124" s="3635"/>
      <c r="G124" s="3635"/>
      <c r="H124" s="3635"/>
      <c r="I124" s="3636"/>
      <c r="AA124" s="723"/>
    </row>
    <row r="125" spans="1:27" ht="18.75" customHeight="1">
      <c r="A125" s="3633" t="s">
        <v>1452</v>
      </c>
      <c r="B125" s="3633"/>
      <c r="C125" s="3633"/>
      <c r="D125" s="3639" t="e">
        <f>NUMBERSTRING(INT(D124*10000),2)&amp;"元整"</f>
        <v>#VALUE!</v>
      </c>
      <c r="E125" s="3641"/>
      <c r="F125" s="3641"/>
      <c r="G125" s="3641"/>
      <c r="H125" s="3641"/>
      <c r="I125" s="3640"/>
      <c r="AA125" s="723"/>
    </row>
    <row r="126" spans="1:27" ht="18.75" customHeight="1">
      <c r="A126" s="3645" t="str">
        <f>IF(项目基本情况!B9="房地产市场价值","",MID(E111,3,LEN(E111)-2))</f>
        <v/>
      </c>
      <c r="B126" s="3645"/>
      <c r="C126" s="3645"/>
      <c r="D126" s="3634" t="str">
        <f>H111</f>
        <v>——</v>
      </c>
      <c r="E126" s="3635"/>
      <c r="F126" s="3635"/>
      <c r="G126" s="3635"/>
      <c r="H126" s="3635"/>
      <c r="I126" s="3636"/>
      <c r="AA126" s="723"/>
    </row>
    <row r="127" spans="1:27" ht="18.75" customHeight="1">
      <c r="A127" s="3633" t="s">
        <v>1452</v>
      </c>
      <c r="B127" s="3633"/>
      <c r="C127" s="3633"/>
      <c r="D127" s="3639" t="e">
        <f>NUMBERSTRING(INT(D126*10000),2)&amp;"元整"</f>
        <v>#VALUE!</v>
      </c>
      <c r="E127" s="3641"/>
      <c r="F127" s="3641"/>
      <c r="G127" s="3641"/>
      <c r="H127" s="3641"/>
      <c r="I127" s="3640"/>
      <c r="AA127" s="723"/>
    </row>
    <row r="128" spans="1:27" ht="21.75" customHeight="1">
      <c r="A128" s="3642" t="s">
        <v>1453</v>
      </c>
      <c r="B128" s="3642"/>
      <c r="C128" s="3642"/>
      <c r="D128" s="3642"/>
      <c r="E128" s="3642"/>
      <c r="F128" s="3642"/>
      <c r="G128" s="3642"/>
      <c r="H128" s="3642"/>
      <c r="I128" s="364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t="e">
        <f ca="1">IF(D2="——",C52,C52-E2)</f>
        <v>#DIV/0!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 ca="1">C6+C7+C8</f>
        <v>#DIV/0!</v>
      </c>
      <c r="D5" s="210" t="s">
        <v>1469</v>
      </c>
      <c r="E5" s="211" t="s">
        <v>1470</v>
      </c>
      <c r="F5" s="211" t="s">
        <v>1471</v>
      </c>
      <c r="G5" s="212"/>
    </row>
    <row r="6" spans="1:9" s="213" customFormat="1" ht="13.5" customHeight="1">
      <c r="A6" s="776" t="s">
        <v>1472</v>
      </c>
      <c r="B6" s="214" t="s">
        <v>1473</v>
      </c>
      <c r="C6" s="215" t="e">
        <f>基准地价修正!B2</f>
        <v>#DIV/0!</v>
      </c>
      <c r="D6" s="216"/>
      <c r="E6" s="217"/>
      <c r="F6" s="217"/>
      <c r="G6" s="218"/>
    </row>
    <row r="7" spans="1:9" s="213" customFormat="1" ht="13.5" customHeight="1">
      <c r="A7" s="776" t="s">
        <v>1474</v>
      </c>
      <c r="B7" s="214" t="s">
        <v>1475</v>
      </c>
      <c r="C7" s="219" t="e">
        <f>ROUND(C6*F7,0)</f>
        <v>#DIV/0!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662720</v>
      </c>
      <c r="D8" s="221"/>
      <c r="E8" s="219"/>
      <c r="F8" s="220"/>
      <c r="G8" s="1854" t="s">
        <v>3409</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3410</v>
      </c>
      <c r="H9" s="1135"/>
      <c r="I9" s="1856" t="s">
        <v>1479</v>
      </c>
    </row>
    <row r="10" spans="1:9" s="213" customFormat="1" ht="13.5" customHeight="1">
      <c r="A10" s="777" t="s">
        <v>356</v>
      </c>
      <c r="B10" s="223" t="s">
        <v>1480</v>
      </c>
      <c r="C10" s="224">
        <f ca="1">ROUND(D10*E10/10000,0)</f>
        <v>66</v>
      </c>
      <c r="D10" s="843">
        <f ca="1">IF(B1="",'数据-汇总表'!E6,IF(INDIRECT("'数据-取费表'!c"&amp;$G$1)="住宅",INDIRECT("'数据-取费表'!s"&amp;$G$1),INDIRECT("'数据-取费表'!k"&amp;$G$1)+INDIRECT("'数据-取费表'!s"&amp;$G$1)))</f>
        <v>3313.6</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3313.6</v>
      </c>
      <c r="E19" s="210">
        <f>'数据-取费表'!B31</f>
        <v>200</v>
      </c>
      <c r="F19" s="230"/>
      <c r="G19" s="1854" t="s">
        <v>3411</v>
      </c>
    </row>
    <row r="20" spans="1:7" s="213" customFormat="1" ht="13.5" customHeight="1">
      <c r="A20" s="254" t="s">
        <v>1493</v>
      </c>
      <c r="B20" s="209" t="s">
        <v>1494</v>
      </c>
      <c r="C20" s="231" t="e">
        <f ca="1">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t="e">
        <f ca="1">ROUND(SUM(C23:C25),0)</f>
        <v>#DIV/0!</v>
      </c>
      <c r="D22" s="234">
        <f ca="1">C26</f>
        <v>2.9999999999999997E-4</v>
      </c>
      <c r="E22" s="235" t="s">
        <v>1498</v>
      </c>
      <c r="F22" s="236">
        <f ca="1">'数据-取费表'!B40</f>
        <v>3.0000000000000002E-2</v>
      </c>
      <c r="G22" s="233" t="str">
        <f>IF('数据-取费表'!B22&lt;=1,"单利计息","复利计息")</f>
        <v>单利计息</v>
      </c>
    </row>
    <row r="23" spans="1:7" s="213" customFormat="1" ht="13.5" customHeight="1">
      <c r="A23" s="778" t="s">
        <v>1502</v>
      </c>
      <c r="B23" s="214" t="s">
        <v>1503</v>
      </c>
      <c r="C23" s="1103" t="e">
        <f ca="1">ROUND(IF('数据-取费表'!B22&lt;=1,C5*F22*'数据-取费表'!B23,C5*(POWER((1+F22),'数据-取费表'!B23)-1)),0)</f>
        <v>#DIV/0!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t="e">
        <f ca="1">ROUND(IF('数据-取费表'!B22&lt;=1,C20*F22*'数据-取费表'!B23/2,C20*(POWER((1+F22),'数据-取费表'!B23/2)-1)),0)</f>
        <v>#DIV/0!</v>
      </c>
      <c r="D25" s="237"/>
      <c r="E25" s="240"/>
      <c r="F25" s="238"/>
      <c r="G25" s="241" t="s">
        <v>1510</v>
      </c>
    </row>
    <row r="26" spans="1:7" s="213" customFormat="1">
      <c r="A26" s="778"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t="e">
        <f ca="1">ROUND((C5+C19+C20)*F27*'数据-取费表'!B21/'数据-取费表'!B20,0)</f>
        <v>#DIV/0!</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1069</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937</v>
      </c>
      <c r="D34" s="216"/>
      <c r="E34" s="219"/>
      <c r="F34" s="256">
        <f ca="1">IF('数据-取费表'!B24=0,1,IF(B1="",'数据-取费表'!N16,INDIRECT("'数据-取费表'!n"&amp;$G$1)))</f>
        <v>1</v>
      </c>
      <c r="G34" s="218" t="s">
        <v>1526</v>
      </c>
    </row>
    <row r="35" spans="1:7" ht="13.5" customHeight="1">
      <c r="A35" s="778" t="s">
        <v>351</v>
      </c>
      <c r="B35" s="214" t="s">
        <v>1527</v>
      </c>
      <c r="C35" s="219">
        <f ca="1">ROUND(C34*F35,0)</f>
        <v>47</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66</v>
      </c>
      <c r="D37" s="216">
        <f ca="1">D19</f>
        <v>3313.6</v>
      </c>
      <c r="E37" s="248">
        <f>'数据-取费表'!B35</f>
        <v>200</v>
      </c>
      <c r="F37" s="258"/>
      <c r="G37" s="260" t="s">
        <v>1532</v>
      </c>
    </row>
    <row r="38" spans="1:7" ht="13.5" customHeight="1">
      <c r="A38" s="778" t="s">
        <v>354</v>
      </c>
      <c r="B38" s="214" t="s">
        <v>1533</v>
      </c>
      <c r="C38" s="219">
        <f ca="1">ROUND(C34*F38,0)</f>
        <v>19</v>
      </c>
      <c r="D38" s="219"/>
      <c r="E38" s="219"/>
      <c r="F38" s="258">
        <f>'数据-取费表'!B36</f>
        <v>0.02</v>
      </c>
      <c r="G38" s="218" t="s">
        <v>1528</v>
      </c>
    </row>
    <row r="39" spans="1:7" s="213" customFormat="1" ht="13.5" customHeight="1">
      <c r="A39" s="254" t="s">
        <v>1534</v>
      </c>
      <c r="B39" s="209" t="s">
        <v>1535</v>
      </c>
      <c r="C39" s="231">
        <f ca="1">ROUND(C33*F20,0)</f>
        <v>21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16</v>
      </c>
      <c r="D41" s="234">
        <f ca="1">C44</f>
        <v>2.9999999999999997E-4</v>
      </c>
      <c r="E41" s="235" t="s">
        <v>1539</v>
      </c>
      <c r="F41" s="236">
        <f ca="1">F22</f>
        <v>3.0000000000000002E-2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16</v>
      </c>
      <c r="D42" s="237"/>
      <c r="E42" s="237"/>
      <c r="F42" s="238"/>
      <c r="G42" s="3716" t="s">
        <v>1544</v>
      </c>
    </row>
    <row r="43" spans="1:7" ht="13.5" customHeight="1">
      <c r="A43" s="778" t="s">
        <v>347</v>
      </c>
      <c r="B43" s="214" t="s">
        <v>1545</v>
      </c>
      <c r="C43" s="237">
        <f ca="1">ROUND(IF('数据-取费表'!B22&lt;=1,C39*F22*'数据-取费表'!B21/2,C39*(POWER((1+F22),'数据-取费表'!B21/2)-1)),0)</f>
        <v>0</v>
      </c>
      <c r="D43" s="237"/>
      <c r="E43" s="237"/>
      <c r="F43" s="238"/>
      <c r="G43" s="3717"/>
    </row>
    <row r="44" spans="1:7" ht="13.5" customHeight="1">
      <c r="A44" s="778" t="s">
        <v>348</v>
      </c>
      <c r="B44" s="214" t="s">
        <v>1546</v>
      </c>
      <c r="C44" s="237">
        <f ca="1">ROUND(IF('数据-取费表'!B22&lt;=1,C40*F22*'数据-取费表'!B21/2,C40*(POWER((1+F22),'数据-取费表'!B21/2)-1)),4)</f>
        <v>2.9999999999999997E-4</v>
      </c>
      <c r="D44" s="237"/>
      <c r="E44" s="237"/>
      <c r="F44" s="238"/>
      <c r="G44" s="3718"/>
    </row>
    <row r="45" spans="1:7" s="213" customFormat="1" ht="13.5" customHeight="1">
      <c r="A45" s="254" t="s">
        <v>1547</v>
      </c>
      <c r="B45" s="243" t="s">
        <v>1513</v>
      </c>
      <c r="C45" s="244">
        <f ca="1">C46</f>
        <v>164</v>
      </c>
      <c r="D45" s="234">
        <f ca="1">C47</f>
        <v>3.0000000000000001E-3</v>
      </c>
      <c r="E45" s="235" t="s">
        <v>1539</v>
      </c>
      <c r="F45" s="245">
        <f ca="1">F27</f>
        <v>0.15</v>
      </c>
      <c r="G45" s="246" t="s">
        <v>1548</v>
      </c>
    </row>
    <row r="46" spans="1:7" s="213" customFormat="1" ht="13.5" customHeight="1">
      <c r="A46" s="778" t="s">
        <v>346</v>
      </c>
      <c r="B46" s="247" t="s">
        <v>1549</v>
      </c>
      <c r="C46" s="248">
        <f ca="1">ROUND((C33+C39)*F27,0)</f>
        <v>164</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1375</v>
      </c>
      <c r="D49" s="231"/>
      <c r="E49" s="231"/>
      <c r="F49" s="263"/>
      <c r="G49" s="233" t="s">
        <v>1554</v>
      </c>
    </row>
    <row r="50" spans="1:7" s="257" customFormat="1" ht="24">
      <c r="A50" s="254" t="s">
        <v>1555</v>
      </c>
      <c r="B50" s="209" t="s">
        <v>1556</v>
      </c>
      <c r="C50" s="231"/>
      <c r="D50" s="231"/>
      <c r="E50" s="231"/>
      <c r="F50" s="263">
        <f>IF('数据-取费表'!B24=0,'数据-取费表'!N16,1)</f>
        <v>0.7</v>
      </c>
      <c r="G50" s="246" t="s">
        <v>1557</v>
      </c>
    </row>
    <row r="51" spans="1:7" ht="16.5" customHeight="1">
      <c r="A51" s="254" t="s">
        <v>1558</v>
      </c>
      <c r="B51" s="209" t="s">
        <v>1559</v>
      </c>
      <c r="C51" s="231">
        <f ca="1">ROUND(C49*F50,0)</f>
        <v>963</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9" t="str">
        <f>项目基本情况!B1</f>
        <v>北京市房地产抵押价值预评估</v>
      </c>
      <c r="C37" s="3529"/>
      <c r="D37" s="3529"/>
      <c r="E37" s="3529"/>
      <c r="F37" s="3529"/>
      <c r="G37" s="3529"/>
      <c r="H37" s="3529"/>
      <c r="I37" s="352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zoomScaleSheetLayoutView="90" workbookViewId="0">
      <selection activeCell="G27" sqref="G2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3417</v>
      </c>
      <c r="F1" s="1877" t="s">
        <v>3414</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6139.3899000000001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22921</v>
      </c>
      <c r="C3" s="353" t="s">
        <v>1768</v>
      </c>
      <c r="D3" s="352">
        <f>IF(D1="",'数据-汇总表'!E3,SUMIF('数据-汇总表'!$C19:$C33,D1,'数据-汇总表'!$E19:$E33))</f>
        <v>2678.5</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41" t="s">
        <v>1770</v>
      </c>
      <c r="D4" s="3742"/>
      <c r="E4" s="3743" t="s">
        <v>1771</v>
      </c>
      <c r="F4" s="3744"/>
      <c r="G4" s="3741" t="s">
        <v>1772</v>
      </c>
      <c r="H4" s="3742"/>
      <c r="I4" s="3741" t="s">
        <v>1773</v>
      </c>
      <c r="J4" s="3742"/>
      <c r="K4" s="558" t="s">
        <v>1774</v>
      </c>
      <c r="L4" s="2709"/>
      <c r="M4" s="2710"/>
      <c r="N4" s="2710"/>
      <c r="O4" s="2710"/>
      <c r="P4" s="3745" t="s">
        <v>1775</v>
      </c>
      <c r="Q4" s="3746"/>
      <c r="R4" s="3724" t="s">
        <v>1771</v>
      </c>
      <c r="S4" s="3725"/>
      <c r="T4" s="3724" t="s">
        <v>1772</v>
      </c>
      <c r="U4" s="3725"/>
      <c r="V4" s="3753" t="s">
        <v>1773</v>
      </c>
      <c r="W4" s="3753"/>
      <c r="X4" s="1956"/>
      <c r="Y4" s="3724" t="s">
        <v>1775</v>
      </c>
      <c r="Z4" s="3725"/>
      <c r="AA4" s="3719" t="s">
        <v>1771</v>
      </c>
      <c r="AB4" s="3719" t="s">
        <v>1772</v>
      </c>
      <c r="AC4" s="3738" t="s">
        <v>1773</v>
      </c>
    </row>
    <row r="5" spans="1:29" ht="15">
      <c r="A5" s="357"/>
      <c r="B5" s="358"/>
      <c r="C5" s="3730" t="s">
        <v>3551</v>
      </c>
      <c r="D5" s="3731"/>
      <c r="E5" s="3728" t="s">
        <v>3552</v>
      </c>
      <c r="F5" s="3729"/>
      <c r="G5" s="3730" t="s">
        <v>3552</v>
      </c>
      <c r="H5" s="3731"/>
      <c r="I5" s="3730" t="s">
        <v>3553</v>
      </c>
      <c r="J5" s="3731"/>
      <c r="K5" s="558"/>
      <c r="L5" s="2709"/>
      <c r="M5" s="2710"/>
      <c r="N5" s="2710"/>
      <c r="O5" s="2710"/>
      <c r="P5" s="3747"/>
      <c r="Q5" s="3748"/>
      <c r="R5" s="3726"/>
      <c r="S5" s="3727"/>
      <c r="T5" s="3726"/>
      <c r="U5" s="3727"/>
      <c r="V5" s="3754"/>
      <c r="W5" s="3754"/>
      <c r="X5" s="1353"/>
      <c r="Y5" s="3726"/>
      <c r="Z5" s="3727"/>
      <c r="AA5" s="3720"/>
      <c r="AB5" s="3720"/>
      <c r="AC5" s="3739"/>
    </row>
    <row r="6" spans="1:29" ht="15.75" thickBot="1">
      <c r="A6" s="359"/>
      <c r="B6" s="360"/>
      <c r="C6" s="3732"/>
      <c r="D6" s="3733"/>
      <c r="E6" s="3734"/>
      <c r="F6" s="3735"/>
      <c r="G6" s="3736" t="s">
        <v>1677</v>
      </c>
      <c r="H6" s="3733"/>
      <c r="I6" s="3736" t="s">
        <v>1677</v>
      </c>
      <c r="J6" s="3733"/>
      <c r="K6" s="558" t="s">
        <v>1678</v>
      </c>
      <c r="L6" s="2709"/>
      <c r="M6" s="2710"/>
      <c r="N6" s="2710"/>
      <c r="O6" s="2710"/>
      <c r="P6" s="3749"/>
      <c r="Q6" s="3750"/>
      <c r="R6" s="3726"/>
      <c r="S6" s="3727"/>
      <c r="T6" s="3751"/>
      <c r="U6" s="3752"/>
      <c r="V6" s="3754"/>
      <c r="W6" s="3754"/>
      <c r="X6" s="1353"/>
      <c r="Y6" s="3751"/>
      <c r="Z6" s="3752"/>
      <c r="AA6" s="3721"/>
      <c r="AB6" s="3721"/>
      <c r="AC6" s="3740"/>
    </row>
    <row r="7" spans="1:29" s="107" customFormat="1" ht="15.75" thickBot="1">
      <c r="A7" s="361" t="s">
        <v>1679</v>
      </c>
      <c r="B7" s="362"/>
      <c r="C7" s="363">
        <f>'数据-取费表'!B2</f>
        <v>45896</v>
      </c>
      <c r="D7" s="364">
        <v>100</v>
      </c>
      <c r="E7" s="365">
        <f>C7</f>
        <v>45896</v>
      </c>
      <c r="F7" s="366">
        <f>SUMIF(59:59,YEAR(E7)&amp;"-"&amp;MONTH(E7),60:60)</f>
        <v>100</v>
      </c>
      <c r="G7" s="365">
        <f>C7</f>
        <v>45896</v>
      </c>
      <c r="H7" s="364">
        <f>SUMIF(59:59,YEAR(G7)&amp;"-"&amp;MONTH(G7),60:60)</f>
        <v>100</v>
      </c>
      <c r="I7" s="365">
        <f>C7</f>
        <v>45896</v>
      </c>
      <c r="J7" s="364">
        <f>SUMIF(59:59,YEAR(I7)&amp;"-"&amp;MONTH(I7),60:60)</f>
        <v>100</v>
      </c>
      <c r="K7" s="559"/>
      <c r="L7" s="2711"/>
      <c r="M7" s="2712"/>
      <c r="N7" s="2712"/>
      <c r="O7" s="2712"/>
      <c r="P7" s="3755" t="s">
        <v>1680</v>
      </c>
      <c r="Q7" s="3756"/>
      <c r="R7" s="699" t="s">
        <v>14</v>
      </c>
      <c r="S7" s="700">
        <f t="shared" ref="S7:S15" si="0">F7</f>
        <v>100</v>
      </c>
      <c r="T7" s="699" t="s">
        <v>14</v>
      </c>
      <c r="U7" s="700">
        <f t="shared" ref="U7:U15" si="1">H7</f>
        <v>100</v>
      </c>
      <c r="V7" s="699" t="s">
        <v>14</v>
      </c>
      <c r="W7" s="700">
        <f t="shared" ref="W7:W15" si="2">J7</f>
        <v>100</v>
      </c>
      <c r="X7" s="701"/>
      <c r="Y7" s="3722" t="s">
        <v>1680</v>
      </c>
      <c r="Z7" s="3723"/>
      <c r="AA7" s="702">
        <f>D7/F7</f>
        <v>1</v>
      </c>
      <c r="AB7" s="702">
        <f>D7/H7</f>
        <v>1</v>
      </c>
      <c r="AC7" s="1957">
        <f>D7/J7</f>
        <v>1</v>
      </c>
    </row>
    <row r="8" spans="1:29" s="107" customFormat="1" ht="15.75" thickBot="1">
      <c r="A8" s="361" t="s">
        <v>1681</v>
      </c>
      <c r="B8" s="362"/>
      <c r="C8" s="367" t="s">
        <v>3421</v>
      </c>
      <c r="D8" s="364">
        <v>100</v>
      </c>
      <c r="E8" s="367" t="s">
        <v>3422</v>
      </c>
      <c r="F8" s="366">
        <f>SUMIF(62:62,E8,63:63)-SUMIF(62:62,C8,63:63)+100</f>
        <v>103</v>
      </c>
      <c r="G8" s="367" t="s">
        <v>3422</v>
      </c>
      <c r="H8" s="364">
        <f>SUMIF(62:62,G8,63:63)-SUMIF(62:62,C8,63:63)+100</f>
        <v>103</v>
      </c>
      <c r="I8" s="367" t="s">
        <v>3422</v>
      </c>
      <c r="J8" s="364">
        <f>SUMIF(62:62,I8,63:63)-SUMIF(62:62,C8,63:63)+100</f>
        <v>103</v>
      </c>
      <c r="K8" s="559"/>
      <c r="L8" s="2711"/>
      <c r="M8" s="2712"/>
      <c r="N8" s="2712"/>
      <c r="O8" s="2712"/>
      <c r="P8" s="3755" t="s">
        <v>1683</v>
      </c>
      <c r="Q8" s="3723"/>
      <c r="R8" s="699" t="s">
        <v>14</v>
      </c>
      <c r="S8" s="700">
        <f t="shared" si="0"/>
        <v>103</v>
      </c>
      <c r="T8" s="699" t="s">
        <v>14</v>
      </c>
      <c r="U8" s="700">
        <f t="shared" si="1"/>
        <v>103</v>
      </c>
      <c r="V8" s="699" t="s">
        <v>14</v>
      </c>
      <c r="W8" s="700">
        <f t="shared" si="2"/>
        <v>103</v>
      </c>
      <c r="X8" s="701"/>
      <c r="Y8" s="3722" t="s">
        <v>1683</v>
      </c>
      <c r="Z8" s="3723"/>
      <c r="AA8" s="702">
        <f t="shared" ref="AA8:AA47" si="3">D8/F8</f>
        <v>0.970873786407767</v>
      </c>
      <c r="AB8" s="702">
        <f t="shared" ref="AB8:AB47" si="4">D8/H8</f>
        <v>0.970873786407767</v>
      </c>
      <c r="AC8" s="1957">
        <f t="shared" ref="AC8:AC47" si="5">D8/J8</f>
        <v>0.970873786407767</v>
      </c>
    </row>
    <row r="9" spans="1:29" s="107" customFormat="1" ht="15">
      <c r="A9" s="368" t="s">
        <v>1684</v>
      </c>
      <c r="B9" s="63" t="s">
        <v>1685</v>
      </c>
      <c r="C9" s="3476" t="s">
        <v>3556</v>
      </c>
      <c r="D9" s="125">
        <v>100</v>
      </c>
      <c r="E9" s="372" t="s">
        <v>21</v>
      </c>
      <c r="F9" s="125">
        <f>SUMIF(64:64,E9,65:65)-SUMIF(64:64,C9,65:65)+100</f>
        <v>102</v>
      </c>
      <c r="G9" s="372" t="s">
        <v>21</v>
      </c>
      <c r="H9" s="125">
        <f>SUMIF(64:64,G9,65:65)-SUMIF(64:64,C9,65:65)+100</f>
        <v>102</v>
      </c>
      <c r="I9" s="372" t="s">
        <v>21</v>
      </c>
      <c r="J9" s="125">
        <f>SUMIF(64:64,I9,65:65)-SUMIF(64:64,C9,65:65)+100</f>
        <v>102</v>
      </c>
      <c r="K9" s="559"/>
      <c r="L9" s="2711"/>
      <c r="M9" s="2712"/>
      <c r="N9" s="2712"/>
      <c r="O9" s="2712"/>
      <c r="P9" s="3737" t="s">
        <v>1686</v>
      </c>
      <c r="Q9" s="1341" t="str">
        <f t="shared" ref="Q9:Q15" si="6">B9</f>
        <v>用途</v>
      </c>
      <c r="R9" s="699" t="s">
        <v>14</v>
      </c>
      <c r="S9" s="700">
        <f t="shared" si="0"/>
        <v>102</v>
      </c>
      <c r="T9" s="699" t="s">
        <v>14</v>
      </c>
      <c r="U9" s="700">
        <f t="shared" si="1"/>
        <v>102</v>
      </c>
      <c r="V9" s="699" t="s">
        <v>14</v>
      </c>
      <c r="W9" s="700">
        <f t="shared" si="2"/>
        <v>102</v>
      </c>
      <c r="X9" s="701"/>
      <c r="Y9" s="3688" t="s">
        <v>1687</v>
      </c>
      <c r="Z9" s="52" t="str">
        <f t="shared" ref="Z9:Z15" si="7">Q9</f>
        <v>用途</v>
      </c>
      <c r="AA9" s="702">
        <f t="shared" si="3"/>
        <v>0.98039215686274506</v>
      </c>
      <c r="AB9" s="702">
        <f t="shared" si="4"/>
        <v>0.98039215686274506</v>
      </c>
      <c r="AC9" s="1957">
        <f t="shared" si="5"/>
        <v>0.98039215686274506</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37"/>
      <c r="Q10" s="1341" t="str">
        <f t="shared" si="6"/>
        <v>土地使用年限（年）</v>
      </c>
      <c r="R10" s="699" t="s">
        <v>14</v>
      </c>
      <c r="S10" s="700">
        <f t="shared" si="0"/>
        <v>100</v>
      </c>
      <c r="T10" s="699" t="s">
        <v>14</v>
      </c>
      <c r="U10" s="700">
        <f t="shared" si="1"/>
        <v>100</v>
      </c>
      <c r="V10" s="699" t="s">
        <v>14</v>
      </c>
      <c r="W10" s="700">
        <f t="shared" si="2"/>
        <v>100</v>
      </c>
      <c r="X10" s="701"/>
      <c r="Y10" s="3688"/>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37"/>
      <c r="Q11" s="1341" t="str">
        <f t="shared" si="6"/>
        <v>容积率</v>
      </c>
      <c r="R11" s="699" t="s">
        <v>14</v>
      </c>
      <c r="S11" s="700">
        <f t="shared" si="0"/>
        <v>100</v>
      </c>
      <c r="T11" s="699" t="s">
        <v>14</v>
      </c>
      <c r="U11" s="700">
        <f t="shared" si="1"/>
        <v>100</v>
      </c>
      <c r="V11" s="699" t="s">
        <v>14</v>
      </c>
      <c r="W11" s="700">
        <f t="shared" si="2"/>
        <v>100</v>
      </c>
      <c r="X11" s="701"/>
      <c r="Y11" s="3688"/>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37"/>
      <c r="Q12" s="1341">
        <f t="shared" si="6"/>
        <v>111</v>
      </c>
      <c r="R12" s="699" t="s">
        <v>14</v>
      </c>
      <c r="S12" s="700">
        <f t="shared" si="0"/>
        <v>100</v>
      </c>
      <c r="T12" s="699" t="s">
        <v>14</v>
      </c>
      <c r="U12" s="700">
        <f t="shared" si="1"/>
        <v>100</v>
      </c>
      <c r="V12" s="699" t="s">
        <v>14</v>
      </c>
      <c r="W12" s="700">
        <f t="shared" si="2"/>
        <v>100</v>
      </c>
      <c r="X12" s="701"/>
      <c r="Y12" s="3688"/>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37"/>
      <c r="Q13" s="1341">
        <f t="shared" si="6"/>
        <v>111</v>
      </c>
      <c r="R13" s="699" t="s">
        <v>14</v>
      </c>
      <c r="S13" s="700">
        <f t="shared" si="0"/>
        <v>100</v>
      </c>
      <c r="T13" s="699" t="s">
        <v>14</v>
      </c>
      <c r="U13" s="700">
        <f t="shared" si="1"/>
        <v>100</v>
      </c>
      <c r="V13" s="699" t="s">
        <v>14</v>
      </c>
      <c r="W13" s="700">
        <f t="shared" si="2"/>
        <v>100</v>
      </c>
      <c r="X13" s="701"/>
      <c r="Y13" s="3688"/>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37"/>
      <c r="Q14" s="1341">
        <f t="shared" si="6"/>
        <v>111</v>
      </c>
      <c r="R14" s="699" t="s">
        <v>14</v>
      </c>
      <c r="S14" s="700">
        <f t="shared" si="0"/>
        <v>100</v>
      </c>
      <c r="T14" s="699" t="s">
        <v>14</v>
      </c>
      <c r="U14" s="700">
        <f t="shared" si="1"/>
        <v>100</v>
      </c>
      <c r="V14" s="699" t="s">
        <v>14</v>
      </c>
      <c r="W14" s="700">
        <f t="shared" si="2"/>
        <v>100</v>
      </c>
      <c r="X14" s="701"/>
      <c r="Y14" s="3688"/>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57" t="s">
        <v>1691</v>
      </c>
      <c r="Q15" s="1350" t="str">
        <f t="shared" si="6"/>
        <v>办公集聚程度</v>
      </c>
      <c r="R15" s="703" t="s">
        <v>14</v>
      </c>
      <c r="S15" s="704">
        <f t="shared" si="0"/>
        <v>100</v>
      </c>
      <c r="T15" s="703" t="s">
        <v>14</v>
      </c>
      <c r="U15" s="704">
        <f t="shared" si="1"/>
        <v>100</v>
      </c>
      <c r="V15" s="703" t="s">
        <v>14</v>
      </c>
      <c r="W15" s="704">
        <f t="shared" si="2"/>
        <v>100</v>
      </c>
      <c r="X15" s="1353"/>
      <c r="Y15" s="3759" t="s">
        <v>1691</v>
      </c>
      <c r="Z15" s="1354" t="str">
        <f t="shared" si="7"/>
        <v>办公集聚程度</v>
      </c>
      <c r="AA15" s="1351">
        <f t="shared" si="3"/>
        <v>1</v>
      </c>
      <c r="AB15" s="1351">
        <f t="shared" si="4"/>
        <v>1</v>
      </c>
      <c r="AC15" s="1960">
        <f t="shared" si="5"/>
        <v>1</v>
      </c>
    </row>
    <row r="16" spans="1:29" ht="15">
      <c r="A16" s="378"/>
      <c r="B16" s="577"/>
      <c r="C16" s="1902" t="s">
        <v>3407</v>
      </c>
      <c r="D16" s="398"/>
      <c r="E16" s="1902" t="s">
        <v>3407</v>
      </c>
      <c r="F16" s="398"/>
      <c r="G16" s="1902" t="s">
        <v>3407</v>
      </c>
      <c r="H16" s="400"/>
      <c r="I16" s="1902" t="s">
        <v>3407</v>
      </c>
      <c r="J16" s="398"/>
      <c r="K16" s="563"/>
      <c r="L16" s="2716"/>
      <c r="M16" s="2710"/>
      <c r="N16" s="2710"/>
      <c r="O16" s="2710"/>
      <c r="P16" s="3758"/>
      <c r="Q16" s="1350"/>
      <c r="R16" s="703"/>
      <c r="S16" s="704"/>
      <c r="T16" s="703"/>
      <c r="U16" s="704"/>
      <c r="V16" s="703"/>
      <c r="W16" s="704"/>
      <c r="X16" s="1353"/>
      <c r="Y16" s="3760"/>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58"/>
      <c r="Q17" s="1350" t="str">
        <f>B17</f>
        <v>交通便捷度</v>
      </c>
      <c r="R17" s="703" t="s">
        <v>14</v>
      </c>
      <c r="S17" s="704">
        <f>F17</f>
        <v>100</v>
      </c>
      <c r="T17" s="703" t="s">
        <v>14</v>
      </c>
      <c r="U17" s="704">
        <f>H17</f>
        <v>100</v>
      </c>
      <c r="V17" s="703" t="s">
        <v>14</v>
      </c>
      <c r="W17" s="704">
        <f>J17</f>
        <v>100</v>
      </c>
      <c r="X17" s="1353"/>
      <c r="Y17" s="3760"/>
      <c r="Z17" s="1354" t="str">
        <f>Q17</f>
        <v>交通便捷度</v>
      </c>
      <c r="AA17" s="1351">
        <f t="shared" si="3"/>
        <v>1</v>
      </c>
      <c r="AB17" s="1351">
        <f t="shared" si="4"/>
        <v>1</v>
      </c>
      <c r="AC17" s="1960">
        <f t="shared" si="5"/>
        <v>1</v>
      </c>
    </row>
    <row r="18" spans="1:29" ht="15">
      <c r="A18" s="378"/>
      <c r="B18" s="579"/>
      <c r="C18" s="1902" t="s">
        <v>3407</v>
      </c>
      <c r="D18" s="400"/>
      <c r="E18" s="1902" t="s">
        <v>3407</v>
      </c>
      <c r="F18" s="400"/>
      <c r="G18" s="1902" t="s">
        <v>3407</v>
      </c>
      <c r="H18" s="398"/>
      <c r="I18" s="1902" t="s">
        <v>3407</v>
      </c>
      <c r="J18" s="398"/>
      <c r="K18" s="563"/>
      <c r="L18" s="2716"/>
      <c r="M18" s="2710"/>
      <c r="N18" s="2710"/>
      <c r="O18" s="2710"/>
      <c r="P18" s="3758"/>
      <c r="Q18" s="1350"/>
      <c r="R18" s="703"/>
      <c r="S18" s="704"/>
      <c r="T18" s="703"/>
      <c r="U18" s="704"/>
      <c r="V18" s="703"/>
      <c r="W18" s="704"/>
      <c r="X18" s="1353"/>
      <c r="Y18" s="3760"/>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58"/>
      <c r="Q19" s="1350" t="str">
        <f>B19</f>
        <v>公共配套设施</v>
      </c>
      <c r="R19" s="703" t="s">
        <v>14</v>
      </c>
      <c r="S19" s="704">
        <f>F19</f>
        <v>100</v>
      </c>
      <c r="T19" s="703" t="s">
        <v>14</v>
      </c>
      <c r="U19" s="704">
        <f>H19</f>
        <v>100</v>
      </c>
      <c r="V19" s="703" t="s">
        <v>14</v>
      </c>
      <c r="W19" s="704">
        <f>J19</f>
        <v>100</v>
      </c>
      <c r="X19" s="1353"/>
      <c r="Y19" s="3760"/>
      <c r="Z19" s="1354" t="str">
        <f>Q19</f>
        <v>公共配套设施</v>
      </c>
      <c r="AA19" s="1351">
        <f t="shared" si="3"/>
        <v>1</v>
      </c>
      <c r="AB19" s="1351">
        <f t="shared" si="4"/>
        <v>1</v>
      </c>
      <c r="AC19" s="1960">
        <f t="shared" si="5"/>
        <v>1</v>
      </c>
    </row>
    <row r="20" spans="1:29" ht="15">
      <c r="A20" s="378"/>
      <c r="B20" s="579"/>
      <c r="C20" s="1902" t="s">
        <v>3407</v>
      </c>
      <c r="D20" s="398"/>
      <c r="E20" s="1902" t="s">
        <v>3407</v>
      </c>
      <c r="F20" s="398"/>
      <c r="G20" s="1902" t="s">
        <v>3407</v>
      </c>
      <c r="H20" s="398"/>
      <c r="I20" s="1902" t="s">
        <v>3407</v>
      </c>
      <c r="J20" s="398"/>
      <c r="K20" s="563"/>
      <c r="L20" s="2716"/>
      <c r="M20" s="2710"/>
      <c r="N20" s="2710"/>
      <c r="O20" s="2710"/>
      <c r="P20" s="3758"/>
      <c r="Q20" s="1350"/>
      <c r="R20" s="703"/>
      <c r="S20" s="704"/>
      <c r="T20" s="703"/>
      <c r="U20" s="704"/>
      <c r="V20" s="703"/>
      <c r="W20" s="704"/>
      <c r="X20" s="1353"/>
      <c r="Y20" s="3760"/>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58"/>
      <c r="Q21" s="1350" t="str">
        <f>B21</f>
        <v>基础设施水平</v>
      </c>
      <c r="R21" s="703" t="s">
        <v>14</v>
      </c>
      <c r="S21" s="704">
        <f>F21</f>
        <v>100</v>
      </c>
      <c r="T21" s="703" t="s">
        <v>14</v>
      </c>
      <c r="U21" s="704">
        <f>H21</f>
        <v>100</v>
      </c>
      <c r="V21" s="703" t="s">
        <v>14</v>
      </c>
      <c r="W21" s="704">
        <f>J21</f>
        <v>100</v>
      </c>
      <c r="X21" s="1353"/>
      <c r="Y21" s="3760"/>
      <c r="Z21" s="1354" t="str">
        <f>Q21</f>
        <v>基础设施水平</v>
      </c>
      <c r="AA21" s="1351">
        <f t="shared" ref="AA21" si="8">D21/F21</f>
        <v>1</v>
      </c>
      <c r="AB21" s="1351">
        <f t="shared" ref="AB21" si="9">D21/H21</f>
        <v>1</v>
      </c>
      <c r="AC21" s="1960">
        <f t="shared" ref="AC21" si="10">D21/J21</f>
        <v>1</v>
      </c>
    </row>
    <row r="22" spans="1:29" ht="15">
      <c r="A22" s="378"/>
      <c r="B22" s="580"/>
      <c r="C22" s="1962" t="s">
        <v>3454</v>
      </c>
      <c r="D22" s="398"/>
      <c r="E22" s="1962" t="s">
        <v>3454</v>
      </c>
      <c r="F22" s="398"/>
      <c r="G22" s="1962" t="s">
        <v>3454</v>
      </c>
      <c r="H22" s="398"/>
      <c r="I22" s="1962" t="s">
        <v>3454</v>
      </c>
      <c r="J22" s="398"/>
      <c r="K22" s="1128"/>
      <c r="L22" s="2716"/>
      <c r="M22" s="2710"/>
      <c r="N22" s="2710"/>
      <c r="O22" s="2710"/>
      <c r="P22" s="3758"/>
      <c r="Q22" s="1350"/>
      <c r="R22" s="703"/>
      <c r="S22" s="704"/>
      <c r="T22" s="703"/>
      <c r="U22" s="704"/>
      <c r="V22" s="703"/>
      <c r="W22" s="704"/>
      <c r="X22" s="1353"/>
      <c r="Y22" s="3760"/>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58"/>
      <c r="Q23" s="1350" t="str">
        <f>B23</f>
        <v>环境质量</v>
      </c>
      <c r="R23" s="703" t="s">
        <v>14</v>
      </c>
      <c r="S23" s="704">
        <f>F23</f>
        <v>100</v>
      </c>
      <c r="T23" s="703" t="s">
        <v>14</v>
      </c>
      <c r="U23" s="704">
        <f>H23</f>
        <v>100</v>
      </c>
      <c r="V23" s="703" t="s">
        <v>14</v>
      </c>
      <c r="W23" s="704">
        <f>J23</f>
        <v>100</v>
      </c>
      <c r="X23" s="1353"/>
      <c r="Y23" s="3760"/>
      <c r="Z23" s="1354" t="str">
        <f>Q23</f>
        <v>环境质量</v>
      </c>
      <c r="AA23" s="1351">
        <f t="shared" si="3"/>
        <v>1</v>
      </c>
      <c r="AB23" s="1351">
        <f t="shared" si="4"/>
        <v>1</v>
      </c>
      <c r="AC23" s="1960">
        <f t="shared" si="5"/>
        <v>1</v>
      </c>
    </row>
    <row r="24" spans="1:29" ht="15">
      <c r="A24" s="378"/>
      <c r="B24" s="580"/>
      <c r="C24" s="1902" t="s">
        <v>3407</v>
      </c>
      <c r="D24" s="398"/>
      <c r="E24" s="1902" t="s">
        <v>3407</v>
      </c>
      <c r="F24" s="398"/>
      <c r="G24" s="1902" t="s">
        <v>3407</v>
      </c>
      <c r="H24" s="398"/>
      <c r="I24" s="1902" t="s">
        <v>3407</v>
      </c>
      <c r="J24" s="398"/>
      <c r="K24" s="563"/>
      <c r="L24" s="2716"/>
      <c r="M24" s="2710"/>
      <c r="N24" s="2710"/>
      <c r="O24" s="2710"/>
      <c r="P24" s="3758"/>
      <c r="Q24" s="1350"/>
      <c r="R24" s="703"/>
      <c r="S24" s="704"/>
      <c r="T24" s="703"/>
      <c r="U24" s="704"/>
      <c r="V24" s="703"/>
      <c r="W24" s="704"/>
      <c r="X24" s="1353"/>
      <c r="Y24" s="3760"/>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58"/>
      <c r="Q25" s="1350" t="str">
        <f>B25</f>
        <v>毗邻道路的类型与等级</v>
      </c>
      <c r="R25" s="703" t="s">
        <v>14</v>
      </c>
      <c r="S25" s="704">
        <f>F25</f>
        <v>100</v>
      </c>
      <c r="T25" s="703" t="s">
        <v>14</v>
      </c>
      <c r="U25" s="704">
        <f>H25</f>
        <v>100</v>
      </c>
      <c r="V25" s="703" t="s">
        <v>14</v>
      </c>
      <c r="W25" s="704">
        <f>J25</f>
        <v>100</v>
      </c>
      <c r="X25" s="1353"/>
      <c r="Y25" s="3760"/>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58"/>
      <c r="Q26" s="1350"/>
      <c r="R26" s="703"/>
      <c r="S26" s="704"/>
      <c r="T26" s="703"/>
      <c r="U26" s="704"/>
      <c r="V26" s="703"/>
      <c r="W26" s="704"/>
      <c r="X26" s="1353"/>
      <c r="Y26" s="3760"/>
      <c r="Z26" s="1354"/>
      <c r="AA26" s="1351">
        <v>1</v>
      </c>
      <c r="AB26" s="1351">
        <v>1</v>
      </c>
      <c r="AC26" s="1960">
        <v>1</v>
      </c>
    </row>
    <row r="27" spans="1:29" ht="15">
      <c r="A27" s="378"/>
      <c r="B27" s="579" t="s">
        <v>1783</v>
      </c>
      <c r="C27" s="581" t="s">
        <v>3547</v>
      </c>
      <c r="D27" s="385">
        <v>100</v>
      </c>
      <c r="E27" s="581" t="s">
        <v>3559</v>
      </c>
      <c r="F27" s="385">
        <f>SUMIF(89:89,E27,90:90)-SUMIF(89:89,C27,90:90)+100</f>
        <v>97</v>
      </c>
      <c r="G27" s="581" t="s">
        <v>3559</v>
      </c>
      <c r="H27" s="385">
        <f>SUMIF(89:89,G27,90:90)-SUMIF(89:89,C27,90:90)+100</f>
        <v>97</v>
      </c>
      <c r="I27" s="581" t="s">
        <v>3550</v>
      </c>
      <c r="J27" s="385">
        <f>SUMIF(89:89,I27,90:90)-SUMIF(89:89,C27,90:90)+100</f>
        <v>103</v>
      </c>
      <c r="K27" s="560">
        <v>3</v>
      </c>
      <c r="L27" s="2716"/>
      <c r="M27" s="2710"/>
      <c r="N27" s="2710"/>
      <c r="O27" s="2710"/>
      <c r="P27" s="3758"/>
      <c r="Q27" s="1350" t="str">
        <f t="shared" ref="Q27:Q47" si="11">B27</f>
        <v>楼层</v>
      </c>
      <c r="R27" s="703" t="s">
        <v>14</v>
      </c>
      <c r="S27" s="704">
        <f>F27</f>
        <v>97</v>
      </c>
      <c r="T27" s="703" t="s">
        <v>14</v>
      </c>
      <c r="U27" s="704">
        <f>H27</f>
        <v>97</v>
      </c>
      <c r="V27" s="703" t="s">
        <v>14</v>
      </c>
      <c r="W27" s="704">
        <f>J27</f>
        <v>103</v>
      </c>
      <c r="X27" s="1353"/>
      <c r="Y27" s="3760"/>
      <c r="Z27" s="1354" t="str">
        <f>Q27</f>
        <v>楼层</v>
      </c>
      <c r="AA27" s="1351">
        <f t="shared" si="3"/>
        <v>1.0309278350515463</v>
      </c>
      <c r="AB27" s="1351">
        <f t="shared" si="4"/>
        <v>1.0309278350515463</v>
      </c>
      <c r="AC27" s="1960">
        <f t="shared" si="5"/>
        <v>0.970873786407767</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58"/>
      <c r="Q28" s="1341" t="str">
        <f t="shared" si="11"/>
        <v>朝向</v>
      </c>
      <c r="R28" s="699" t="s">
        <v>14</v>
      </c>
      <c r="S28" s="700">
        <f>F28</f>
        <v>100</v>
      </c>
      <c r="T28" s="699" t="s">
        <v>14</v>
      </c>
      <c r="U28" s="700">
        <f>H28</f>
        <v>100</v>
      </c>
      <c r="V28" s="699" t="s">
        <v>14</v>
      </c>
      <c r="W28" s="700">
        <f>J28</f>
        <v>100</v>
      </c>
      <c r="X28" s="701"/>
      <c r="Y28" s="3760"/>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58"/>
      <c r="Q29" s="1350">
        <f t="shared" si="11"/>
        <v>111</v>
      </c>
      <c r="R29" s="703" t="s">
        <v>14</v>
      </c>
      <c r="S29" s="704">
        <f t="shared" ref="S29:S47" si="12">F29</f>
        <v>100</v>
      </c>
      <c r="T29" s="703" t="s">
        <v>14</v>
      </c>
      <c r="U29" s="704">
        <f t="shared" ref="U29:U47" si="13">H29</f>
        <v>100</v>
      </c>
      <c r="V29" s="703" t="s">
        <v>14</v>
      </c>
      <c r="W29" s="704">
        <f t="shared" ref="W29:W47" si="14">J29</f>
        <v>100</v>
      </c>
      <c r="X29" s="1353"/>
      <c r="Y29" s="3760"/>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58"/>
      <c r="Q30" s="1350">
        <f t="shared" si="11"/>
        <v>111</v>
      </c>
      <c r="R30" s="703" t="s">
        <v>14</v>
      </c>
      <c r="S30" s="704">
        <f t="shared" si="12"/>
        <v>100</v>
      </c>
      <c r="T30" s="703" t="s">
        <v>14</v>
      </c>
      <c r="U30" s="704">
        <f t="shared" si="13"/>
        <v>100</v>
      </c>
      <c r="V30" s="703" t="s">
        <v>14</v>
      </c>
      <c r="W30" s="704">
        <f t="shared" si="14"/>
        <v>100</v>
      </c>
      <c r="X30" s="1353"/>
      <c r="Y30" s="3760"/>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58"/>
      <c r="Q31" s="1350">
        <f t="shared" si="11"/>
        <v>111</v>
      </c>
      <c r="R31" s="703" t="s">
        <v>14</v>
      </c>
      <c r="S31" s="704">
        <f t="shared" si="12"/>
        <v>100</v>
      </c>
      <c r="T31" s="703" t="s">
        <v>14</v>
      </c>
      <c r="U31" s="704">
        <f t="shared" si="13"/>
        <v>100</v>
      </c>
      <c r="V31" s="703" t="s">
        <v>14</v>
      </c>
      <c r="W31" s="704">
        <f t="shared" si="14"/>
        <v>100</v>
      </c>
      <c r="X31" s="1353"/>
      <c r="Y31" s="3760"/>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58"/>
      <c r="Q32" s="1350">
        <f t="shared" si="11"/>
        <v>111</v>
      </c>
      <c r="R32" s="703" t="s">
        <v>14</v>
      </c>
      <c r="S32" s="704">
        <f t="shared" si="12"/>
        <v>100</v>
      </c>
      <c r="T32" s="703" t="s">
        <v>14</v>
      </c>
      <c r="U32" s="704">
        <f t="shared" si="13"/>
        <v>100</v>
      </c>
      <c r="V32" s="703" t="s">
        <v>14</v>
      </c>
      <c r="W32" s="704">
        <f t="shared" si="14"/>
        <v>100</v>
      </c>
      <c r="X32" s="1353"/>
      <c r="Y32" s="3760"/>
      <c r="Z32" s="1354">
        <f t="shared" si="15"/>
        <v>111</v>
      </c>
      <c r="AA32" s="1351">
        <f t="shared" si="3"/>
        <v>1</v>
      </c>
      <c r="AB32" s="1351">
        <f t="shared" si="4"/>
        <v>1</v>
      </c>
      <c r="AC32" s="1960">
        <f t="shared" si="5"/>
        <v>1</v>
      </c>
    </row>
    <row r="33" spans="1:29" ht="15">
      <c r="A33" s="390" t="s">
        <v>1694</v>
      </c>
      <c r="B33" s="63" t="s">
        <v>1817</v>
      </c>
      <c r="C33" s="1965" t="s">
        <v>3468</v>
      </c>
      <c r="D33" s="417">
        <v>100</v>
      </c>
      <c r="E33" s="1965" t="s">
        <v>3468</v>
      </c>
      <c r="F33" s="411">
        <f>SUMIF(101:101,E33,102:102)-SUMIF(101:101,C33,102:102)+100</f>
        <v>100</v>
      </c>
      <c r="G33" s="1965" t="s">
        <v>3468</v>
      </c>
      <c r="H33" s="385">
        <f>SUMIF(101:101,G33,102:102)-SUMIF(101:101,C33,102:102)+100</f>
        <v>100</v>
      </c>
      <c r="I33" s="1965" t="s">
        <v>3468</v>
      </c>
      <c r="J33" s="417">
        <f>SUMIF(101:101,I33,102:102)-SUMIF(101:101,C33,102:102)+100</f>
        <v>100</v>
      </c>
      <c r="K33" s="560">
        <v>1</v>
      </c>
      <c r="L33" s="2716"/>
      <c r="M33" s="2710"/>
      <c r="N33" s="2710"/>
      <c r="O33" s="2710"/>
      <c r="P33" s="3761" t="s">
        <v>1696</v>
      </c>
      <c r="Q33" s="1350" t="str">
        <f t="shared" si="11"/>
        <v>建筑类型</v>
      </c>
      <c r="R33" s="703" t="s">
        <v>14</v>
      </c>
      <c r="S33" s="704">
        <f t="shared" si="12"/>
        <v>100</v>
      </c>
      <c r="T33" s="703" t="s">
        <v>14</v>
      </c>
      <c r="U33" s="704">
        <f t="shared" si="13"/>
        <v>100</v>
      </c>
      <c r="V33" s="703" t="s">
        <v>14</v>
      </c>
      <c r="W33" s="704">
        <f t="shared" si="14"/>
        <v>100</v>
      </c>
      <c r="X33" s="1353"/>
      <c r="Y33" s="3764" t="s">
        <v>1696</v>
      </c>
      <c r="Z33" s="1354" t="str">
        <f t="shared" si="15"/>
        <v>建筑类型</v>
      </c>
      <c r="AA33" s="1351">
        <f t="shared" si="3"/>
        <v>1</v>
      </c>
      <c r="AB33" s="1351">
        <f t="shared" si="4"/>
        <v>1</v>
      </c>
      <c r="AC33" s="1960">
        <f t="shared" si="5"/>
        <v>1</v>
      </c>
    </row>
    <row r="34" spans="1:29" s="421" customFormat="1" ht="15">
      <c r="A34" s="418"/>
      <c r="B34" s="374" t="s">
        <v>1697</v>
      </c>
      <c r="C34" s="419">
        <f>'数据-汇总表'!E3</f>
        <v>3313.6</v>
      </c>
      <c r="D34" s="126">
        <v>100</v>
      </c>
      <c r="E34" s="419">
        <v>239</v>
      </c>
      <c r="F34" s="375">
        <f>LOOKUP(E34,104:104,105:105)-LOOKUP(C34,104:104,105:105)+100</f>
        <v>101</v>
      </c>
      <c r="G34" s="419">
        <v>156</v>
      </c>
      <c r="H34" s="126">
        <f>LOOKUP(G34,104:104,105:105)-LOOKUP(C34,104:104,105:105)+100</f>
        <v>101</v>
      </c>
      <c r="I34" s="419">
        <v>713</v>
      </c>
      <c r="J34" s="126">
        <f>LOOKUP(I34,104:104,105:105)-LOOKUP(C34,104:104,105:105)+100</f>
        <v>101</v>
      </c>
      <c r="K34" s="561"/>
      <c r="L34" s="2715"/>
      <c r="M34" s="2717"/>
      <c r="N34" s="2717"/>
      <c r="O34" s="2717"/>
      <c r="P34" s="3762"/>
      <c r="Q34" s="705" t="str">
        <f t="shared" si="11"/>
        <v>项目建筑规模</v>
      </c>
      <c r="R34" s="706" t="s">
        <v>14</v>
      </c>
      <c r="S34" s="707">
        <f t="shared" si="12"/>
        <v>101</v>
      </c>
      <c r="T34" s="706" t="s">
        <v>14</v>
      </c>
      <c r="U34" s="707">
        <f t="shared" si="13"/>
        <v>101</v>
      </c>
      <c r="V34" s="706" t="s">
        <v>14</v>
      </c>
      <c r="W34" s="707">
        <f t="shared" si="14"/>
        <v>101</v>
      </c>
      <c r="X34" s="708"/>
      <c r="Y34" s="3764"/>
      <c r="Z34" s="709" t="str">
        <f t="shared" si="15"/>
        <v>项目建筑规模</v>
      </c>
      <c r="AA34" s="1351">
        <f t="shared" si="3"/>
        <v>0.99009900990099009</v>
      </c>
      <c r="AB34" s="1351">
        <f t="shared" si="4"/>
        <v>0.99009900990099009</v>
      </c>
      <c r="AC34" s="1960">
        <f t="shared" si="5"/>
        <v>0.99009900990099009</v>
      </c>
    </row>
    <row r="35" spans="1:29" ht="15">
      <c r="A35" s="422"/>
      <c r="B35" s="374" t="s">
        <v>1698</v>
      </c>
      <c r="C35" s="410" t="s">
        <v>3429</v>
      </c>
      <c r="D35" s="385">
        <v>100</v>
      </c>
      <c r="E35" s="410" t="s">
        <v>3429</v>
      </c>
      <c r="F35" s="411">
        <f>SUMIF(106:106,E35,107:107)-SUMIF(106:106,C35,107:107)+100</f>
        <v>100</v>
      </c>
      <c r="G35" s="410" t="s">
        <v>3429</v>
      </c>
      <c r="H35" s="385">
        <f>SUMIF(106:106,G35,107:107)-SUMIF(106:106,C35,107:107)+100</f>
        <v>100</v>
      </c>
      <c r="I35" s="410" t="s">
        <v>3429</v>
      </c>
      <c r="J35" s="385">
        <f>SUMIF(106:106,I35,107:107)-SUMIF(106:106,C35,107:107)+100</f>
        <v>100</v>
      </c>
      <c r="K35" s="560">
        <v>1</v>
      </c>
      <c r="L35" s="2716"/>
      <c r="M35" s="2710"/>
      <c r="N35" s="2710"/>
      <c r="O35" s="2710"/>
      <c r="P35" s="3762"/>
      <c r="Q35" s="1350" t="str">
        <f t="shared" si="11"/>
        <v>建筑结构</v>
      </c>
      <c r="R35" s="703" t="s">
        <v>14</v>
      </c>
      <c r="S35" s="704">
        <f t="shared" si="12"/>
        <v>100</v>
      </c>
      <c r="T35" s="703" t="s">
        <v>14</v>
      </c>
      <c r="U35" s="704">
        <f t="shared" si="13"/>
        <v>100</v>
      </c>
      <c r="V35" s="703" t="s">
        <v>14</v>
      </c>
      <c r="W35" s="704">
        <f t="shared" si="14"/>
        <v>100</v>
      </c>
      <c r="X35" s="1353"/>
      <c r="Y35" s="3764"/>
      <c r="Z35" s="1354" t="str">
        <f t="shared" si="15"/>
        <v>建筑结构</v>
      </c>
      <c r="AA35" s="1351">
        <f t="shared" si="3"/>
        <v>1</v>
      </c>
      <c r="AB35" s="1351">
        <f t="shared" si="4"/>
        <v>1</v>
      </c>
      <c r="AC35" s="1960">
        <f t="shared" si="5"/>
        <v>1</v>
      </c>
    </row>
    <row r="36" spans="1:29" ht="15">
      <c r="A36" s="422"/>
      <c r="B36" s="374" t="s">
        <v>1785</v>
      </c>
      <c r="C36" s="410" t="s">
        <v>3446</v>
      </c>
      <c r="D36" s="385">
        <v>100</v>
      </c>
      <c r="E36" s="410" t="s">
        <v>3446</v>
      </c>
      <c r="F36" s="411">
        <f>SUMIF(108:108,E36,109:109)-SUMIF(108:108,C36,109:109)+100</f>
        <v>100</v>
      </c>
      <c r="G36" s="410" t="s">
        <v>3446</v>
      </c>
      <c r="H36" s="385">
        <f>SUMIF(108:108,G36,109:109)-SUMIF(108:108,C36,109:109)+100</f>
        <v>100</v>
      </c>
      <c r="I36" s="410" t="s">
        <v>3446</v>
      </c>
      <c r="J36" s="385">
        <f>SUMIF(108:108,I36,109:109)-SUMIF(108:108,C36,109:109)+100</f>
        <v>100</v>
      </c>
      <c r="K36" s="560">
        <v>2</v>
      </c>
      <c r="L36" s="2716"/>
      <c r="M36" s="2710"/>
      <c r="N36" s="2710"/>
      <c r="O36" s="2710"/>
      <c r="P36" s="3762"/>
      <c r="Q36" s="1350" t="str">
        <f t="shared" si="11"/>
        <v>公共部分装修</v>
      </c>
      <c r="R36" s="703" t="s">
        <v>14</v>
      </c>
      <c r="S36" s="704">
        <f t="shared" si="12"/>
        <v>100</v>
      </c>
      <c r="T36" s="703" t="s">
        <v>14</v>
      </c>
      <c r="U36" s="704">
        <f t="shared" si="13"/>
        <v>100</v>
      </c>
      <c r="V36" s="703" t="s">
        <v>14</v>
      </c>
      <c r="W36" s="704">
        <f t="shared" si="14"/>
        <v>100</v>
      </c>
      <c r="X36" s="1353"/>
      <c r="Y36" s="3764"/>
      <c r="Z36" s="1354" t="str">
        <f t="shared" si="15"/>
        <v>公共部分装修</v>
      </c>
      <c r="AA36" s="1351">
        <f t="shared" si="3"/>
        <v>1</v>
      </c>
      <c r="AB36" s="1351">
        <f t="shared" si="4"/>
        <v>1</v>
      </c>
      <c r="AC36" s="1960">
        <f t="shared" si="5"/>
        <v>1</v>
      </c>
    </row>
    <row r="37" spans="1:29" ht="15">
      <c r="A37" s="422"/>
      <c r="B37" s="374" t="s">
        <v>1786</v>
      </c>
      <c r="C37" s="424">
        <f>'数据-取费表'!N6</f>
        <v>0.7</v>
      </c>
      <c r="D37" s="385">
        <v>100</v>
      </c>
      <c r="E37" s="424">
        <f>C37</f>
        <v>0.7</v>
      </c>
      <c r="F37" s="411">
        <f>LOOKUP(E37,111:111,112:112)-LOOKUP(C37,111:111,112:112)+100</f>
        <v>100</v>
      </c>
      <c r="G37" s="424">
        <f>E37</f>
        <v>0.7</v>
      </c>
      <c r="H37" s="411">
        <f>LOOKUP(G37,111:111,112:112)-LOOKUP(C37,111:111,112:112)+100</f>
        <v>100</v>
      </c>
      <c r="I37" s="424">
        <f>G37</f>
        <v>0.7</v>
      </c>
      <c r="J37" s="385">
        <f>LOOKUP(I37,111:111,112:112)-LOOKUP(C37,111:111,112:112)+100</f>
        <v>100</v>
      </c>
      <c r="K37" s="560">
        <v>2</v>
      </c>
      <c r="L37" s="2716"/>
      <c r="M37" s="2710"/>
      <c r="N37" s="2710"/>
      <c r="O37" s="2710"/>
      <c r="P37" s="3762"/>
      <c r="Q37" s="1350" t="str">
        <f t="shared" si="11"/>
        <v>成新度</v>
      </c>
      <c r="R37" s="703" t="s">
        <v>14</v>
      </c>
      <c r="S37" s="704">
        <f t="shared" si="12"/>
        <v>100</v>
      </c>
      <c r="T37" s="703" t="s">
        <v>14</v>
      </c>
      <c r="U37" s="704">
        <f t="shared" si="13"/>
        <v>100</v>
      </c>
      <c r="V37" s="703" t="s">
        <v>14</v>
      </c>
      <c r="W37" s="704">
        <f t="shared" si="14"/>
        <v>100</v>
      </c>
      <c r="X37" s="1353"/>
      <c r="Y37" s="3764"/>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62"/>
      <c r="Q38" s="1341" t="str">
        <f t="shared" si="11"/>
        <v>写字楼等级</v>
      </c>
      <c r="R38" s="699" t="s">
        <v>14</v>
      </c>
      <c r="S38" s="700">
        <f t="shared" si="12"/>
        <v>100</v>
      </c>
      <c r="T38" s="699" t="s">
        <v>14</v>
      </c>
      <c r="U38" s="700">
        <f t="shared" si="13"/>
        <v>100</v>
      </c>
      <c r="V38" s="699" t="s">
        <v>14</v>
      </c>
      <c r="W38" s="700">
        <f t="shared" si="14"/>
        <v>100</v>
      </c>
      <c r="X38" s="701"/>
      <c r="Y38" s="3764"/>
      <c r="Z38" s="52" t="str">
        <f t="shared" si="15"/>
        <v>写字楼等级</v>
      </c>
      <c r="AA38" s="702">
        <f t="shared" si="3"/>
        <v>1</v>
      </c>
      <c r="AB38" s="702">
        <f t="shared" si="4"/>
        <v>1</v>
      </c>
      <c r="AC38" s="1957">
        <f t="shared" si="5"/>
        <v>1</v>
      </c>
    </row>
    <row r="39" spans="1:29" ht="15" hidden="1">
      <c r="A39" s="422"/>
      <c r="B39" s="374" t="s">
        <v>1819</v>
      </c>
      <c r="C39" s="410" t="s">
        <v>3461</v>
      </c>
      <c r="D39" s="385">
        <v>100</v>
      </c>
      <c r="E39" s="410" t="s">
        <v>3461</v>
      </c>
      <c r="F39" s="411">
        <f>SUMIF(115:115,E39,116:116)-SUMIF(115:115,C39,116:116)+100</f>
        <v>100</v>
      </c>
      <c r="G39" s="410" t="s">
        <v>3461</v>
      </c>
      <c r="H39" s="385">
        <f>SUMIF(115:115,G39,116:116)-SUMIF(115:115,C39,116:116)+100</f>
        <v>100</v>
      </c>
      <c r="I39" s="410" t="s">
        <v>3461</v>
      </c>
      <c r="J39" s="385">
        <f>SUMIF(115:115,I39,116:116)-SUMIF(115:115,C39,116:116)+100</f>
        <v>100</v>
      </c>
      <c r="K39" s="560">
        <v>0</v>
      </c>
      <c r="L39" s="2716"/>
      <c r="M39" s="2710"/>
      <c r="N39" s="2710"/>
      <c r="O39" s="2710"/>
      <c r="P39" s="3762" t="s">
        <v>1696</v>
      </c>
      <c r="Q39" s="1350" t="str">
        <f t="shared" si="11"/>
        <v>物业管理</v>
      </c>
      <c r="R39" s="703" t="s">
        <v>14</v>
      </c>
      <c r="S39" s="704">
        <f t="shared" si="12"/>
        <v>100</v>
      </c>
      <c r="T39" s="703" t="s">
        <v>14</v>
      </c>
      <c r="U39" s="704">
        <f t="shared" si="13"/>
        <v>100</v>
      </c>
      <c r="V39" s="703" t="s">
        <v>14</v>
      </c>
      <c r="W39" s="704">
        <f t="shared" si="14"/>
        <v>100</v>
      </c>
      <c r="X39" s="1353"/>
      <c r="Y39" s="3764" t="s">
        <v>1696</v>
      </c>
      <c r="Z39" s="1354" t="str">
        <f t="shared" si="15"/>
        <v>物业管理</v>
      </c>
      <c r="AA39" s="1351">
        <f t="shared" si="3"/>
        <v>1</v>
      </c>
      <c r="AB39" s="1351">
        <f t="shared" si="4"/>
        <v>1</v>
      </c>
      <c r="AC39" s="1960">
        <f t="shared" si="5"/>
        <v>1</v>
      </c>
    </row>
    <row r="40" spans="1:29" ht="15" hidden="1">
      <c r="A40" s="422"/>
      <c r="B40" s="374" t="s">
        <v>1787</v>
      </c>
      <c r="C40" s="410" t="s">
        <v>3456</v>
      </c>
      <c r="D40" s="385">
        <v>100</v>
      </c>
      <c r="E40" s="410" t="s">
        <v>3456</v>
      </c>
      <c r="F40" s="411">
        <f>SUMIF(117:117,E40,118:118)-SUMIF(117:117,C40,118:118)+100</f>
        <v>100</v>
      </c>
      <c r="G40" s="410" t="s">
        <v>3456</v>
      </c>
      <c r="H40" s="385">
        <f>SUMIF(117:117,G40,118:118)-SUMIF(117:117,C40,118:118)+100</f>
        <v>100</v>
      </c>
      <c r="I40" s="410" t="s">
        <v>3456</v>
      </c>
      <c r="J40" s="385">
        <f>SUMIF(117:117,I40,118:118)-SUMIF(117:117,C40,118:118)+100</f>
        <v>100</v>
      </c>
      <c r="K40" s="560">
        <v>0</v>
      </c>
      <c r="L40" s="2716"/>
      <c r="M40" s="2710"/>
      <c r="N40" s="2710"/>
      <c r="O40" s="2710"/>
      <c r="P40" s="3762"/>
      <c r="Q40" s="1350" t="str">
        <f t="shared" si="11"/>
        <v>市政基础设施</v>
      </c>
      <c r="R40" s="703" t="s">
        <v>14</v>
      </c>
      <c r="S40" s="704">
        <f t="shared" si="12"/>
        <v>100</v>
      </c>
      <c r="T40" s="703" t="s">
        <v>14</v>
      </c>
      <c r="U40" s="704">
        <f t="shared" si="13"/>
        <v>100</v>
      </c>
      <c r="V40" s="703" t="s">
        <v>14</v>
      </c>
      <c r="W40" s="704">
        <f t="shared" si="14"/>
        <v>100</v>
      </c>
      <c r="X40" s="1353"/>
      <c r="Y40" s="3764"/>
      <c r="Z40" s="1354" t="str">
        <f t="shared" si="15"/>
        <v>市政基础设施</v>
      </c>
      <c r="AA40" s="1351">
        <f t="shared" si="3"/>
        <v>1</v>
      </c>
      <c r="AB40" s="1351">
        <f t="shared" si="4"/>
        <v>1</v>
      </c>
      <c r="AC40" s="1960">
        <f t="shared" si="5"/>
        <v>1</v>
      </c>
    </row>
    <row r="41" spans="1:29" ht="15">
      <c r="A41" s="422"/>
      <c r="B41" s="374" t="s">
        <v>1789</v>
      </c>
      <c r="C41" s="564" t="s">
        <v>3452</v>
      </c>
      <c r="D41" s="385">
        <v>100</v>
      </c>
      <c r="E41" s="564" t="s">
        <v>3452</v>
      </c>
      <c r="F41" s="411">
        <f>SUMIF(119:119,E41,120:120)-SUMIF(119:119,C41,120:120)+100</f>
        <v>100</v>
      </c>
      <c r="G41" s="564" t="s">
        <v>3452</v>
      </c>
      <c r="H41" s="385">
        <f>SUMIF(119:119,G41,120:120)-SUMIF(119:119,C41,120:120)+100</f>
        <v>100</v>
      </c>
      <c r="I41" s="564" t="s">
        <v>3452</v>
      </c>
      <c r="J41" s="385">
        <f>SUMIF(119:119,I41,120:120)-SUMIF(119:119,C41,120:120)+100</f>
        <v>100</v>
      </c>
      <c r="K41" s="560">
        <v>2</v>
      </c>
      <c r="L41" s="2716"/>
      <c r="M41" s="2710"/>
      <c r="N41" s="2710"/>
      <c r="O41" s="2710"/>
      <c r="P41" s="3762"/>
      <c r="Q41" s="1350" t="str">
        <f t="shared" si="11"/>
        <v>层高</v>
      </c>
      <c r="R41" s="703" t="s">
        <v>14</v>
      </c>
      <c r="S41" s="704">
        <f t="shared" si="12"/>
        <v>100</v>
      </c>
      <c r="T41" s="703" t="s">
        <v>14</v>
      </c>
      <c r="U41" s="704">
        <f t="shared" si="13"/>
        <v>100</v>
      </c>
      <c r="V41" s="703" t="s">
        <v>14</v>
      </c>
      <c r="W41" s="704">
        <f t="shared" si="14"/>
        <v>100</v>
      </c>
      <c r="X41" s="1353"/>
      <c r="Y41" s="3764"/>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62"/>
      <c r="Q42" s="705" t="str">
        <f t="shared" si="11"/>
        <v>单套建筑面积</v>
      </c>
      <c r="R42" s="706" t="s">
        <v>14</v>
      </c>
      <c r="S42" s="707">
        <f t="shared" si="12"/>
        <v>100</v>
      </c>
      <c r="T42" s="706" t="s">
        <v>14</v>
      </c>
      <c r="U42" s="707">
        <f t="shared" si="13"/>
        <v>100</v>
      </c>
      <c r="V42" s="706" t="s">
        <v>14</v>
      </c>
      <c r="W42" s="707">
        <f t="shared" si="14"/>
        <v>100</v>
      </c>
      <c r="X42" s="708"/>
      <c r="Y42" s="3764"/>
      <c r="Z42" s="709" t="str">
        <f t="shared" si="15"/>
        <v>单套建筑面积</v>
      </c>
      <c r="AA42" s="1351">
        <f t="shared" si="3"/>
        <v>1</v>
      </c>
      <c r="AB42" s="1351">
        <f t="shared" si="4"/>
        <v>1</v>
      </c>
      <c r="AC42" s="1960">
        <f t="shared" si="5"/>
        <v>1</v>
      </c>
    </row>
    <row r="43" spans="1:29" ht="15">
      <c r="A43" s="422"/>
      <c r="B43" s="374" t="s">
        <v>1792</v>
      </c>
      <c r="C43" s="410" t="s">
        <v>3448</v>
      </c>
      <c r="D43" s="385">
        <v>100</v>
      </c>
      <c r="E43" s="410" t="s">
        <v>3448</v>
      </c>
      <c r="F43" s="411">
        <f>SUMIF(123:123,E43,124:124)-SUMIF(123:123,C43,124:124)+100</f>
        <v>100</v>
      </c>
      <c r="G43" s="410" t="s">
        <v>3448</v>
      </c>
      <c r="H43" s="385">
        <f>SUMIF(123:123,G43,124:124)-SUMIF(123:123,C43,124:124)+100</f>
        <v>100</v>
      </c>
      <c r="I43" s="410" t="s">
        <v>3448</v>
      </c>
      <c r="J43" s="385">
        <f>SUMIF(123:123,I43,124:124)-SUMIF(123:123,C43,124:124)+100</f>
        <v>100</v>
      </c>
      <c r="K43" s="560">
        <v>2</v>
      </c>
      <c r="L43" s="2716"/>
      <c r="M43" s="2710"/>
      <c r="N43" s="2710"/>
      <c r="O43" s="2710"/>
      <c r="P43" s="3762"/>
      <c r="Q43" s="1350" t="str">
        <f t="shared" si="11"/>
        <v>内部装修</v>
      </c>
      <c r="R43" s="703" t="s">
        <v>14</v>
      </c>
      <c r="S43" s="704">
        <f t="shared" si="12"/>
        <v>100</v>
      </c>
      <c r="T43" s="703" t="s">
        <v>14</v>
      </c>
      <c r="U43" s="704">
        <f t="shared" si="13"/>
        <v>100</v>
      </c>
      <c r="V43" s="703" t="s">
        <v>14</v>
      </c>
      <c r="W43" s="704">
        <f t="shared" si="14"/>
        <v>100</v>
      </c>
      <c r="X43" s="1353"/>
      <c r="Y43" s="3764"/>
      <c r="Z43" s="1354" t="str">
        <f t="shared" si="15"/>
        <v>内部装修</v>
      </c>
      <c r="AA43" s="1351">
        <f t="shared" si="3"/>
        <v>1</v>
      </c>
      <c r="AB43" s="1351">
        <f t="shared" si="4"/>
        <v>1</v>
      </c>
      <c r="AC43" s="1960">
        <f t="shared" si="5"/>
        <v>1</v>
      </c>
    </row>
    <row r="44" spans="1:29" ht="15">
      <c r="A44" s="422"/>
      <c r="B44" s="374" t="s">
        <v>1707</v>
      </c>
      <c r="C44" s="3481" t="s">
        <v>3407</v>
      </c>
      <c r="D44" s="385">
        <v>100</v>
      </c>
      <c r="E44" s="410" t="s">
        <v>3407</v>
      </c>
      <c r="F44" s="411">
        <f>SUMIF(125:125,E44,126:126)-SUMIF(125:125,C44,126:126)+100</f>
        <v>100</v>
      </c>
      <c r="G44" s="410" t="s">
        <v>3407</v>
      </c>
      <c r="H44" s="385">
        <f>SUMIF(125:125,G44,126:126)-SUMIF(125:125,C44,126:126)+100</f>
        <v>100</v>
      </c>
      <c r="I44" s="410" t="s">
        <v>3407</v>
      </c>
      <c r="J44" s="385">
        <f>SUMIF(125:125,I44,126:126)-SUMIF(125:125,C44,126:126)+100</f>
        <v>100</v>
      </c>
      <c r="K44" s="560">
        <v>3</v>
      </c>
      <c r="L44" s="2716"/>
      <c r="M44" s="2710"/>
      <c r="N44" s="2710"/>
      <c r="O44" s="2710"/>
      <c r="P44" s="3762"/>
      <c r="Q44" s="1350" t="str">
        <f t="shared" si="11"/>
        <v>内部装修维护情况</v>
      </c>
      <c r="R44" s="703" t="s">
        <v>14</v>
      </c>
      <c r="S44" s="704">
        <f t="shared" si="12"/>
        <v>100</v>
      </c>
      <c r="T44" s="703" t="s">
        <v>14</v>
      </c>
      <c r="U44" s="704">
        <f t="shared" si="13"/>
        <v>100</v>
      </c>
      <c r="V44" s="703" t="s">
        <v>14</v>
      </c>
      <c r="W44" s="704">
        <f t="shared" si="14"/>
        <v>100</v>
      </c>
      <c r="X44" s="1353"/>
      <c r="Y44" s="3764"/>
      <c r="Z44" s="1354" t="str">
        <f t="shared" si="15"/>
        <v>内部装修维护情况</v>
      </c>
      <c r="AA44" s="1351">
        <f t="shared" si="3"/>
        <v>1</v>
      </c>
      <c r="AB44" s="1351">
        <f t="shared" si="4"/>
        <v>1</v>
      </c>
      <c r="AC44" s="1960">
        <f t="shared" si="5"/>
        <v>1</v>
      </c>
    </row>
    <row r="45" spans="1:29" s="107" customFormat="1" ht="15" hidden="1">
      <c r="A45" s="423"/>
      <c r="B45" s="3471" t="s">
        <v>3466</v>
      </c>
      <c r="C45" s="419">
        <v>2002</v>
      </c>
      <c r="D45" s="126">
        <v>100</v>
      </c>
      <c r="E45" s="382" t="s">
        <v>3469</v>
      </c>
      <c r="F45" s="375">
        <f>SUMIF(127:127,E45,128:128)-SUMIF(127:127,C45,128:128)+100</f>
        <v>100</v>
      </c>
      <c r="G45" s="382" t="s">
        <v>3467</v>
      </c>
      <c r="H45" s="126">
        <f>SUMIF(127:127,G45,128:128)-SUMIF(127:127,C45,128:128)+100</f>
        <v>100</v>
      </c>
      <c r="I45" s="382">
        <v>2014</v>
      </c>
      <c r="J45" s="126">
        <f>SUMIF(127:127,I45,128:128)-SUMIF(127:127,C45,128:128)+100</f>
        <v>100</v>
      </c>
      <c r="K45" s="561"/>
      <c r="L45" s="2711"/>
      <c r="M45" s="2712"/>
      <c r="N45" s="2712"/>
      <c r="O45" s="2712"/>
      <c r="P45" s="3762"/>
      <c r="Q45" s="1341" t="str">
        <f t="shared" si="11"/>
        <v>建成年代</v>
      </c>
      <c r="R45" s="699" t="s">
        <v>14</v>
      </c>
      <c r="S45" s="700">
        <f t="shared" si="12"/>
        <v>100</v>
      </c>
      <c r="T45" s="699" t="s">
        <v>14</v>
      </c>
      <c r="U45" s="700">
        <f t="shared" si="13"/>
        <v>100</v>
      </c>
      <c r="V45" s="699" t="s">
        <v>14</v>
      </c>
      <c r="W45" s="700">
        <f t="shared" si="14"/>
        <v>100</v>
      </c>
      <c r="X45" s="701"/>
      <c r="Y45" s="3764"/>
      <c r="Z45" s="52" t="str">
        <f t="shared" si="15"/>
        <v>建成年代</v>
      </c>
      <c r="AA45" s="702">
        <f t="shared" si="3"/>
        <v>1</v>
      </c>
      <c r="AB45" s="702">
        <f t="shared" si="4"/>
        <v>1</v>
      </c>
      <c r="AC45" s="1957">
        <f t="shared" si="5"/>
        <v>1</v>
      </c>
    </row>
    <row r="46" spans="1:29" ht="15" hidden="1">
      <c r="A46" s="422"/>
      <c r="B46" s="3471" t="s">
        <v>3473</v>
      </c>
      <c r="C46" s="3480" t="s">
        <v>3471</v>
      </c>
      <c r="D46" s="385">
        <v>100</v>
      </c>
      <c r="E46" s="3479" t="s">
        <v>3472</v>
      </c>
      <c r="F46" s="411">
        <f>SUMIF(129:129,E46,130:130)-SUMIF(129:129,C46,130:130)+100</f>
        <v>100</v>
      </c>
      <c r="G46" s="3479" t="s">
        <v>3472</v>
      </c>
      <c r="H46" s="385">
        <f>SUMIF(129:129,G46,130:130)-SUMIF(129:129,C46,130:130)+100</f>
        <v>100</v>
      </c>
      <c r="I46" s="3479" t="s">
        <v>3472</v>
      </c>
      <c r="J46" s="385">
        <f>SUMIF(129:129,I46,130:130)-SUMIF(129:129,C46,130:130)+100</f>
        <v>100</v>
      </c>
      <c r="K46" s="561"/>
      <c r="L46" s="2716"/>
      <c r="M46" s="2710"/>
      <c r="N46" s="2710"/>
      <c r="O46" s="2710"/>
      <c r="P46" s="3762"/>
      <c r="Q46" s="1350" t="str">
        <f t="shared" si="11"/>
        <v>户型</v>
      </c>
      <c r="R46" s="703" t="s">
        <v>14</v>
      </c>
      <c r="S46" s="704">
        <f t="shared" si="12"/>
        <v>100</v>
      </c>
      <c r="T46" s="703" t="s">
        <v>14</v>
      </c>
      <c r="U46" s="704">
        <f t="shared" si="13"/>
        <v>100</v>
      </c>
      <c r="V46" s="703" t="s">
        <v>14</v>
      </c>
      <c r="W46" s="704">
        <f t="shared" si="14"/>
        <v>100</v>
      </c>
      <c r="X46" s="1353"/>
      <c r="Y46" s="3764"/>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63"/>
      <c r="Q47" s="1350">
        <f t="shared" si="11"/>
        <v>111</v>
      </c>
      <c r="R47" s="703" t="s">
        <v>14</v>
      </c>
      <c r="S47" s="704">
        <f t="shared" si="12"/>
        <v>100</v>
      </c>
      <c r="T47" s="703" t="s">
        <v>14</v>
      </c>
      <c r="U47" s="704">
        <f t="shared" si="13"/>
        <v>100</v>
      </c>
      <c r="V47" s="703" t="s">
        <v>14</v>
      </c>
      <c r="W47" s="704">
        <f t="shared" si="14"/>
        <v>100</v>
      </c>
      <c r="X47" s="1353"/>
      <c r="Y47" s="3765"/>
      <c r="Z47" s="1354">
        <f t="shared" si="15"/>
        <v>111</v>
      </c>
      <c r="AA47" s="1351">
        <f t="shared" si="3"/>
        <v>1</v>
      </c>
      <c r="AB47" s="1351">
        <f t="shared" si="4"/>
        <v>1</v>
      </c>
      <c r="AC47" s="1960">
        <f t="shared" si="5"/>
        <v>1</v>
      </c>
    </row>
    <row r="48" spans="1:29" ht="15">
      <c r="A48" s="429" t="s">
        <v>1708</v>
      </c>
      <c r="B48" s="430"/>
      <c r="C48" s="1152" t="s">
        <v>0</v>
      </c>
      <c r="D48" s="1153"/>
      <c r="E48" s="1154">
        <v>25000</v>
      </c>
      <c r="F48" s="1155"/>
      <c r="G48" s="1154">
        <v>26000</v>
      </c>
      <c r="H48" s="1157"/>
      <c r="I48" s="1154">
        <v>21000</v>
      </c>
      <c r="J48" s="435"/>
      <c r="K48" s="712"/>
      <c r="L48" s="2718"/>
      <c r="M48" s="2710"/>
      <c r="N48" s="2710"/>
      <c r="O48" s="2710"/>
      <c r="P48" s="3737" t="str">
        <f>A48</f>
        <v>成交单价（元/平方米）</v>
      </c>
      <c r="Q48" s="3766"/>
      <c r="R48" s="3767">
        <f>E48</f>
        <v>25000</v>
      </c>
      <c r="S48" s="3767"/>
      <c r="T48" s="3767">
        <f>G48</f>
        <v>26000</v>
      </c>
      <c r="U48" s="3767"/>
      <c r="V48" s="3767">
        <f>I48</f>
        <v>21000</v>
      </c>
      <c r="W48" s="3767"/>
      <c r="X48" s="396"/>
      <c r="Y48" s="710"/>
      <c r="Z48" s="396"/>
      <c r="AA48" s="396"/>
      <c r="AB48" s="396"/>
      <c r="AC48" s="577"/>
    </row>
    <row r="49" spans="1:29" ht="15.75" thickBot="1">
      <c r="A49" s="436" t="s">
        <v>1793</v>
      </c>
      <c r="B49" s="437"/>
      <c r="C49" s="1158">
        <f>R50</f>
        <v>22921</v>
      </c>
      <c r="D49" s="2315" t="s">
        <v>2135</v>
      </c>
      <c r="E49" s="1159">
        <f>R49</f>
        <v>24289</v>
      </c>
      <c r="F49" s="2316"/>
      <c r="G49" s="1158">
        <f>T49</f>
        <v>25261</v>
      </c>
      <c r="H49" s="2316"/>
      <c r="I49" s="1159">
        <f>V49</f>
        <v>19214</v>
      </c>
      <c r="J49" s="2316"/>
      <c r="K49" s="2318">
        <f>F49+H49+J49</f>
        <v>0</v>
      </c>
      <c r="L49" s="2718"/>
      <c r="M49" s="2710"/>
      <c r="N49" s="2710"/>
      <c r="O49" s="2710"/>
      <c r="P49" s="3737" t="str">
        <f>A49</f>
        <v>比较价值（元/平方米）</v>
      </c>
      <c r="Q49" s="3766"/>
      <c r="R49" s="3767">
        <f>IF(F1="售价",ROUND(PRODUCT(R48,AA7:AA47),0),ROUND(PRODUCT(R48,AA7:AA47),1))</f>
        <v>24289</v>
      </c>
      <c r="S49" s="3767"/>
      <c r="T49" s="3767">
        <f>IF(F1="售价",ROUND(PRODUCT(T48,AB7:AB47),0),ROUND(PRODUCT(T48,AB7:AB47),1))</f>
        <v>25261</v>
      </c>
      <c r="U49" s="3767"/>
      <c r="V49" s="3767">
        <f>IF(F1="售价",ROUND(PRODUCT(V48,AC7:AC47),0),ROUND(PRODUCT(V48,AC7:AC47),1))</f>
        <v>19214</v>
      </c>
      <c r="W49" s="3767"/>
      <c r="X49" s="396"/>
      <c r="Y49" s="396"/>
      <c r="Z49" s="396"/>
      <c r="AA49" s="396"/>
      <c r="AB49" s="396"/>
      <c r="AC49" s="577"/>
    </row>
    <row r="50" spans="1:29" ht="15.75" thickBot="1">
      <c r="A50" s="440" t="s">
        <v>1794</v>
      </c>
      <c r="B50" s="441"/>
      <c r="C50" s="1161">
        <f>R50</f>
        <v>22921</v>
      </c>
      <c r="D50" s="1161"/>
      <c r="E50" s="1161"/>
      <c r="F50" s="1161"/>
      <c r="G50" s="1161"/>
      <c r="H50" s="1161"/>
      <c r="I50" s="1161"/>
      <c r="J50" s="442"/>
      <c r="K50" s="713"/>
      <c r="L50" s="2718"/>
      <c r="M50" s="2710"/>
      <c r="N50" s="2710"/>
      <c r="O50" s="2710"/>
      <c r="P50" s="3768" t="str">
        <f>A50</f>
        <v>估价对象XX用房的比较价值（楼面单价，元/平方米）</v>
      </c>
      <c r="Q50" s="3769"/>
      <c r="R50" s="3770">
        <f>IF(F1="售价",ROUND(IF(D49="简单平均",AVERAGE(R49:V49),R49*F49+T49*H49+V49*J49),0),ROUND(IF(D49="简单平均",AVERAGE(R49:V49),R49*F49+T49*H49+V49*J49),1))</f>
        <v>22921</v>
      </c>
      <c r="S50" s="3770"/>
      <c r="T50" s="3770"/>
      <c r="U50" s="3770"/>
      <c r="V50" s="3770"/>
      <c r="W50" s="3770"/>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2.9272510189797929E-2</v>
      </c>
      <c r="F53" s="448" t="str">
        <f>IF(OR(E53&gt;=0.3,E53&lt;=-0.3),"超过30%","")</f>
        <v/>
      </c>
      <c r="G53" s="447">
        <f>IF(G48&lt;G49,G49/G48-1,G48/G49-1)</f>
        <v>2.9254582162226317E-2</v>
      </c>
      <c r="H53" s="448" t="str">
        <f>IF(OR(G53&gt;=0.3,G53&lt;=-0.3),"超过30%","")</f>
        <v/>
      </c>
      <c r="I53" s="447">
        <f>IF(I48&lt;I49,I49/I48-1,I48/I49-1)</f>
        <v>9.2953055064015855E-2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4.0018115196179371E-2</v>
      </c>
      <c r="F54" s="448" t="str">
        <f>IF(OR(E54&gt;=0.2,E54&lt;=-0.2),"超过20%","")</f>
        <v/>
      </c>
      <c r="G54" s="447">
        <f>IF(G49&lt;I49,I49/G49-1,G49/I49-1)</f>
        <v>0.31471843447486214</v>
      </c>
      <c r="H54" s="448" t="str">
        <f>IF(OR(G54&gt;=0.2,G54&lt;=-0.2),"超过20%","")</f>
        <v>超过20%</v>
      </c>
      <c r="I54" s="447">
        <f>IF(I49&lt;E49,E49/I49-1,I49/E49-1)</f>
        <v>0.26413032164047046</v>
      </c>
      <c r="J54" s="448" t="str">
        <f>IF(OR(I54&gt;=0.2,I54&lt;=-0.2),"超过20%","")</f>
        <v>超过20%</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4.0000000000000036E-2</v>
      </c>
      <c r="F55" s="448" t="str">
        <f>IF(OR(E55&gt;=0.3,E55&lt;=-0.3),"超过30%","")</f>
        <v/>
      </c>
      <c r="G55" s="447">
        <f>IF(G48&lt;I48,I48/G48-1,G48/I48-1)</f>
        <v>0.23809523809523814</v>
      </c>
      <c r="H55" s="448" t="str">
        <f>IF(OR(G55&gt;=0.3,G55&lt;=-0.3),"超过30%","")</f>
        <v/>
      </c>
      <c r="I55" s="447">
        <f>IF(I48&lt;E48,E48/I48-1,I48/E48-1)</f>
        <v>0.19047619047619047</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3438</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103</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3477" t="s">
        <v>3557</v>
      </c>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v>102</v>
      </c>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3424</v>
      </c>
      <c r="D66" s="531" t="s">
        <v>3425</v>
      </c>
      <c r="E66" s="531" t="s">
        <v>3426</v>
      </c>
      <c r="F66" s="531" t="s">
        <v>3427</v>
      </c>
      <c r="G66" s="531" t="s">
        <v>3428</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3440</v>
      </c>
      <c r="D87" s="3475" t="s">
        <v>3441</v>
      </c>
      <c r="E87" s="3475" t="s">
        <v>3442</v>
      </c>
      <c r="F87" s="3475" t="s">
        <v>3443</v>
      </c>
      <c r="G87" s="3475" t="s">
        <v>3444</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3474</v>
      </c>
      <c r="D89" s="3475" t="s">
        <v>3475</v>
      </c>
      <c r="E89" s="3475" t="s">
        <v>3476</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3477</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800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98</v>
      </c>
      <c r="D105" s="484">
        <v>100</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3445</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3447</v>
      </c>
      <c r="D108" s="3475" t="s">
        <v>3449</v>
      </c>
      <c r="E108" s="3475" t="s">
        <v>3450</v>
      </c>
      <c r="F108" s="3478" t="s">
        <v>3451</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3464</v>
      </c>
      <c r="D113" s="3475" t="s">
        <v>3465</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3462</v>
      </c>
      <c r="D115" s="3475" t="s">
        <v>3463</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3455</v>
      </c>
      <c r="D117" s="3475" t="s">
        <v>3457</v>
      </c>
      <c r="E117" s="3475" t="s">
        <v>3458</v>
      </c>
      <c r="F117" s="3475" t="s">
        <v>3459</v>
      </c>
      <c r="G117" s="3475" t="s">
        <v>3460</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3453</v>
      </c>
      <c r="D119" s="3478" t="s">
        <v>3470</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3447</v>
      </c>
      <c r="D123" s="3475" t="s">
        <v>3449</v>
      </c>
      <c r="E123" s="3475" t="s">
        <v>3450</v>
      </c>
      <c r="F123" s="3478" t="s">
        <v>3451</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3417</v>
      </c>
      <c r="F1" s="1877" t="s">
        <v>3414</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22124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41" t="s">
        <v>1770</v>
      </c>
      <c r="D4" s="3742"/>
      <c r="E4" s="3743" t="s">
        <v>1771</v>
      </c>
      <c r="F4" s="3744"/>
      <c r="G4" s="3741" t="s">
        <v>1772</v>
      </c>
      <c r="H4" s="3742"/>
      <c r="I4" s="3741" t="s">
        <v>1773</v>
      </c>
      <c r="J4" s="3742"/>
      <c r="K4" s="558" t="s">
        <v>1774</v>
      </c>
      <c r="L4" s="2709"/>
      <c r="M4" s="2710"/>
      <c r="N4" s="2710"/>
      <c r="O4" s="2710"/>
      <c r="P4" s="3775" t="s">
        <v>1775</v>
      </c>
      <c r="Q4" s="3776"/>
      <c r="R4" s="3772" t="s">
        <v>1771</v>
      </c>
      <c r="S4" s="3773"/>
      <c r="T4" s="3772" t="s">
        <v>1772</v>
      </c>
      <c r="U4" s="3773"/>
      <c r="V4" s="3754" t="s">
        <v>1773</v>
      </c>
      <c r="W4" s="3754"/>
      <c r="X4" s="1353"/>
      <c r="Y4" s="3772" t="s">
        <v>1775</v>
      </c>
      <c r="Z4" s="3773"/>
      <c r="AA4" s="3771" t="s">
        <v>1771</v>
      </c>
      <c r="AB4" s="3754" t="s">
        <v>1772</v>
      </c>
      <c r="AC4" s="3771" t="s">
        <v>1773</v>
      </c>
    </row>
    <row r="5" spans="1:29" ht="15">
      <c r="A5" s="357"/>
      <c r="B5" s="358"/>
      <c r="C5" s="3730"/>
      <c r="D5" s="3731"/>
      <c r="E5" s="3730"/>
      <c r="F5" s="3731"/>
      <c r="G5" s="3730"/>
      <c r="H5" s="3731"/>
      <c r="I5" s="3730"/>
      <c r="J5" s="3731"/>
      <c r="K5" s="558"/>
      <c r="L5" s="2709"/>
      <c r="M5" s="2710"/>
      <c r="N5" s="2710"/>
      <c r="O5" s="2710"/>
      <c r="P5" s="3777"/>
      <c r="Q5" s="3748"/>
      <c r="R5" s="3726"/>
      <c r="S5" s="3727"/>
      <c r="T5" s="3726"/>
      <c r="U5" s="3727"/>
      <c r="V5" s="3754"/>
      <c r="W5" s="3754"/>
      <c r="X5" s="1353"/>
      <c r="Y5" s="3726"/>
      <c r="Z5" s="3727"/>
      <c r="AA5" s="3720"/>
      <c r="AB5" s="3754"/>
      <c r="AC5" s="3720"/>
    </row>
    <row r="6" spans="1:29" ht="15.75" thickBot="1">
      <c r="A6" s="359"/>
      <c r="B6" s="360"/>
      <c r="C6" s="3736" t="s">
        <v>1677</v>
      </c>
      <c r="D6" s="3733"/>
      <c r="E6" s="3774" t="s">
        <v>1677</v>
      </c>
      <c r="F6" s="3735"/>
      <c r="G6" s="3736" t="s">
        <v>1677</v>
      </c>
      <c r="H6" s="3733"/>
      <c r="I6" s="3736" t="s">
        <v>1677</v>
      </c>
      <c r="J6" s="3733"/>
      <c r="K6" s="558" t="s">
        <v>1678</v>
      </c>
      <c r="L6" s="2709"/>
      <c r="M6" s="2710"/>
      <c r="N6" s="2710"/>
      <c r="O6" s="2710"/>
      <c r="P6" s="3778"/>
      <c r="Q6" s="3750"/>
      <c r="R6" s="3726"/>
      <c r="S6" s="3727"/>
      <c r="T6" s="3751"/>
      <c r="U6" s="3752"/>
      <c r="V6" s="3754"/>
      <c r="W6" s="3754"/>
      <c r="X6" s="1353"/>
      <c r="Y6" s="3751"/>
      <c r="Z6" s="3752"/>
      <c r="AA6" s="3721"/>
      <c r="AB6" s="3754"/>
      <c r="AC6" s="3721"/>
    </row>
    <row r="7" spans="1:29" s="107" customFormat="1" ht="15.75" thickBot="1">
      <c r="A7" s="361" t="s">
        <v>1679</v>
      </c>
      <c r="B7" s="362"/>
      <c r="C7" s="363">
        <f>'数据-取费表'!B2</f>
        <v>45896</v>
      </c>
      <c r="D7" s="364">
        <v>100</v>
      </c>
      <c r="E7" s="365">
        <f>C7</f>
        <v>45896</v>
      </c>
      <c r="F7" s="366">
        <f>SUMIF(58:58,YEAR(E7)&amp;"-"&amp;MONTH(E7),59:59)</f>
        <v>100</v>
      </c>
      <c r="G7" s="365">
        <f>C7</f>
        <v>45896</v>
      </c>
      <c r="H7" s="364">
        <f>SUMIF(58:58,YEAR(G7)&amp;"-"&amp;MONTH(G7),59:59)</f>
        <v>100</v>
      </c>
      <c r="I7" s="365">
        <f>C7</f>
        <v>45896</v>
      </c>
      <c r="J7" s="364">
        <f>SUMIF(58:58,YEAR(I7)&amp;"-"&amp;MONTH(I7),59:59)</f>
        <v>100</v>
      </c>
      <c r="K7" s="559"/>
      <c r="L7" s="2711"/>
      <c r="M7" s="2712"/>
      <c r="N7" s="2712"/>
      <c r="O7" s="2712"/>
      <c r="P7" s="3722" t="s">
        <v>1680</v>
      </c>
      <c r="Q7" s="3756"/>
      <c r="R7" s="699" t="s">
        <v>14</v>
      </c>
      <c r="S7" s="700">
        <f t="shared" ref="S7:S15" si="0">F7</f>
        <v>100</v>
      </c>
      <c r="T7" s="699" t="s">
        <v>14</v>
      </c>
      <c r="U7" s="700">
        <f t="shared" ref="U7:U15" si="1">H7</f>
        <v>100</v>
      </c>
      <c r="V7" s="699" t="s">
        <v>14</v>
      </c>
      <c r="W7" s="700">
        <f t="shared" ref="W7:W15" si="2">J7</f>
        <v>100</v>
      </c>
      <c r="X7" s="701"/>
      <c r="Y7" s="3722" t="s">
        <v>1680</v>
      </c>
      <c r="Z7" s="3723"/>
      <c r="AA7" s="702">
        <f>D7/F7</f>
        <v>1</v>
      </c>
      <c r="AB7" s="702">
        <f>D7/H7</f>
        <v>1</v>
      </c>
      <c r="AC7" s="702">
        <f>D7/J7</f>
        <v>1</v>
      </c>
    </row>
    <row r="8" spans="1:29" s="107" customFormat="1" ht="15.75" thickBot="1">
      <c r="A8" s="361" t="s">
        <v>1681</v>
      </c>
      <c r="B8" s="362"/>
      <c r="C8" s="367" t="s">
        <v>3421</v>
      </c>
      <c r="D8" s="364">
        <v>100</v>
      </c>
      <c r="E8" s="367" t="s">
        <v>3422</v>
      </c>
      <c r="F8" s="366">
        <f>SUMIF(61:61,E8,62:62)-SUMIF(61:61,C8,62:62)+100</f>
        <v>103</v>
      </c>
      <c r="G8" s="367" t="s">
        <v>3422</v>
      </c>
      <c r="H8" s="364">
        <f>SUMIF(61:61,G8,62:62)-SUMIF(61:61,C8,62:62)+100</f>
        <v>103</v>
      </c>
      <c r="I8" s="367" t="s">
        <v>3422</v>
      </c>
      <c r="J8" s="364">
        <f>SUMIF(61:61,I8,62:62)-SUMIF(61:61,C8,62:62)+100</f>
        <v>103</v>
      </c>
      <c r="K8" s="559"/>
      <c r="L8" s="2711"/>
      <c r="M8" s="2712"/>
      <c r="N8" s="2712"/>
      <c r="O8" s="2712"/>
      <c r="P8" s="3722" t="s">
        <v>1683</v>
      </c>
      <c r="Q8" s="3723"/>
      <c r="R8" s="699" t="s">
        <v>14</v>
      </c>
      <c r="S8" s="700">
        <f t="shared" si="0"/>
        <v>103</v>
      </c>
      <c r="T8" s="699" t="s">
        <v>14</v>
      </c>
      <c r="U8" s="700">
        <f t="shared" si="1"/>
        <v>103</v>
      </c>
      <c r="V8" s="699" t="s">
        <v>14</v>
      </c>
      <c r="W8" s="700">
        <f t="shared" si="2"/>
        <v>103</v>
      </c>
      <c r="X8" s="701"/>
      <c r="Y8" s="3722" t="s">
        <v>1683</v>
      </c>
      <c r="Z8" s="3723"/>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3439</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37" t="s">
        <v>1686</v>
      </c>
      <c r="Q9" s="1341" t="str">
        <f t="shared" ref="Q9:Q15" si="6">B9</f>
        <v>用途</v>
      </c>
      <c r="R9" s="699" t="s">
        <v>14</v>
      </c>
      <c r="S9" s="700">
        <f t="shared" si="0"/>
        <v>100</v>
      </c>
      <c r="T9" s="699" t="s">
        <v>14</v>
      </c>
      <c r="U9" s="700">
        <f t="shared" si="1"/>
        <v>100</v>
      </c>
      <c r="V9" s="699" t="s">
        <v>14</v>
      </c>
      <c r="W9" s="700">
        <f t="shared" si="2"/>
        <v>100</v>
      </c>
      <c r="X9" s="701"/>
      <c r="Y9" s="3688" t="s">
        <v>1687</v>
      </c>
      <c r="Z9" s="52" t="str">
        <f t="shared" ref="Z9:Z15" si="7">Q9</f>
        <v>用途</v>
      </c>
      <c r="AA9" s="702">
        <f t="shared" si="3"/>
        <v>1</v>
      </c>
      <c r="AB9" s="702">
        <f t="shared" si="4"/>
        <v>1</v>
      </c>
      <c r="AC9" s="702">
        <f t="shared" si="5"/>
        <v>1</v>
      </c>
    </row>
    <row r="10" spans="1:29" s="377" customFormat="1" ht="27.75" thickBot="1">
      <c r="A10" s="373"/>
      <c r="B10" s="374" t="s">
        <v>1688</v>
      </c>
      <c r="C10" s="3427" t="s">
        <v>3508</v>
      </c>
      <c r="D10" s="126">
        <v>100</v>
      </c>
      <c r="E10" s="3427" t="s">
        <v>3508</v>
      </c>
      <c r="F10" s="375">
        <f>SUMIF(65:65,E10,66:66)-SUMIF(65:65,C10,66:66)+100</f>
        <v>100</v>
      </c>
      <c r="G10" s="3427" t="s">
        <v>3508</v>
      </c>
      <c r="H10" s="126">
        <f>SUMIF(65:65,G10,66:66)-SUMIF(65:65,C10,66:66)+100</f>
        <v>100</v>
      </c>
      <c r="I10" s="3427" t="s">
        <v>3508</v>
      </c>
      <c r="J10" s="126">
        <f>SUMIF(65:65,I10,66:66)-SUMIF(65:65,C10,66:66)+100</f>
        <v>100</v>
      </c>
      <c r="K10" s="559"/>
      <c r="L10" s="2713"/>
      <c r="M10" s="2714"/>
      <c r="N10" s="2714"/>
      <c r="O10" s="2714"/>
      <c r="P10" s="3737"/>
      <c r="Q10" s="1341" t="str">
        <f t="shared" si="6"/>
        <v>土地使用年限（年）</v>
      </c>
      <c r="R10" s="699" t="s">
        <v>14</v>
      </c>
      <c r="S10" s="700">
        <f t="shared" si="0"/>
        <v>100</v>
      </c>
      <c r="T10" s="699" t="s">
        <v>14</v>
      </c>
      <c r="U10" s="700">
        <f t="shared" si="1"/>
        <v>100</v>
      </c>
      <c r="V10" s="699" t="s">
        <v>14</v>
      </c>
      <c r="W10" s="700">
        <f t="shared" si="2"/>
        <v>100</v>
      </c>
      <c r="X10" s="701"/>
      <c r="Y10" s="3688"/>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37"/>
      <c r="Q11" s="1341" t="str">
        <f t="shared" si="6"/>
        <v>容积率</v>
      </c>
      <c r="R11" s="699" t="s">
        <v>14</v>
      </c>
      <c r="S11" s="700">
        <f t="shared" si="0"/>
        <v>100</v>
      </c>
      <c r="T11" s="699" t="s">
        <v>14</v>
      </c>
      <c r="U11" s="700">
        <f t="shared" si="1"/>
        <v>100</v>
      </c>
      <c r="V11" s="699" t="s">
        <v>14</v>
      </c>
      <c r="W11" s="700">
        <f t="shared" si="2"/>
        <v>100</v>
      </c>
      <c r="X11" s="701"/>
      <c r="Y11" s="3688"/>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37"/>
      <c r="Q12" s="1341">
        <f t="shared" si="6"/>
        <v>111</v>
      </c>
      <c r="R12" s="699" t="s">
        <v>14</v>
      </c>
      <c r="S12" s="700">
        <f t="shared" si="0"/>
        <v>100</v>
      </c>
      <c r="T12" s="699" t="s">
        <v>14</v>
      </c>
      <c r="U12" s="700">
        <f t="shared" si="1"/>
        <v>100</v>
      </c>
      <c r="V12" s="699" t="s">
        <v>14</v>
      </c>
      <c r="W12" s="700">
        <f t="shared" si="2"/>
        <v>100</v>
      </c>
      <c r="X12" s="701"/>
      <c r="Y12" s="3688"/>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37"/>
      <c r="Q13" s="1341">
        <f t="shared" si="6"/>
        <v>111</v>
      </c>
      <c r="R13" s="699" t="s">
        <v>14</v>
      </c>
      <c r="S13" s="700">
        <f t="shared" si="0"/>
        <v>100</v>
      </c>
      <c r="T13" s="699" t="s">
        <v>14</v>
      </c>
      <c r="U13" s="700">
        <f t="shared" si="1"/>
        <v>100</v>
      </c>
      <c r="V13" s="699" t="s">
        <v>14</v>
      </c>
      <c r="W13" s="700">
        <f t="shared" si="2"/>
        <v>100</v>
      </c>
      <c r="X13" s="701"/>
      <c r="Y13" s="3688"/>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37"/>
      <c r="Q14" s="1341">
        <f t="shared" si="6"/>
        <v>111</v>
      </c>
      <c r="R14" s="699" t="s">
        <v>14</v>
      </c>
      <c r="S14" s="700">
        <f t="shared" si="0"/>
        <v>100</v>
      </c>
      <c r="T14" s="699" t="s">
        <v>14</v>
      </c>
      <c r="U14" s="700">
        <f t="shared" si="1"/>
        <v>100</v>
      </c>
      <c r="V14" s="699" t="s">
        <v>14</v>
      </c>
      <c r="W14" s="700">
        <f t="shared" si="2"/>
        <v>100</v>
      </c>
      <c r="X14" s="701"/>
      <c r="Y14" s="3688"/>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57" t="s">
        <v>1691</v>
      </c>
      <c r="Q15" s="1350" t="str">
        <f t="shared" si="6"/>
        <v>商业繁华度</v>
      </c>
      <c r="R15" s="703" t="s">
        <v>14</v>
      </c>
      <c r="S15" s="704">
        <f t="shared" si="0"/>
        <v>100</v>
      </c>
      <c r="T15" s="703" t="s">
        <v>14</v>
      </c>
      <c r="U15" s="704">
        <f t="shared" si="1"/>
        <v>100</v>
      </c>
      <c r="V15" s="703" t="s">
        <v>14</v>
      </c>
      <c r="W15" s="704">
        <f t="shared" si="2"/>
        <v>100</v>
      </c>
      <c r="X15" s="1353"/>
      <c r="Y15" s="3759" t="s">
        <v>1691</v>
      </c>
      <c r="Z15" s="1354" t="str">
        <f t="shared" si="7"/>
        <v>商业繁华度</v>
      </c>
      <c r="AA15" s="1351">
        <f t="shared" si="3"/>
        <v>1</v>
      </c>
      <c r="AB15" s="1351">
        <f t="shared" si="4"/>
        <v>1</v>
      </c>
      <c r="AC15" s="1351">
        <f t="shared" si="5"/>
        <v>1</v>
      </c>
    </row>
    <row r="16" spans="1:29" ht="15">
      <c r="A16" s="378"/>
      <c r="B16" s="396"/>
      <c r="C16" s="397" t="s">
        <v>3406</v>
      </c>
      <c r="D16" s="398"/>
      <c r="E16" s="397" t="s">
        <v>3406</v>
      </c>
      <c r="F16" s="399"/>
      <c r="G16" s="397" t="s">
        <v>3406</v>
      </c>
      <c r="H16" s="400"/>
      <c r="I16" s="397" t="s">
        <v>3406</v>
      </c>
      <c r="J16" s="398"/>
      <c r="K16" s="563"/>
      <c r="L16" s="2716"/>
      <c r="M16" s="2710"/>
      <c r="N16" s="2710"/>
      <c r="O16" s="2710"/>
      <c r="P16" s="3758"/>
      <c r="Q16" s="1350"/>
      <c r="R16" s="703"/>
      <c r="S16" s="704"/>
      <c r="T16" s="703"/>
      <c r="U16" s="704"/>
      <c r="V16" s="703"/>
      <c r="W16" s="704"/>
      <c r="X16" s="1353"/>
      <c r="Y16" s="3760"/>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58"/>
      <c r="Q17" s="1350" t="str">
        <f>B17</f>
        <v>交通便捷度</v>
      </c>
      <c r="R17" s="703" t="s">
        <v>14</v>
      </c>
      <c r="S17" s="704">
        <f>F17</f>
        <v>100</v>
      </c>
      <c r="T17" s="703" t="s">
        <v>14</v>
      </c>
      <c r="U17" s="704">
        <f>H17</f>
        <v>100</v>
      </c>
      <c r="V17" s="703" t="s">
        <v>14</v>
      </c>
      <c r="W17" s="704">
        <f>J17</f>
        <v>100</v>
      </c>
      <c r="X17" s="1353"/>
      <c r="Y17" s="3760"/>
      <c r="Z17" s="1354" t="str">
        <f>Q17</f>
        <v>交通便捷度</v>
      </c>
      <c r="AA17" s="1351">
        <f t="shared" si="3"/>
        <v>1</v>
      </c>
      <c r="AB17" s="1351">
        <f t="shared" si="4"/>
        <v>1</v>
      </c>
      <c r="AC17" s="1351">
        <f t="shared" si="5"/>
        <v>1</v>
      </c>
    </row>
    <row r="18" spans="1:29" ht="15">
      <c r="A18" s="378"/>
      <c r="B18" s="406"/>
      <c r="C18" s="397" t="s">
        <v>3406</v>
      </c>
      <c r="D18" s="400"/>
      <c r="E18" s="397" t="s">
        <v>3406</v>
      </c>
      <c r="F18" s="403"/>
      <c r="G18" s="397" t="s">
        <v>3406</v>
      </c>
      <c r="H18" s="398"/>
      <c r="I18" s="397" t="s">
        <v>3406</v>
      </c>
      <c r="J18" s="398"/>
      <c r="K18" s="563"/>
      <c r="L18" s="2716"/>
      <c r="M18" s="2710"/>
      <c r="N18" s="2710"/>
      <c r="O18" s="2710"/>
      <c r="P18" s="3758"/>
      <c r="Q18" s="1350"/>
      <c r="R18" s="703"/>
      <c r="S18" s="704"/>
      <c r="T18" s="703"/>
      <c r="U18" s="704"/>
      <c r="V18" s="703"/>
      <c r="W18" s="704"/>
      <c r="X18" s="1353"/>
      <c r="Y18" s="3760"/>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58"/>
      <c r="Q19" s="1350" t="str">
        <f>B19</f>
        <v>公共配套设施</v>
      </c>
      <c r="R19" s="703" t="s">
        <v>14</v>
      </c>
      <c r="S19" s="704">
        <f>F19</f>
        <v>100</v>
      </c>
      <c r="T19" s="703" t="s">
        <v>14</v>
      </c>
      <c r="U19" s="704">
        <f>H19</f>
        <v>100</v>
      </c>
      <c r="V19" s="703" t="s">
        <v>14</v>
      </c>
      <c r="W19" s="704">
        <f>J19</f>
        <v>100</v>
      </c>
      <c r="X19" s="1353"/>
      <c r="Y19" s="3760"/>
      <c r="Z19" s="1354" t="str">
        <f>Q19</f>
        <v>公共配套设施</v>
      </c>
      <c r="AA19" s="1351">
        <f t="shared" si="3"/>
        <v>1</v>
      </c>
      <c r="AB19" s="1351">
        <f t="shared" si="4"/>
        <v>1</v>
      </c>
      <c r="AC19" s="1351">
        <f t="shared" si="5"/>
        <v>1</v>
      </c>
    </row>
    <row r="20" spans="1:29" ht="15">
      <c r="A20" s="378"/>
      <c r="B20" s="406"/>
      <c r="C20" s="397" t="s">
        <v>3407</v>
      </c>
      <c r="D20" s="398"/>
      <c r="E20" s="397" t="s">
        <v>3407</v>
      </c>
      <c r="F20" s="399"/>
      <c r="G20" s="397" t="s">
        <v>3407</v>
      </c>
      <c r="H20" s="398"/>
      <c r="I20" s="397" t="s">
        <v>3407</v>
      </c>
      <c r="J20" s="398"/>
      <c r="K20" s="563"/>
      <c r="L20" s="2716"/>
      <c r="M20" s="2710"/>
      <c r="N20" s="2710"/>
      <c r="O20" s="2710"/>
      <c r="P20" s="3758"/>
      <c r="Q20" s="1350"/>
      <c r="R20" s="703"/>
      <c r="S20" s="704"/>
      <c r="T20" s="703"/>
      <c r="U20" s="704"/>
      <c r="V20" s="703"/>
      <c r="W20" s="704"/>
      <c r="X20" s="1353"/>
      <c r="Y20" s="3760"/>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58"/>
      <c r="Q21" s="1350" t="str">
        <f>B21</f>
        <v>基础设施水平</v>
      </c>
      <c r="R21" s="703" t="s">
        <v>14</v>
      </c>
      <c r="S21" s="704">
        <f>F21</f>
        <v>100</v>
      </c>
      <c r="T21" s="703" t="s">
        <v>14</v>
      </c>
      <c r="U21" s="704">
        <f>H21</f>
        <v>100</v>
      </c>
      <c r="V21" s="703" t="s">
        <v>14</v>
      </c>
      <c r="W21" s="704">
        <f>J21</f>
        <v>100</v>
      </c>
      <c r="X21" s="1353"/>
      <c r="Y21" s="3760"/>
      <c r="Z21" s="1354" t="str">
        <f>Q21</f>
        <v>基础设施水平</v>
      </c>
      <c r="AA21" s="1351">
        <f t="shared" ref="AA21" si="8">D21/F21</f>
        <v>1</v>
      </c>
      <c r="AB21" s="1351">
        <f t="shared" ref="AB21" si="9">D21/H21</f>
        <v>1</v>
      </c>
      <c r="AC21" s="1351">
        <f t="shared" ref="AC21" si="10">D21/J21</f>
        <v>1</v>
      </c>
    </row>
    <row r="22" spans="1:29" ht="15">
      <c r="A22" s="378"/>
      <c r="B22" s="1129"/>
      <c r="C22" s="1899" t="s">
        <v>3454</v>
      </c>
      <c r="D22" s="398"/>
      <c r="E22" s="1899" t="s">
        <v>3454</v>
      </c>
      <c r="F22" s="399"/>
      <c r="G22" s="1899" t="s">
        <v>3454</v>
      </c>
      <c r="H22" s="398"/>
      <c r="I22" s="1899" t="s">
        <v>3454</v>
      </c>
      <c r="J22" s="398"/>
      <c r="K22" s="1128"/>
      <c r="L22" s="2716"/>
      <c r="M22" s="2710"/>
      <c r="N22" s="2710"/>
      <c r="O22" s="2710"/>
      <c r="P22" s="3758"/>
      <c r="Q22" s="1350"/>
      <c r="R22" s="703"/>
      <c r="S22" s="704"/>
      <c r="T22" s="703"/>
      <c r="U22" s="704"/>
      <c r="V22" s="703"/>
      <c r="W22" s="704"/>
      <c r="X22" s="1353"/>
      <c r="Y22" s="3760"/>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58"/>
      <c r="Q23" s="1350" t="str">
        <f>B23</f>
        <v>自然及人文环境</v>
      </c>
      <c r="R23" s="703" t="s">
        <v>14</v>
      </c>
      <c r="S23" s="704">
        <f>F23</f>
        <v>100</v>
      </c>
      <c r="T23" s="703" t="s">
        <v>14</v>
      </c>
      <c r="U23" s="704">
        <f>H23</f>
        <v>100</v>
      </c>
      <c r="V23" s="703" t="s">
        <v>14</v>
      </c>
      <c r="W23" s="704">
        <f>J23</f>
        <v>100</v>
      </c>
      <c r="X23" s="1353"/>
      <c r="Y23" s="3760"/>
      <c r="Z23" s="1354" t="str">
        <f>Q23</f>
        <v>自然及人文环境</v>
      </c>
      <c r="AA23" s="1351">
        <f t="shared" si="3"/>
        <v>1</v>
      </c>
      <c r="AB23" s="1351">
        <f t="shared" si="4"/>
        <v>1</v>
      </c>
      <c r="AC23" s="1351">
        <f t="shared" si="5"/>
        <v>1</v>
      </c>
    </row>
    <row r="24" spans="1:29" ht="15">
      <c r="A24" s="378"/>
      <c r="B24" s="406"/>
      <c r="C24" s="397" t="s">
        <v>3407</v>
      </c>
      <c r="D24" s="398"/>
      <c r="E24" s="397" t="s">
        <v>3407</v>
      </c>
      <c r="F24" s="399"/>
      <c r="G24" s="397" t="s">
        <v>3407</v>
      </c>
      <c r="H24" s="398"/>
      <c r="I24" s="397" t="s">
        <v>3407</v>
      </c>
      <c r="J24" s="398"/>
      <c r="K24" s="563"/>
      <c r="L24" s="2716"/>
      <c r="M24" s="2710"/>
      <c r="N24" s="2710"/>
      <c r="O24" s="2710"/>
      <c r="P24" s="3758"/>
      <c r="Q24" s="1350"/>
      <c r="R24" s="703"/>
      <c r="S24" s="704"/>
      <c r="T24" s="703"/>
      <c r="U24" s="704"/>
      <c r="V24" s="703"/>
      <c r="W24" s="704"/>
      <c r="X24" s="1353"/>
      <c r="Y24" s="3760"/>
      <c r="Z24" s="1354"/>
      <c r="AA24" s="1351">
        <v>1</v>
      </c>
      <c r="AB24" s="1351">
        <v>1</v>
      </c>
      <c r="AC24" s="1351">
        <v>1</v>
      </c>
    </row>
    <row r="25" spans="1:29" ht="15">
      <c r="A25" s="378"/>
      <c r="B25" s="374" t="s">
        <v>1780</v>
      </c>
      <c r="C25" s="564" t="s">
        <v>3506</v>
      </c>
      <c r="D25" s="385">
        <v>100</v>
      </c>
      <c r="E25" s="564" t="s">
        <v>3506</v>
      </c>
      <c r="F25" s="411">
        <f>SUMIF(86:86,E25,87:87)-SUMIF(86:86,C25,87:87)+100</f>
        <v>100</v>
      </c>
      <c r="G25" s="564" t="s">
        <v>3506</v>
      </c>
      <c r="H25" s="385">
        <f>SUMIF(86:86,G25,87:87)-SUMIF(86:86,C25,87:87)+100</f>
        <v>100</v>
      </c>
      <c r="I25" s="564" t="s">
        <v>3506</v>
      </c>
      <c r="J25" s="385">
        <f>SUMIF(86:86,I25,87:87)-SUMIF(86:86,C25,87:87)+100</f>
        <v>100</v>
      </c>
      <c r="K25" s="560">
        <v>2</v>
      </c>
      <c r="L25" s="2716"/>
      <c r="M25" s="2710"/>
      <c r="N25" s="2710"/>
      <c r="O25" s="2710"/>
      <c r="P25" s="3758"/>
      <c r="Q25" s="1350" t="str">
        <f t="shared" ref="Q25:Q46" si="11">B25</f>
        <v>临街状况</v>
      </c>
      <c r="R25" s="703" t="s">
        <v>14</v>
      </c>
      <c r="S25" s="704">
        <f>F25</f>
        <v>100</v>
      </c>
      <c r="T25" s="703" t="s">
        <v>14</v>
      </c>
      <c r="U25" s="704">
        <f>H25</f>
        <v>100</v>
      </c>
      <c r="V25" s="703" t="s">
        <v>14</v>
      </c>
      <c r="W25" s="704">
        <f>J25</f>
        <v>100</v>
      </c>
      <c r="X25" s="1353"/>
      <c r="Y25" s="3760"/>
      <c r="Z25" s="1354" t="str">
        <f>Q25</f>
        <v>临街状况</v>
      </c>
      <c r="AA25" s="1351">
        <f t="shared" si="3"/>
        <v>1</v>
      </c>
      <c r="AB25" s="1351">
        <f t="shared" si="4"/>
        <v>1</v>
      </c>
      <c r="AC25" s="1351">
        <f t="shared" si="5"/>
        <v>1</v>
      </c>
    </row>
    <row r="26" spans="1:29" ht="15">
      <c r="A26" s="378"/>
      <c r="B26" s="1131" t="s">
        <v>1781</v>
      </c>
      <c r="C26" s="3480" t="s">
        <v>3503</v>
      </c>
      <c r="D26" s="385">
        <v>100</v>
      </c>
      <c r="E26" s="3480" t="s">
        <v>3503</v>
      </c>
      <c r="F26" s="411">
        <f>SUMIF(88:88,E26,89:89)-SUMIF(88:88,C26,89:89)+100</f>
        <v>100</v>
      </c>
      <c r="G26" s="3480" t="s">
        <v>3503</v>
      </c>
      <c r="H26" s="385">
        <f>SUMIF(88:88,G26,89:89)-SUMIF(88:88,C26,89:89)+100</f>
        <v>100</v>
      </c>
      <c r="I26" s="3480" t="s">
        <v>3503</v>
      </c>
      <c r="J26" s="385">
        <f>SUMIF(88:88,I26,89:89)-SUMIF(88:88,C26,89:89)+100</f>
        <v>100</v>
      </c>
      <c r="K26" s="561"/>
      <c r="L26" s="2716"/>
      <c r="M26" s="2710"/>
      <c r="N26" s="2710"/>
      <c r="O26" s="2710"/>
      <c r="P26" s="3758"/>
      <c r="Q26" s="1350" t="str">
        <f t="shared" si="11"/>
        <v>平面位置/可视性</v>
      </c>
      <c r="R26" s="703" t="s">
        <v>14</v>
      </c>
      <c r="S26" s="704">
        <f>F26</f>
        <v>100</v>
      </c>
      <c r="T26" s="703" t="s">
        <v>14</v>
      </c>
      <c r="U26" s="704">
        <f>H26</f>
        <v>100</v>
      </c>
      <c r="V26" s="703" t="s">
        <v>14</v>
      </c>
      <c r="W26" s="704">
        <f>J26</f>
        <v>100</v>
      </c>
      <c r="X26" s="1353"/>
      <c r="Y26" s="3760"/>
      <c r="Z26" s="1354" t="str">
        <f>Q26</f>
        <v>平面位置/可视性</v>
      </c>
      <c r="AA26" s="1351">
        <f t="shared" si="3"/>
        <v>1</v>
      </c>
      <c r="AB26" s="1351">
        <f t="shared" si="4"/>
        <v>1</v>
      </c>
      <c r="AC26" s="1351">
        <f t="shared" si="5"/>
        <v>1</v>
      </c>
    </row>
    <row r="27" spans="1:29" s="107" customFormat="1" ht="15">
      <c r="A27" s="381"/>
      <c r="B27" s="401" t="s">
        <v>1782</v>
      </c>
      <c r="C27" s="1954" t="s">
        <v>3406</v>
      </c>
      <c r="D27" s="412">
        <v>100</v>
      </c>
      <c r="E27" s="1954" t="s">
        <v>3406</v>
      </c>
      <c r="F27" s="414">
        <f>SUMIF(90:90,E27,91:91)-SUMIF(90:90,C27,91:91)+100</f>
        <v>100</v>
      </c>
      <c r="G27" s="1954" t="s">
        <v>3406</v>
      </c>
      <c r="H27" s="412">
        <f>SUMIF(90:90,G27,91:91)-SUMIF(90:90,C27,91:91)+100</f>
        <v>100</v>
      </c>
      <c r="I27" s="1954" t="s">
        <v>3406</v>
      </c>
      <c r="J27" s="412">
        <f>SUMIF(90:90,I27,91:91)-SUMIF(90:90,C27,91:91)+100</f>
        <v>100</v>
      </c>
      <c r="K27" s="560">
        <v>3</v>
      </c>
      <c r="L27" s="2711"/>
      <c r="M27" s="2712"/>
      <c r="N27" s="2712"/>
      <c r="O27" s="2712"/>
      <c r="P27" s="3758"/>
      <c r="Q27" s="1341" t="str">
        <f t="shared" si="11"/>
        <v>人流量</v>
      </c>
      <c r="R27" s="699" t="s">
        <v>14</v>
      </c>
      <c r="S27" s="700">
        <f>F27</f>
        <v>100</v>
      </c>
      <c r="T27" s="699" t="s">
        <v>14</v>
      </c>
      <c r="U27" s="700">
        <f>H27</f>
        <v>100</v>
      </c>
      <c r="V27" s="699" t="s">
        <v>14</v>
      </c>
      <c r="W27" s="700">
        <f>J27</f>
        <v>100</v>
      </c>
      <c r="X27" s="701"/>
      <c r="Y27" s="3760"/>
      <c r="Z27" s="52" t="str">
        <f>Q27</f>
        <v>人流量</v>
      </c>
      <c r="AA27" s="1351">
        <f>D27/F27</f>
        <v>1</v>
      </c>
      <c r="AB27" s="1351">
        <f>D27/H27</f>
        <v>1</v>
      </c>
      <c r="AC27" s="1351">
        <f>D27/J27</f>
        <v>1</v>
      </c>
    </row>
    <row r="28" spans="1:29" ht="15.75" thickBot="1">
      <c r="A28" s="378"/>
      <c r="B28" s="374" t="s">
        <v>1783</v>
      </c>
      <c r="C28" s="564" t="s">
        <v>3541</v>
      </c>
      <c r="D28" s="385">
        <v>100</v>
      </c>
      <c r="E28" s="564" t="s">
        <v>3544</v>
      </c>
      <c r="F28" s="411">
        <f>SUMIF(92:92,E28,93:93)-SUMIF(92:92,C28,93:93)+100</f>
        <v>120</v>
      </c>
      <c r="G28" s="564" t="s">
        <v>3480</v>
      </c>
      <c r="H28" s="385">
        <f>SUMIF(92:92,G28,93:93)-SUMIF(92:92,C28,93:93)+100</f>
        <v>140</v>
      </c>
      <c r="I28" s="564" t="s">
        <v>3480</v>
      </c>
      <c r="J28" s="385">
        <f>SUMIF(92:92,I28,93:93)-SUMIF(92:92,C28,93:93)+100</f>
        <v>140</v>
      </c>
      <c r="K28" s="561"/>
      <c r="L28" s="2716"/>
      <c r="M28" s="2710"/>
      <c r="N28" s="2710"/>
      <c r="O28" s="2710"/>
      <c r="P28" s="3758"/>
      <c r="Q28" s="1350" t="str">
        <f t="shared" si="11"/>
        <v>楼层</v>
      </c>
      <c r="R28" s="703" t="s">
        <v>14</v>
      </c>
      <c r="S28" s="704">
        <f t="shared" ref="S28:S46" si="12">F28</f>
        <v>120</v>
      </c>
      <c r="T28" s="703" t="s">
        <v>14</v>
      </c>
      <c r="U28" s="704">
        <f t="shared" ref="U28:U46" si="13">H28</f>
        <v>140</v>
      </c>
      <c r="V28" s="703" t="s">
        <v>14</v>
      </c>
      <c r="W28" s="704">
        <f t="shared" ref="W28:W46" si="14">J28</f>
        <v>140</v>
      </c>
      <c r="X28" s="1353"/>
      <c r="Y28" s="3760"/>
      <c r="Z28" s="1354" t="str">
        <f t="shared" ref="Z28:Z46" si="15">Q28</f>
        <v>楼层</v>
      </c>
      <c r="AA28" s="1351">
        <f t="shared" si="3"/>
        <v>0.83333333333333337</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58"/>
      <c r="Q29" s="1350">
        <f t="shared" si="11"/>
        <v>0</v>
      </c>
      <c r="R29" s="703" t="s">
        <v>14</v>
      </c>
      <c r="S29" s="704">
        <f t="shared" si="12"/>
        <v>100</v>
      </c>
      <c r="T29" s="703" t="s">
        <v>14</v>
      </c>
      <c r="U29" s="704">
        <f t="shared" si="13"/>
        <v>100</v>
      </c>
      <c r="V29" s="703" t="s">
        <v>14</v>
      </c>
      <c r="W29" s="704">
        <f t="shared" si="14"/>
        <v>100</v>
      </c>
      <c r="X29" s="1353"/>
      <c r="Y29" s="3760"/>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58"/>
      <c r="Q30" s="1350">
        <f t="shared" si="11"/>
        <v>111</v>
      </c>
      <c r="R30" s="703" t="s">
        <v>14</v>
      </c>
      <c r="S30" s="704">
        <f t="shared" si="12"/>
        <v>100</v>
      </c>
      <c r="T30" s="703" t="s">
        <v>14</v>
      </c>
      <c r="U30" s="704">
        <f t="shared" si="13"/>
        <v>100</v>
      </c>
      <c r="V30" s="703" t="s">
        <v>14</v>
      </c>
      <c r="W30" s="704">
        <f t="shared" si="14"/>
        <v>100</v>
      </c>
      <c r="X30" s="1353"/>
      <c r="Y30" s="3760"/>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58"/>
      <c r="Q31" s="1350">
        <f t="shared" si="11"/>
        <v>111</v>
      </c>
      <c r="R31" s="703" t="s">
        <v>14</v>
      </c>
      <c r="S31" s="704">
        <f t="shared" si="12"/>
        <v>100</v>
      </c>
      <c r="T31" s="703" t="s">
        <v>14</v>
      </c>
      <c r="U31" s="704">
        <f t="shared" si="13"/>
        <v>100</v>
      </c>
      <c r="V31" s="703" t="s">
        <v>14</v>
      </c>
      <c r="W31" s="704">
        <f t="shared" si="14"/>
        <v>100</v>
      </c>
      <c r="X31" s="1353"/>
      <c r="Y31" s="3760"/>
      <c r="Z31" s="1354">
        <f t="shared" si="15"/>
        <v>111</v>
      </c>
      <c r="AA31" s="1351">
        <f t="shared" si="3"/>
        <v>1</v>
      </c>
      <c r="AB31" s="1351">
        <f t="shared" si="4"/>
        <v>1</v>
      </c>
      <c r="AC31" s="1351">
        <f t="shared" si="5"/>
        <v>1</v>
      </c>
    </row>
    <row r="32" spans="1:29" ht="15">
      <c r="A32" s="390" t="s">
        <v>1694</v>
      </c>
      <c r="B32" s="63" t="s">
        <v>1784</v>
      </c>
      <c r="C32" s="1908" t="s">
        <v>3486</v>
      </c>
      <c r="D32" s="417">
        <v>100</v>
      </c>
      <c r="E32" s="1908" t="s">
        <v>3486</v>
      </c>
      <c r="F32" s="411">
        <f>SUMIF(100:100,E32,101:101)-SUMIF(100:100,C32,101:101)+100</f>
        <v>100</v>
      </c>
      <c r="G32" s="1908" t="s">
        <v>3486</v>
      </c>
      <c r="H32" s="385">
        <f>SUMIF(100:100,G32,101:101)-SUMIF(100:100,C32,101:101)+100</f>
        <v>100</v>
      </c>
      <c r="I32" s="1908" t="s">
        <v>3486</v>
      </c>
      <c r="J32" s="417">
        <f>SUMIF(100:100,I32,101:101)-SUMIF(100:100,C32,101:101)+100</f>
        <v>100</v>
      </c>
      <c r="K32" s="560">
        <v>5</v>
      </c>
      <c r="L32" s="2716"/>
      <c r="M32" s="2710"/>
      <c r="N32" s="2710"/>
      <c r="O32" s="2710"/>
      <c r="P32" s="3761" t="s">
        <v>1696</v>
      </c>
      <c r="Q32" s="1350" t="str">
        <f t="shared" si="11"/>
        <v>商业类型</v>
      </c>
      <c r="R32" s="703" t="s">
        <v>14</v>
      </c>
      <c r="S32" s="704">
        <f t="shared" si="12"/>
        <v>100</v>
      </c>
      <c r="T32" s="703" t="s">
        <v>14</v>
      </c>
      <c r="U32" s="704">
        <f t="shared" si="13"/>
        <v>100</v>
      </c>
      <c r="V32" s="703" t="s">
        <v>14</v>
      </c>
      <c r="W32" s="704">
        <f t="shared" si="14"/>
        <v>100</v>
      </c>
      <c r="X32" s="1353"/>
      <c r="Y32" s="3764" t="s">
        <v>1696</v>
      </c>
      <c r="Z32" s="1354" t="str">
        <f t="shared" si="15"/>
        <v>商业类型</v>
      </c>
      <c r="AA32" s="1351">
        <f t="shared" si="3"/>
        <v>1</v>
      </c>
      <c r="AB32" s="1351">
        <f t="shared" si="4"/>
        <v>1</v>
      </c>
      <c r="AC32" s="1351">
        <f t="shared" si="5"/>
        <v>1</v>
      </c>
    </row>
    <row r="33" spans="1:29" s="421" customFormat="1" ht="15">
      <c r="A33" s="418"/>
      <c r="B33" s="374" t="s">
        <v>1697</v>
      </c>
      <c r="C33" s="419">
        <f>'数据-汇总表'!F19</f>
        <v>2678.5</v>
      </c>
      <c r="D33" s="126">
        <v>100</v>
      </c>
      <c r="E33" s="380">
        <v>67.88</v>
      </c>
      <c r="F33" s="375">
        <f>LOOKUP(E33,103:103,104:104)-LOOKUP(C33,103:103,104:104)+100</f>
        <v>105</v>
      </c>
      <c r="G33" s="379">
        <v>182.58</v>
      </c>
      <c r="H33" s="126">
        <f>LOOKUP(G33,103:103,104:104)-LOOKUP(C33,103:103,104:104)+100</f>
        <v>105</v>
      </c>
      <c r="I33" s="379">
        <v>200</v>
      </c>
      <c r="J33" s="126">
        <f>LOOKUP(I33,103:103,104:104)-LOOKUP(C33,103:103,104:104)+100</f>
        <v>104</v>
      </c>
      <c r="K33" s="561"/>
      <c r="L33" s="2715"/>
      <c r="M33" s="2717"/>
      <c r="N33" s="2717"/>
      <c r="O33" s="2717"/>
      <c r="P33" s="3762"/>
      <c r="Q33" s="705" t="str">
        <f t="shared" si="11"/>
        <v>项目建筑规模</v>
      </c>
      <c r="R33" s="706" t="s">
        <v>14</v>
      </c>
      <c r="S33" s="707">
        <f t="shared" si="12"/>
        <v>105</v>
      </c>
      <c r="T33" s="706" t="s">
        <v>14</v>
      </c>
      <c r="U33" s="707">
        <f t="shared" si="13"/>
        <v>105</v>
      </c>
      <c r="V33" s="706" t="s">
        <v>14</v>
      </c>
      <c r="W33" s="707">
        <f t="shared" si="14"/>
        <v>104</v>
      </c>
      <c r="X33" s="708"/>
      <c r="Y33" s="3764"/>
      <c r="Z33" s="709" t="str">
        <f t="shared" si="15"/>
        <v>项目建筑规模</v>
      </c>
      <c r="AA33" s="1351">
        <f t="shared" si="3"/>
        <v>0.95238095238095233</v>
      </c>
      <c r="AB33" s="1351">
        <f t="shared" si="4"/>
        <v>0.95238095238095233</v>
      </c>
      <c r="AC33" s="1351">
        <f t="shared" si="5"/>
        <v>0.96153846153846156</v>
      </c>
    </row>
    <row r="34" spans="1:29" ht="15">
      <c r="A34" s="422"/>
      <c r="B34" s="374" t="s">
        <v>1698</v>
      </c>
      <c r="C34" s="1910" t="s">
        <v>3429</v>
      </c>
      <c r="D34" s="385">
        <v>100</v>
      </c>
      <c r="E34" s="1910" t="s">
        <v>3429</v>
      </c>
      <c r="F34" s="411">
        <f>SUMIF(105:105,E34,106:106)-SUMIF(105:105,C34,106:106)+100</f>
        <v>100</v>
      </c>
      <c r="G34" s="1910" t="s">
        <v>3429</v>
      </c>
      <c r="H34" s="385">
        <f>SUMIF(105:105,G34,106:106)-SUMIF(105:105,C34,106:106)+100</f>
        <v>100</v>
      </c>
      <c r="I34" s="1910" t="s">
        <v>3429</v>
      </c>
      <c r="J34" s="385">
        <f>SUMIF(105:105,I34,106:106)-SUMIF(105:105,C34,106:106)+100</f>
        <v>100</v>
      </c>
      <c r="K34" s="560">
        <v>1</v>
      </c>
      <c r="L34" s="2716"/>
      <c r="M34" s="2710"/>
      <c r="N34" s="2710"/>
      <c r="O34" s="2710"/>
      <c r="P34" s="3762"/>
      <c r="Q34" s="1350" t="str">
        <f t="shared" si="11"/>
        <v>建筑结构</v>
      </c>
      <c r="R34" s="703" t="s">
        <v>14</v>
      </c>
      <c r="S34" s="704">
        <f t="shared" si="12"/>
        <v>100</v>
      </c>
      <c r="T34" s="703" t="s">
        <v>14</v>
      </c>
      <c r="U34" s="704">
        <f t="shared" si="13"/>
        <v>100</v>
      </c>
      <c r="V34" s="703" t="s">
        <v>14</v>
      </c>
      <c r="W34" s="704">
        <f t="shared" si="14"/>
        <v>100</v>
      </c>
      <c r="X34" s="1353"/>
      <c r="Y34" s="3764"/>
      <c r="Z34" s="1354" t="str">
        <f t="shared" si="15"/>
        <v>建筑结构</v>
      </c>
      <c r="AA34" s="1351">
        <f t="shared" si="3"/>
        <v>1</v>
      </c>
      <c r="AB34" s="1351">
        <f t="shared" si="4"/>
        <v>1</v>
      </c>
      <c r="AC34" s="1351">
        <f t="shared" si="5"/>
        <v>1</v>
      </c>
    </row>
    <row r="35" spans="1:29" ht="15">
      <c r="A35" s="422"/>
      <c r="B35" s="374" t="s">
        <v>1785</v>
      </c>
      <c r="C35" s="1904" t="s">
        <v>3446</v>
      </c>
      <c r="D35" s="385">
        <v>100</v>
      </c>
      <c r="E35" s="1904" t="s">
        <v>3446</v>
      </c>
      <c r="F35" s="411">
        <f>SUMIF(107:107,E35,108:108)-SUMIF(107:107,C35,108:108)+100</f>
        <v>100</v>
      </c>
      <c r="G35" s="1904" t="s">
        <v>3446</v>
      </c>
      <c r="H35" s="385">
        <f>SUMIF(107:107,G35,108:108)-SUMIF(107:107,C35,108:108)+100</f>
        <v>100</v>
      </c>
      <c r="I35" s="1904" t="s">
        <v>3446</v>
      </c>
      <c r="J35" s="385">
        <f>SUMIF(107:107,I35,108:108)-SUMIF(107:107,C35,108:108)+100</f>
        <v>100</v>
      </c>
      <c r="K35" s="560">
        <v>2</v>
      </c>
      <c r="L35" s="2716"/>
      <c r="M35" s="2710"/>
      <c r="N35" s="2710"/>
      <c r="O35" s="2710"/>
      <c r="P35" s="3762"/>
      <c r="Q35" s="1350" t="str">
        <f t="shared" si="11"/>
        <v>公共部分装修</v>
      </c>
      <c r="R35" s="703" t="s">
        <v>14</v>
      </c>
      <c r="S35" s="704">
        <f t="shared" si="12"/>
        <v>100</v>
      </c>
      <c r="T35" s="703" t="s">
        <v>14</v>
      </c>
      <c r="U35" s="704">
        <f t="shared" si="13"/>
        <v>100</v>
      </c>
      <c r="V35" s="703" t="s">
        <v>14</v>
      </c>
      <c r="W35" s="704">
        <f t="shared" si="14"/>
        <v>100</v>
      </c>
      <c r="X35" s="1353"/>
      <c r="Y35" s="3764"/>
      <c r="Z35" s="1354" t="str">
        <f t="shared" si="15"/>
        <v>公共部分装修</v>
      </c>
      <c r="AA35" s="1351">
        <f t="shared" si="3"/>
        <v>1</v>
      </c>
      <c r="AB35" s="1351">
        <f t="shared" si="4"/>
        <v>1</v>
      </c>
      <c r="AC35" s="1351">
        <f t="shared" si="5"/>
        <v>1</v>
      </c>
    </row>
    <row r="36" spans="1:29" ht="15">
      <c r="A36" s="422"/>
      <c r="B36" s="374" t="s">
        <v>1786</v>
      </c>
      <c r="C36" s="424">
        <f>'数据-取费表'!N6</f>
        <v>0.7</v>
      </c>
      <c r="D36" s="385">
        <v>100</v>
      </c>
      <c r="E36" s="424">
        <f>C36</f>
        <v>0.7</v>
      </c>
      <c r="F36" s="411">
        <f>LOOKUP(E36,110:110,111:111)-LOOKUP(C36,110:110,111:111)+100</f>
        <v>100</v>
      </c>
      <c r="G36" s="424">
        <f>E36</f>
        <v>0.7</v>
      </c>
      <c r="H36" s="411">
        <f>LOOKUP(G36,110:110,111:111)-LOOKUP(C36,110:110,111:111)+100</f>
        <v>100</v>
      </c>
      <c r="I36" s="424">
        <f>G36</f>
        <v>0.7</v>
      </c>
      <c r="J36" s="385">
        <f>LOOKUP(I36,110:110,111:111)-LOOKUP(C36,110:110,111:111)+100</f>
        <v>100</v>
      </c>
      <c r="K36" s="560">
        <v>1</v>
      </c>
      <c r="L36" s="2716"/>
      <c r="M36" s="2710"/>
      <c r="N36" s="2710"/>
      <c r="O36" s="2710"/>
      <c r="P36" s="3762"/>
      <c r="Q36" s="1350" t="str">
        <f t="shared" si="11"/>
        <v>成新度</v>
      </c>
      <c r="R36" s="703" t="s">
        <v>14</v>
      </c>
      <c r="S36" s="704">
        <f t="shared" si="12"/>
        <v>100</v>
      </c>
      <c r="T36" s="703" t="s">
        <v>14</v>
      </c>
      <c r="U36" s="704">
        <f t="shared" si="13"/>
        <v>100</v>
      </c>
      <c r="V36" s="703" t="s">
        <v>14</v>
      </c>
      <c r="W36" s="704">
        <f t="shared" si="14"/>
        <v>100</v>
      </c>
      <c r="X36" s="1353"/>
      <c r="Y36" s="3764"/>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62"/>
      <c r="Q37" s="1341" t="str">
        <f t="shared" si="11"/>
        <v>市政基础设施</v>
      </c>
      <c r="R37" s="699" t="s">
        <v>14</v>
      </c>
      <c r="S37" s="700">
        <f t="shared" si="12"/>
        <v>100</v>
      </c>
      <c r="T37" s="699" t="s">
        <v>14</v>
      </c>
      <c r="U37" s="700">
        <f t="shared" si="13"/>
        <v>100</v>
      </c>
      <c r="V37" s="699" t="s">
        <v>14</v>
      </c>
      <c r="W37" s="700">
        <f t="shared" si="14"/>
        <v>100</v>
      </c>
      <c r="X37" s="701"/>
      <c r="Y37" s="3764"/>
      <c r="Z37" s="52" t="str">
        <f t="shared" si="15"/>
        <v>市政基础设施</v>
      </c>
      <c r="AA37" s="702">
        <f t="shared" si="3"/>
        <v>1</v>
      </c>
      <c r="AB37" s="702">
        <f t="shared" si="4"/>
        <v>1</v>
      </c>
      <c r="AC37" s="702">
        <f t="shared" si="5"/>
        <v>1</v>
      </c>
    </row>
    <row r="38" spans="1:29" ht="15">
      <c r="A38" s="422"/>
      <c r="B38" s="374" t="s">
        <v>1788</v>
      </c>
      <c r="C38" s="1904" t="s">
        <v>3542</v>
      </c>
      <c r="D38" s="385">
        <v>100</v>
      </c>
      <c r="E38" s="1904" t="s">
        <v>3542</v>
      </c>
      <c r="F38" s="411">
        <f>SUMIF(114:114,E38,115:115)-SUMIF(114:114,C38,115:115)+100</f>
        <v>100</v>
      </c>
      <c r="G38" s="1904" t="s">
        <v>3542</v>
      </c>
      <c r="H38" s="385">
        <f>SUMIF(114:114,G38,115:115)-SUMIF(114:114,C38,115:115)+100</f>
        <v>100</v>
      </c>
      <c r="I38" s="1904" t="s">
        <v>3542</v>
      </c>
      <c r="J38" s="385">
        <f>SUMIF(114:114,I38,115:115)-SUMIF(114:114,C38,115:115)+100</f>
        <v>100</v>
      </c>
      <c r="K38" s="560">
        <v>2</v>
      </c>
      <c r="L38" s="2716"/>
      <c r="M38" s="2710"/>
      <c r="N38" s="2710"/>
      <c r="O38" s="2710"/>
      <c r="P38" s="3762" t="s">
        <v>1696</v>
      </c>
      <c r="Q38" s="1350" t="str">
        <f t="shared" si="11"/>
        <v>业态</v>
      </c>
      <c r="R38" s="703" t="s">
        <v>14</v>
      </c>
      <c r="S38" s="704">
        <f t="shared" si="12"/>
        <v>100</v>
      </c>
      <c r="T38" s="703" t="s">
        <v>14</v>
      </c>
      <c r="U38" s="704">
        <f t="shared" si="13"/>
        <v>100</v>
      </c>
      <c r="V38" s="703" t="s">
        <v>14</v>
      </c>
      <c r="W38" s="704">
        <f t="shared" si="14"/>
        <v>100</v>
      </c>
      <c r="X38" s="1353"/>
      <c r="Y38" s="3764"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62"/>
      <c r="Q39" s="1350" t="str">
        <f t="shared" si="11"/>
        <v>层高</v>
      </c>
      <c r="R39" s="703" t="s">
        <v>14</v>
      </c>
      <c r="S39" s="704">
        <f t="shared" si="12"/>
        <v>100</v>
      </c>
      <c r="T39" s="703" t="s">
        <v>14</v>
      </c>
      <c r="U39" s="704">
        <f t="shared" si="13"/>
        <v>100</v>
      </c>
      <c r="V39" s="703" t="s">
        <v>14</v>
      </c>
      <c r="W39" s="704">
        <f t="shared" si="14"/>
        <v>100</v>
      </c>
      <c r="X39" s="1353"/>
      <c r="Y39" s="3764"/>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62"/>
      <c r="Q40" s="1350" t="str">
        <f t="shared" si="11"/>
        <v>单套建筑面积</v>
      </c>
      <c r="R40" s="703" t="s">
        <v>14</v>
      </c>
      <c r="S40" s="704">
        <f t="shared" si="12"/>
        <v>100</v>
      </c>
      <c r="T40" s="703" t="s">
        <v>14</v>
      </c>
      <c r="U40" s="704">
        <f t="shared" si="13"/>
        <v>100</v>
      </c>
      <c r="V40" s="703" t="s">
        <v>14</v>
      </c>
      <c r="W40" s="704">
        <f t="shared" si="14"/>
        <v>100</v>
      </c>
      <c r="X40" s="1353"/>
      <c r="Y40" s="3764"/>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62"/>
      <c r="Q41" s="705" t="str">
        <f t="shared" si="11"/>
        <v>进深比</v>
      </c>
      <c r="R41" s="706" t="s">
        <v>14</v>
      </c>
      <c r="S41" s="707">
        <f t="shared" si="12"/>
        <v>100</v>
      </c>
      <c r="T41" s="706" t="s">
        <v>14</v>
      </c>
      <c r="U41" s="707">
        <f t="shared" si="13"/>
        <v>100</v>
      </c>
      <c r="V41" s="706" t="s">
        <v>14</v>
      </c>
      <c r="W41" s="707">
        <f t="shared" si="14"/>
        <v>100</v>
      </c>
      <c r="X41" s="708"/>
      <c r="Y41" s="3764"/>
      <c r="Z41" s="709" t="str">
        <f t="shared" si="15"/>
        <v>进深比</v>
      </c>
      <c r="AA41" s="1351">
        <f t="shared" si="3"/>
        <v>1</v>
      </c>
      <c r="AB41" s="1351">
        <f t="shared" si="4"/>
        <v>1</v>
      </c>
      <c r="AC41" s="1351">
        <f t="shared" si="5"/>
        <v>1</v>
      </c>
    </row>
    <row r="42" spans="1:29" ht="15">
      <c r="A42" s="422"/>
      <c r="B42" s="374" t="s">
        <v>1792</v>
      </c>
      <c r="C42" s="1904" t="s">
        <v>3448</v>
      </c>
      <c r="D42" s="385">
        <v>100</v>
      </c>
      <c r="E42" s="1904" t="s">
        <v>3507</v>
      </c>
      <c r="F42" s="411">
        <f>SUMIF(122:122,E42,123:123)-SUMIF(122:122,C42,123:123)+100</f>
        <v>98</v>
      </c>
      <c r="G42" s="1904" t="s">
        <v>3448</v>
      </c>
      <c r="H42" s="385">
        <f>SUMIF(122:122,G42,123:123)-SUMIF(122:122,C42,123:123)+100</f>
        <v>100</v>
      </c>
      <c r="I42" s="1904" t="s">
        <v>3448</v>
      </c>
      <c r="J42" s="385">
        <f>SUMIF(122:122,I42,123:123)-SUMIF(122:122,C42,123:123)+100</f>
        <v>100</v>
      </c>
      <c r="K42" s="560">
        <v>1</v>
      </c>
      <c r="L42" s="2716"/>
      <c r="M42" s="2710"/>
      <c r="N42" s="2710"/>
      <c r="O42" s="2710"/>
      <c r="P42" s="3762"/>
      <c r="Q42" s="1350" t="str">
        <f t="shared" si="11"/>
        <v>内部装修</v>
      </c>
      <c r="R42" s="703" t="s">
        <v>14</v>
      </c>
      <c r="S42" s="704">
        <f t="shared" si="12"/>
        <v>98</v>
      </c>
      <c r="T42" s="703" t="s">
        <v>14</v>
      </c>
      <c r="U42" s="704">
        <f t="shared" si="13"/>
        <v>100</v>
      </c>
      <c r="V42" s="703" t="s">
        <v>14</v>
      </c>
      <c r="W42" s="704">
        <f t="shared" si="14"/>
        <v>100</v>
      </c>
      <c r="X42" s="1353"/>
      <c r="Y42" s="3764"/>
      <c r="Z42" s="1354" t="str">
        <f t="shared" si="15"/>
        <v>内部装修</v>
      </c>
      <c r="AA42" s="1351">
        <f t="shared" si="3"/>
        <v>1.0204081632653061</v>
      </c>
      <c r="AB42" s="1351">
        <f t="shared" si="4"/>
        <v>1</v>
      </c>
      <c r="AC42" s="1351">
        <f t="shared" si="5"/>
        <v>1</v>
      </c>
    </row>
    <row r="43" spans="1:29" ht="15">
      <c r="A43" s="422"/>
      <c r="B43" s="374" t="s">
        <v>1707</v>
      </c>
      <c r="C43" s="1904" t="s">
        <v>3407</v>
      </c>
      <c r="D43" s="385">
        <v>100</v>
      </c>
      <c r="E43" s="1904" t="s">
        <v>3407</v>
      </c>
      <c r="F43" s="411">
        <f>SUMIF(124:124,E43,125:125)-SUMIF(124:124,C43,125:125)+100</f>
        <v>100</v>
      </c>
      <c r="G43" s="1904" t="s">
        <v>3407</v>
      </c>
      <c r="H43" s="385">
        <f>SUMIF(124:124,G43,125:125)-SUMIF(124:124,C43,125:125)+100</f>
        <v>100</v>
      </c>
      <c r="I43" s="1904" t="s">
        <v>3407</v>
      </c>
      <c r="J43" s="385">
        <f>SUMIF(124:124,I43,125:125)-SUMIF(124:124,C43,125:125)+100</f>
        <v>100</v>
      </c>
      <c r="K43" s="560">
        <v>1</v>
      </c>
      <c r="L43" s="2716"/>
      <c r="M43" s="2710"/>
      <c r="N43" s="2710"/>
      <c r="O43" s="2710"/>
      <c r="P43" s="3762"/>
      <c r="Q43" s="1350" t="str">
        <f t="shared" si="11"/>
        <v>内部装修维护情况</v>
      </c>
      <c r="R43" s="703" t="s">
        <v>14</v>
      </c>
      <c r="S43" s="704">
        <f t="shared" si="12"/>
        <v>100</v>
      </c>
      <c r="T43" s="703" t="s">
        <v>14</v>
      </c>
      <c r="U43" s="704">
        <f t="shared" si="13"/>
        <v>100</v>
      </c>
      <c r="V43" s="703" t="s">
        <v>14</v>
      </c>
      <c r="W43" s="704">
        <f t="shared" si="14"/>
        <v>100</v>
      </c>
      <c r="X43" s="1353"/>
      <c r="Y43" s="3764"/>
      <c r="Z43" s="1354" t="str">
        <f t="shared" si="15"/>
        <v>内部装修维护情况</v>
      </c>
      <c r="AA43" s="1351">
        <f t="shared" si="3"/>
        <v>1</v>
      </c>
      <c r="AB43" s="1351">
        <f t="shared" si="4"/>
        <v>1</v>
      </c>
      <c r="AC43" s="1351">
        <f t="shared" si="5"/>
        <v>1</v>
      </c>
    </row>
    <row r="44" spans="1:29" s="107" customFormat="1" ht="15">
      <c r="A44" s="423"/>
      <c r="B44" s="3471" t="s">
        <v>3510</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62"/>
      <c r="Q44" s="1341" t="str">
        <f t="shared" si="11"/>
        <v>使用率</v>
      </c>
      <c r="R44" s="699" t="s">
        <v>14</v>
      </c>
      <c r="S44" s="700">
        <f t="shared" si="12"/>
        <v>100</v>
      </c>
      <c r="T44" s="699" t="s">
        <v>14</v>
      </c>
      <c r="U44" s="700">
        <f t="shared" si="13"/>
        <v>100</v>
      </c>
      <c r="V44" s="699" t="s">
        <v>14</v>
      </c>
      <c r="W44" s="700">
        <f t="shared" si="14"/>
        <v>100</v>
      </c>
      <c r="X44" s="701"/>
      <c r="Y44" s="3764"/>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62"/>
      <c r="Q45" s="1350">
        <f t="shared" si="11"/>
        <v>0</v>
      </c>
      <c r="R45" s="703" t="s">
        <v>14</v>
      </c>
      <c r="S45" s="704">
        <f t="shared" si="12"/>
        <v>100</v>
      </c>
      <c r="T45" s="703" t="s">
        <v>14</v>
      </c>
      <c r="U45" s="704">
        <f t="shared" si="13"/>
        <v>100</v>
      </c>
      <c r="V45" s="703" t="s">
        <v>14</v>
      </c>
      <c r="W45" s="704">
        <f t="shared" si="14"/>
        <v>100</v>
      </c>
      <c r="X45" s="1353"/>
      <c r="Y45" s="3764"/>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63"/>
      <c r="Q46" s="1350">
        <f t="shared" si="11"/>
        <v>0</v>
      </c>
      <c r="R46" s="703" t="s">
        <v>14</v>
      </c>
      <c r="S46" s="704">
        <f t="shared" si="12"/>
        <v>100</v>
      </c>
      <c r="T46" s="703" t="s">
        <v>14</v>
      </c>
      <c r="U46" s="704">
        <f t="shared" si="13"/>
        <v>100</v>
      </c>
      <c r="V46" s="703" t="s">
        <v>14</v>
      </c>
      <c r="W46" s="704">
        <f t="shared" si="14"/>
        <v>100</v>
      </c>
      <c r="X46" s="1353"/>
      <c r="Y46" s="3765"/>
      <c r="Z46" s="1354">
        <f t="shared" si="15"/>
        <v>0</v>
      </c>
      <c r="AA46" s="1351">
        <f t="shared" si="3"/>
        <v>1</v>
      </c>
      <c r="AB46" s="1351">
        <f t="shared" si="4"/>
        <v>1</v>
      </c>
      <c r="AC46" s="1351">
        <f t="shared" si="5"/>
        <v>1</v>
      </c>
    </row>
    <row r="47" spans="1:29" ht="15">
      <c r="A47" s="429" t="s">
        <v>1708</v>
      </c>
      <c r="B47" s="430"/>
      <c r="C47" s="1152" t="s">
        <v>0</v>
      </c>
      <c r="D47" s="1153"/>
      <c r="E47" s="1154">
        <v>32411</v>
      </c>
      <c r="F47" s="1155"/>
      <c r="G47" s="1156">
        <v>31219</v>
      </c>
      <c r="H47" s="1157"/>
      <c r="I47" s="1154">
        <v>30400</v>
      </c>
      <c r="J47" s="1157"/>
      <c r="K47" s="712"/>
      <c r="L47" s="2718"/>
      <c r="M47" s="2719"/>
      <c r="N47" s="2710"/>
      <c r="O47" s="2719"/>
      <c r="P47" s="3766" t="str">
        <f>A47</f>
        <v>成交单价（元/平方米）</v>
      </c>
      <c r="Q47" s="3766"/>
      <c r="R47" s="3754">
        <f>E47</f>
        <v>32411</v>
      </c>
      <c r="S47" s="3754"/>
      <c r="T47" s="3754">
        <f>G47</f>
        <v>31219</v>
      </c>
      <c r="U47" s="3754"/>
      <c r="V47" s="3754">
        <f>I47</f>
        <v>30400</v>
      </c>
      <c r="W47" s="3754"/>
      <c r="X47" s="688"/>
      <c r="Y47" s="710"/>
      <c r="Z47" s="688"/>
      <c r="AA47" s="688"/>
      <c r="AB47" s="688"/>
      <c r="AC47" s="688"/>
    </row>
    <row r="48" spans="1:29" ht="15.75" thickBot="1">
      <c r="A48" s="436" t="s">
        <v>1793</v>
      </c>
      <c r="B48" s="437"/>
      <c r="C48" s="1158">
        <f>R49</f>
        <v>22124</v>
      </c>
      <c r="D48" s="2315" t="s">
        <v>2135</v>
      </c>
      <c r="E48" s="1159">
        <f>R48</f>
        <v>25483</v>
      </c>
      <c r="F48" s="2316"/>
      <c r="G48" s="1158">
        <f>T48</f>
        <v>20619</v>
      </c>
      <c r="H48" s="2316"/>
      <c r="I48" s="1159">
        <f>V48</f>
        <v>20271</v>
      </c>
      <c r="J48" s="2316"/>
      <c r="K48" s="2318">
        <f>F48+H48+J48</f>
        <v>0</v>
      </c>
      <c r="L48" s="2718"/>
      <c r="M48" s="2719"/>
      <c r="N48" s="2710"/>
      <c r="O48" s="2719"/>
      <c r="P48" s="3766" t="str">
        <f>A48</f>
        <v>比较价值（元/平方米）</v>
      </c>
      <c r="Q48" s="3766"/>
      <c r="R48" s="3767">
        <f>IF(F1="售价",ROUND(PRODUCT(R47,AA7:AA46),0),ROUND(PRODUCT(R47,AA7:AA46),1))</f>
        <v>25483</v>
      </c>
      <c r="S48" s="3767"/>
      <c r="T48" s="3767">
        <f>IF(F1="售价",ROUND(PRODUCT(T47,AB7:AB46),0),ROUND(PRODUCT(T47,AB7:AB46),1))</f>
        <v>20619</v>
      </c>
      <c r="U48" s="3767"/>
      <c r="V48" s="3767">
        <f>IF(F1="售价",ROUND(PRODUCT(V47,AC7:AC46),0),ROUND(PRODUCT(V47,AC7:AC46),1))</f>
        <v>20271</v>
      </c>
      <c r="W48" s="3767"/>
      <c r="X48" s="688"/>
      <c r="Y48" s="688"/>
      <c r="Z48" s="688"/>
      <c r="AA48" s="688"/>
      <c r="AB48" s="688"/>
      <c r="AC48" s="688"/>
    </row>
    <row r="49" spans="1:29" ht="15.75" thickBot="1">
      <c r="A49" s="440" t="s">
        <v>1794</v>
      </c>
      <c r="B49" s="441"/>
      <c r="C49" s="1161">
        <f>R49</f>
        <v>22124</v>
      </c>
      <c r="D49" s="1161"/>
      <c r="E49" s="1161"/>
      <c r="F49" s="1161"/>
      <c r="G49" s="1161"/>
      <c r="H49" s="1161"/>
      <c r="I49" s="1161"/>
      <c r="J49" s="1161"/>
      <c r="K49" s="713"/>
      <c r="L49" s="2718"/>
      <c r="M49" s="2719"/>
      <c r="N49" s="2710"/>
      <c r="O49" s="2719"/>
      <c r="P49" s="3779" t="str">
        <f>A49</f>
        <v>估价对象XX用房的比较价值（楼面单价，元/平方米）</v>
      </c>
      <c r="Q49" s="3780"/>
      <c r="R49" s="3781">
        <f>IF(F1="售价",ROUND(IF(D48="简单平均",AVERAGE(R48:V48),R48*F48+T48*H48+V48*J48),0),ROUND(IF(D48="简单平均",AVERAGE(R48:V48),R48*F48+T48*H48+V48*J48),1))</f>
        <v>22124</v>
      </c>
      <c r="S49" s="3781"/>
      <c r="T49" s="3781"/>
      <c r="U49" s="3781"/>
      <c r="V49" s="3781"/>
      <c r="W49" s="3781"/>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0.27186751952281907</v>
      </c>
      <c r="F52" s="448" t="str">
        <f>IF(OR(E52&gt;=0.3,E52&lt;=-0.3),"超过30%","")</f>
        <v/>
      </c>
      <c r="G52" s="447">
        <f>IF(G47&lt;G48,G48/G47-1,G47/G48-1)</f>
        <v>0.51408894708763753</v>
      </c>
      <c r="H52" s="448" t="str">
        <f>IF(OR(G52&gt;=0.3,G52&lt;=-0.3),"超过30%","")</f>
        <v>超过30%</v>
      </c>
      <c r="I52" s="447">
        <f>IF(I47&lt;I48,I48/I47-1,I47/I48-1)</f>
        <v>0.49967934487691767</v>
      </c>
      <c r="J52" s="448"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0.23589892817304436</v>
      </c>
      <c r="F53" s="448" t="str">
        <f>IF(OR(E53&gt;=0.2,E53&lt;=-0.2),"超过20%","")</f>
        <v>超过20%</v>
      </c>
      <c r="G53" s="447">
        <f>IF(G48&lt;I48,I48/G48-1,G48/I48-1)</f>
        <v>1.716738197424883E-2</v>
      </c>
      <c r="H53" s="448" t="str">
        <f>IF(OR(G53&gt;=0.2,G53&lt;=-0.2),"超过20%","")</f>
        <v/>
      </c>
      <c r="I53" s="447">
        <f>IF(I48&lt;E48,E48/I48-1,I48/E48-1)</f>
        <v>0.25711607715455576</v>
      </c>
      <c r="J53" s="448" t="str">
        <f>IF(OR(I53&gt;=0.2,I53&lt;=-0.2),"超过20%","")</f>
        <v>超过20%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3.8181876421410132E-2</v>
      </c>
      <c r="F54" s="448" t="str">
        <f>IF(OR(E54&gt;=0.3,E54&lt;=-0.3),"超过30%","")</f>
        <v/>
      </c>
      <c r="G54" s="447">
        <f>IF(G47&lt;I47,I47/G47-1,G47/I47-1)</f>
        <v>2.6940789473684168E-2</v>
      </c>
      <c r="H54" s="448" t="str">
        <f>IF(OR(G54&gt;=0.3,G54&lt;=-0.3),"超过30%","")</f>
        <v/>
      </c>
      <c r="I54" s="447">
        <f>IF(I47&lt;E47,E47/I47-1,I47/E47-1)</f>
        <v>6.6151315789473752E-2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3423</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3424</v>
      </c>
      <c r="D65" s="531" t="s">
        <v>3425</v>
      </c>
      <c r="E65" s="531" t="s">
        <v>3426</v>
      </c>
      <c r="F65" s="531" t="s">
        <v>3427</v>
      </c>
      <c r="G65" s="531" t="s">
        <v>3428</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3431</v>
      </c>
      <c r="D86" s="3475" t="s">
        <v>3432</v>
      </c>
      <c r="E86" s="3475" t="s">
        <v>3433</v>
      </c>
      <c r="F86" s="3475" t="s">
        <v>3434</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3484</v>
      </c>
      <c r="D88" s="3475" t="s">
        <v>3483</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3488</v>
      </c>
      <c r="D90" s="3475" t="s">
        <v>3489</v>
      </c>
      <c r="E90" s="3475" t="s">
        <v>3490</v>
      </c>
      <c r="F90" s="3475" t="s">
        <v>3491</v>
      </c>
      <c r="G90" s="3475" t="s">
        <v>3492</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3524</v>
      </c>
      <c r="D92" s="502" t="s">
        <v>3525</v>
      </c>
      <c r="E92" s="502" t="s">
        <v>3543</v>
      </c>
      <c r="F92" s="3475" t="s">
        <v>3481</v>
      </c>
      <c r="G92" s="3475" t="s">
        <v>3482</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140</v>
      </c>
      <c r="D93" s="484">
        <v>140</v>
      </c>
      <c r="E93" s="484">
        <v>120</v>
      </c>
      <c r="F93" s="484">
        <v>100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3485</v>
      </c>
      <c r="D100" s="3477" t="s">
        <v>3487</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3430</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3493</v>
      </c>
      <c r="D107" s="3475" t="s">
        <v>3494</v>
      </c>
      <c r="E107" s="3475" t="s">
        <v>3495</v>
      </c>
      <c r="F107" s="3478" t="s">
        <v>3496</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3497</v>
      </c>
      <c r="D112" s="3475" t="s">
        <v>3498</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3499</v>
      </c>
      <c r="D114" s="3475" t="s">
        <v>3501</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3493</v>
      </c>
      <c r="D122" s="3475" t="s">
        <v>3494</v>
      </c>
      <c r="E122" s="3475" t="s">
        <v>3495</v>
      </c>
      <c r="F122" s="3478" t="s">
        <v>3496</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t="e">
        <f ca="1">ROUND(IF(D2="——",C52/10000,C52/10000-E2),4)</f>
        <v>#DIV/0!</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ROUND(基准地价修正!C33*基准地价修正!D33,0)</f>
        <v>#DIV/0!</v>
      </c>
      <c r="D6" s="216"/>
      <c r="E6" s="217"/>
      <c r="F6" s="217"/>
      <c r="G6" s="218"/>
    </row>
    <row r="7" spans="1:8" s="213" customFormat="1" ht="13.5" customHeight="1">
      <c r="A7" s="776" t="s">
        <v>1474</v>
      </c>
      <c r="B7" s="214" t="s">
        <v>1475</v>
      </c>
      <c r="C7" s="219" t="e">
        <f>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662720</v>
      </c>
      <c r="D8" s="221"/>
      <c r="E8" s="219"/>
      <c r="F8" s="220"/>
      <c r="G8" s="1854" t="s">
        <v>3409</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662720</v>
      </c>
      <c r="D10" s="843">
        <f ca="1">IF(B1="",'数据-汇总表'!E6,IF(INDIRECT("'数据-取费表'!c"&amp;$G$1)="住宅",INDIRECT("'数据-取费表'!s"&amp;$G$1),INDIRECT("'数据-取费表'!k"&amp;$G$1)+INDIRECT("'数据-取费表'!s"&amp;$G$1)))</f>
        <v>3313.6</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3313.6</v>
      </c>
      <c r="E19" s="210">
        <f>'数据-取费表'!B31</f>
        <v>200</v>
      </c>
      <c r="F19" s="230"/>
      <c r="G19" s="1854" t="s">
        <v>3411</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t="e">
        <f ca="1">ROUND(SUM(C23:C25),0)</f>
        <v>#DIV/0!</v>
      </c>
      <c r="D22" s="234">
        <f ca="1">C26</f>
        <v>2.9999999999999997E-4</v>
      </c>
      <c r="E22" s="235" t="s">
        <v>1579</v>
      </c>
      <c r="F22" s="236">
        <f ca="1">'数据-取费表'!B40</f>
        <v>3.0000000000000002E-2</v>
      </c>
      <c r="G22" s="233" t="str">
        <f>IF('数据-取费表'!B22&lt;=1,"单利计息","复利计息")</f>
        <v>单利计息</v>
      </c>
    </row>
    <row r="23" spans="1:7" s="213" customFormat="1" ht="13.5" customHeight="1">
      <c r="A23" s="778" t="s">
        <v>1472</v>
      </c>
      <c r="B23" s="214" t="s">
        <v>1583</v>
      </c>
      <c r="C23" s="1126"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10693703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9374750</v>
      </c>
      <c r="D34" s="216"/>
      <c r="E34" s="219"/>
      <c r="F34" s="256"/>
      <c r="G34" s="218"/>
    </row>
    <row r="35" spans="1:7" ht="13.5" customHeight="1">
      <c r="A35" s="778" t="s">
        <v>351</v>
      </c>
      <c r="B35" s="214" t="s">
        <v>1527</v>
      </c>
      <c r="C35" s="219">
        <f ca="1">ROUND(C34*F35,0)</f>
        <v>468738</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662720</v>
      </c>
      <c r="D37" s="216">
        <f ca="1">D19</f>
        <v>3313.6</v>
      </c>
      <c r="E37" s="248">
        <f>'数据-取费表'!B35</f>
        <v>200</v>
      </c>
      <c r="F37" s="258"/>
      <c r="G37" s="260"/>
    </row>
    <row r="38" spans="1:7" ht="13.5" customHeight="1">
      <c r="A38" s="778" t="s">
        <v>354</v>
      </c>
      <c r="B38" s="214" t="s">
        <v>1533</v>
      </c>
      <c r="C38" s="219">
        <f ca="1">ROUND(C34*F38,0)</f>
        <v>187495</v>
      </c>
      <c r="D38" s="219"/>
      <c r="E38" s="219"/>
      <c r="F38" s="258">
        <f>'数据-取费表'!B36</f>
        <v>0.02</v>
      </c>
      <c r="G38" s="218" t="s">
        <v>1528</v>
      </c>
    </row>
    <row r="39" spans="1:7" s="213" customFormat="1" ht="13.5" customHeight="1">
      <c r="A39" s="254" t="s">
        <v>1534</v>
      </c>
      <c r="B39" s="209" t="s">
        <v>1535</v>
      </c>
      <c r="C39" s="231">
        <f ca="1">ROUND(C33*F20,0)</f>
        <v>213874</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163614</v>
      </c>
      <c r="D41" s="234">
        <f ca="1">C44</f>
        <v>2.9999999999999997E-4</v>
      </c>
      <c r="E41" s="235" t="s">
        <v>1539</v>
      </c>
      <c r="F41" s="236">
        <f ca="1">F22</f>
        <v>3.0000000000000002E-2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160406</v>
      </c>
      <c r="D42" s="237"/>
      <c r="E42" s="237"/>
      <c r="F42" s="238"/>
      <c r="G42" s="3716" t="s">
        <v>1591</v>
      </c>
    </row>
    <row r="43" spans="1:7" ht="13.5" customHeight="1">
      <c r="A43" s="778" t="s">
        <v>347</v>
      </c>
      <c r="B43" s="214" t="s">
        <v>1545</v>
      </c>
      <c r="C43" s="237">
        <f ca="1">ROUND(IF('数据-取费表'!B22&lt;=1,C39*F22*'数据-取费表'!B20/2,C39*(POWER((1+F22),'数据-取费表'!B20/2)-1)),0)</f>
        <v>3208</v>
      </c>
      <c r="D43" s="237"/>
      <c r="E43" s="237"/>
      <c r="F43" s="238"/>
      <c r="G43" s="3717"/>
    </row>
    <row r="44" spans="1:7" ht="13.5" customHeight="1">
      <c r="A44" s="778" t="s">
        <v>348</v>
      </c>
      <c r="B44" s="214" t="s">
        <v>1546</v>
      </c>
      <c r="C44" s="237">
        <f ca="1">ROUND(IF('数据-取费表'!B22&lt;=1,C40*F22*'数据-取费表'!B20/2,C40*(POWER((1+F22),'数据-取费表'!B20/2)-1)),4)</f>
        <v>2.9999999999999997E-4</v>
      </c>
      <c r="D44" s="237"/>
      <c r="E44" s="237"/>
      <c r="F44" s="238"/>
      <c r="G44" s="3718"/>
    </row>
    <row r="45" spans="1:7" s="213" customFormat="1" ht="13.5" customHeight="1">
      <c r="A45" s="254" t="s">
        <v>1547</v>
      </c>
      <c r="B45" s="243" t="s">
        <v>1513</v>
      </c>
      <c r="C45" s="244">
        <f ca="1">C46</f>
        <v>1636137</v>
      </c>
      <c r="D45" s="234">
        <f ca="1">C47</f>
        <v>3.0000000000000001E-3</v>
      </c>
      <c r="E45" s="235" t="s">
        <v>1539</v>
      </c>
      <c r="F45" s="245">
        <f ca="1">F27</f>
        <v>0.15</v>
      </c>
      <c r="G45" s="246" t="s">
        <v>1548</v>
      </c>
    </row>
    <row r="46" spans="1:7" s="213" customFormat="1" ht="13.5" customHeight="1">
      <c r="A46" s="778" t="s">
        <v>346</v>
      </c>
      <c r="B46" s="247" t="s">
        <v>1549</v>
      </c>
      <c r="C46" s="248">
        <f ca="1">ROUND((C33+C39)*F27,0)</f>
        <v>1636137</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13761455</v>
      </c>
      <c r="D49" s="231"/>
      <c r="E49" s="231"/>
      <c r="F49" s="263"/>
      <c r="G49" s="233" t="s">
        <v>1554</v>
      </c>
    </row>
    <row r="50" spans="1:7" s="257" customFormat="1">
      <c r="A50" s="254" t="s">
        <v>1555</v>
      </c>
      <c r="B50" s="209" t="s">
        <v>1556</v>
      </c>
      <c r="C50" s="231"/>
      <c r="D50" s="231"/>
      <c r="E50" s="231"/>
      <c r="F50" s="263">
        <f>IF('数据-取费表'!B24=0,'数据-取费表'!N16,1)</f>
        <v>0.7</v>
      </c>
      <c r="G50" s="246"/>
    </row>
    <row r="51" spans="1:7" ht="16.5" customHeight="1">
      <c r="A51" s="254" t="s">
        <v>1558</v>
      </c>
      <c r="B51" s="209" t="s">
        <v>1593</v>
      </c>
      <c r="C51" s="231">
        <f ca="1">ROUND(C49*F50,0)</f>
        <v>9633019</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80" zoomScaleNormal="70" zoomScaleSheetLayoutView="80" workbookViewId="0">
      <selection activeCell="G45" sqref="G4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21</v>
      </c>
      <c r="D1" s="1360" t="s">
        <v>43</v>
      </c>
      <c r="E1" s="1361" t="s">
        <v>678</v>
      </c>
      <c r="F1" s="1060">
        <f ca="1">J53</f>
        <v>17.66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3620.7437</v>
      </c>
      <c r="C2" s="1385" t="s">
        <v>879</v>
      </c>
      <c r="D2" s="1469">
        <f ca="1">C40+J29+L46</f>
        <v>36207437</v>
      </c>
      <c r="E2" s="1386" t="s">
        <v>880</v>
      </c>
      <c r="F2" s="1387"/>
      <c r="G2" s="2700"/>
      <c r="H2" s="2689"/>
      <c r="I2" s="2689"/>
      <c r="J2" s="2689"/>
      <c r="K2" s="2690"/>
      <c r="L2" s="2689"/>
      <c r="M2" s="2689"/>
    </row>
    <row r="3" spans="1:37" ht="18" customHeight="1" thickBot="1">
      <c r="A3" s="1388" t="s">
        <v>881</v>
      </c>
      <c r="B3" s="1389">
        <f ca="1">IF(ISERROR(D2/F43),0,ROUND(D2/F43,0))</f>
        <v>13518</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3328174</v>
      </c>
      <c r="D5" s="1362" t="s">
        <v>889</v>
      </c>
      <c r="E5" s="1069"/>
      <c r="F5" s="1070"/>
      <c r="G5" s="1382"/>
      <c r="H5" s="298">
        <v>1</v>
      </c>
      <c r="I5" s="299" t="s">
        <v>888</v>
      </c>
      <c r="J5" s="1068">
        <f ca="1">J6+J10+J12</f>
        <v>0</v>
      </c>
      <c r="K5" s="1362" t="s">
        <v>889</v>
      </c>
      <c r="L5" s="1069"/>
      <c r="M5" s="1070"/>
    </row>
    <row r="6" spans="1:37" ht="18" customHeight="1">
      <c r="A6" s="1067" t="s">
        <v>398</v>
      </c>
      <c r="B6" s="3782" t="s">
        <v>694</v>
      </c>
      <c r="C6" s="1072">
        <f ca="1">ROUND(F6*F8*F7*(1-F9),0)</f>
        <v>3324019</v>
      </c>
      <c r="D6" s="154" t="s">
        <v>2103</v>
      </c>
      <c r="E6" s="301" t="s">
        <v>696</v>
      </c>
      <c r="F6" s="302">
        <f ca="1">INDIRECT("'数据-取费表'!u"&amp;$G$1)</f>
        <v>4</v>
      </c>
      <c r="G6" s="1382"/>
      <c r="H6" s="1067" t="s">
        <v>398</v>
      </c>
      <c r="I6" s="3782" t="s">
        <v>694</v>
      </c>
      <c r="J6" s="300">
        <f ca="1">ROUND(M6*M8*M7*(1-M9),0)</f>
        <v>0</v>
      </c>
      <c r="K6" s="1374" t="s">
        <v>2104</v>
      </c>
      <c r="L6" s="301" t="s">
        <v>696</v>
      </c>
      <c r="M6" s="302">
        <f ca="1">INDIRECT("'数据-取费表'!z"&amp;$G$1)</f>
        <v>0</v>
      </c>
    </row>
    <row r="7" spans="1:37" ht="18" customHeight="1">
      <c r="A7" s="1071"/>
      <c r="B7" s="3783"/>
      <c r="C7" s="1073"/>
      <c r="D7" s="306"/>
      <c r="E7" s="1074" t="s">
        <v>697</v>
      </c>
      <c r="F7" s="302">
        <f ca="1">IF(INDIRECT("'数据-取费表'!ah"&amp;$G$1)="",INDIRECT("'数据-取费表'!k"&amp;$G$1),INDIRECT("'数据-取费表'!ah"&amp;$G$1))</f>
        <v>2678.5</v>
      </c>
      <c r="G7" s="1382"/>
      <c r="H7" s="303"/>
      <c r="I7" s="3783"/>
      <c r="J7" s="305"/>
      <c r="K7" s="306"/>
      <c r="L7" s="301" t="s">
        <v>697</v>
      </c>
      <c r="M7" s="302">
        <f ca="1">F7</f>
        <v>2678.5</v>
      </c>
    </row>
    <row r="8" spans="1:37" ht="18" customHeight="1">
      <c r="A8" s="303"/>
      <c r="B8" s="3783"/>
      <c r="C8" s="305"/>
      <c r="D8" s="306"/>
      <c r="E8" s="301" t="s">
        <v>698</v>
      </c>
      <c r="F8" s="302">
        <f ca="1">INDIRECT("'数据-取费表'!ai"&amp;$G$1)</f>
        <v>365</v>
      </c>
      <c r="G8" s="1382"/>
      <c r="H8" s="303"/>
      <c r="I8" s="3783"/>
      <c r="J8" s="305"/>
      <c r="K8" s="306"/>
      <c r="L8" s="301" t="s">
        <v>698</v>
      </c>
      <c r="M8" s="302">
        <f ca="1">INDIRECT("'数据-取费表'!ai"&amp;$G$1)</f>
        <v>365</v>
      </c>
    </row>
    <row r="9" spans="1:37" ht="18" customHeight="1">
      <c r="A9" s="303"/>
      <c r="B9" s="3784"/>
      <c r="C9" s="305"/>
      <c r="D9" s="306"/>
      <c r="E9" s="301" t="s">
        <v>699</v>
      </c>
      <c r="F9" s="311">
        <f ca="1">INDIRECT("'数据-取费表'!w"&amp;$G$1)</f>
        <v>0.15</v>
      </c>
      <c r="G9" s="1382"/>
      <c r="H9" s="303"/>
      <c r="I9" s="3784"/>
      <c r="J9" s="305"/>
      <c r="K9" s="306"/>
      <c r="L9" s="312" t="s">
        <v>699</v>
      </c>
      <c r="M9" s="313">
        <f ca="1">INDIRECT("'数据-取费表'!ab"&amp;$G$1)</f>
        <v>0</v>
      </c>
    </row>
    <row r="10" spans="1:37" ht="18" customHeight="1">
      <c r="A10" s="1067" t="s">
        <v>402</v>
      </c>
      <c r="B10" s="1363" t="s">
        <v>700</v>
      </c>
      <c r="C10" s="315">
        <f ca="1">ROUND(IF(F10="押一",C6/12*F11,IF(F10="押二",C6/12*2*F11,IF(F10="押三",C6/12*3*F11,C11*F11))),0)</f>
        <v>4155</v>
      </c>
      <c r="D10" s="1364" t="s">
        <v>2113</v>
      </c>
      <c r="E10" s="312" t="s">
        <v>701</v>
      </c>
      <c r="F10" s="1114" t="s">
        <v>3413</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9633019</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9374750</v>
      </c>
      <c r="D14" s="1343" t="s">
        <v>708</v>
      </c>
      <c r="E14" s="1340"/>
      <c r="F14" s="318"/>
      <c r="G14" s="1382"/>
      <c r="H14" s="980" t="s">
        <v>398</v>
      </c>
      <c r="I14" s="301" t="s">
        <v>709</v>
      </c>
      <c r="J14" s="21">
        <f ca="1">C29</f>
        <v>13761455</v>
      </c>
      <c r="K14" s="12"/>
      <c r="L14" s="805"/>
      <c r="M14" s="806"/>
    </row>
    <row r="15" spans="1:37" s="1395" customFormat="1" ht="18" customHeight="1" thickBot="1">
      <c r="A15" s="980" t="s">
        <v>399</v>
      </c>
      <c r="B15" s="301" t="s">
        <v>710</v>
      </c>
      <c r="C15" s="21">
        <f ca="1">ROUND(C14*F15,0)</f>
        <v>468738</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41284</v>
      </c>
      <c r="K16" s="1085" t="s">
        <v>715</v>
      </c>
      <c r="L16" s="1086"/>
      <c r="M16" s="1070"/>
    </row>
    <row r="17" spans="1:37" s="1395" customFormat="1" ht="18" customHeight="1">
      <c r="A17" s="980" t="s">
        <v>681</v>
      </c>
      <c r="B17" s="301" t="s">
        <v>716</v>
      </c>
      <c r="C17" s="21">
        <f ca="1">ROUND(F17*(F43+INDIRECT("'数据-取费表'!S"&amp;$G$1)),0)</f>
        <v>662720</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187495</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10693703</v>
      </c>
      <c r="D19" s="130" t="s">
        <v>726</v>
      </c>
      <c r="E19" s="1358"/>
      <c r="F19" s="23"/>
      <c r="G19" s="1382"/>
      <c r="H19" s="980" t="s">
        <v>399</v>
      </c>
      <c r="I19" s="301" t="s">
        <v>727</v>
      </c>
      <c r="J19" s="21">
        <f ca="1">IF(K19="按租金收入计税",ROUND(J6*M19/(1+'数据-取费表'!C42),0),ROUND(C29*M19*0.7,0))</f>
        <v>0</v>
      </c>
      <c r="K19" s="1368" t="s">
        <v>3333</v>
      </c>
      <c r="L19" s="301" t="s">
        <v>712</v>
      </c>
      <c r="M19" s="321">
        <f>IF(K19="按租金收入计税",'数据-取费表'!B51,'数据-取费表'!B50)</f>
        <v>0.12</v>
      </c>
    </row>
    <row r="20" spans="1:37" s="1395" customFormat="1" ht="18" customHeight="1">
      <c r="A20" s="980" t="s">
        <v>402</v>
      </c>
      <c r="B20" s="301" t="s">
        <v>728</v>
      </c>
      <c r="C20" s="21">
        <f ca="1">ROUND(C19*F20,0)</f>
        <v>213874</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f ca="1">ROUND(J14*M22,0)</f>
        <v>41284</v>
      </c>
      <c r="K22" s="1342" t="s">
        <v>739</v>
      </c>
      <c r="L22" s="301" t="s">
        <v>712</v>
      </c>
      <c r="M22" s="327">
        <f ca="1">INDIRECT("'数据-取费表'!Ak"&amp;$G$1)</f>
        <v>3.0000000000000001E-3</v>
      </c>
    </row>
    <row r="23" spans="1:37" s="1395" customFormat="1" ht="18" customHeight="1">
      <c r="A23" s="980" t="s">
        <v>397</v>
      </c>
      <c r="B23" s="301" t="s">
        <v>740</v>
      </c>
      <c r="C23" s="21">
        <f ca="1">IF('数据-取费表'!B22&lt;=1,ROUND(C19*F24*F23/2,0)+ROUND(C20*F24*F23/2,0),ROUND(C19*(POWER((1+F24),F23/2)-1),0)+ROUND(C20*(POWER((1+F24),F23/2)-1),0))</f>
        <v>163614</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3.0000000000000002E-2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-41284</v>
      </c>
      <c r="K25" s="1093" t="s">
        <v>753</v>
      </c>
      <c r="L25" s="1094"/>
      <c r="M25" s="1095"/>
    </row>
    <row r="26" spans="1:37" ht="18" customHeight="1">
      <c r="A26" s="980" t="s">
        <v>397</v>
      </c>
      <c r="B26" s="301" t="s">
        <v>754</v>
      </c>
      <c r="C26" s="21">
        <f ca="1">ROUND((C19+C20)*F26,0)</f>
        <v>1636137</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13761455</v>
      </c>
      <c r="D29" s="1090"/>
      <c r="E29" s="1088"/>
      <c r="F29" s="1091"/>
      <c r="G29" s="1394"/>
      <c r="H29" s="333" t="s">
        <v>396</v>
      </c>
      <c r="I29" s="334" t="s">
        <v>768</v>
      </c>
      <c r="J29" s="335">
        <f ca="1">ROUND(J26/(1+F40)^F41,0)</f>
        <v>0</v>
      </c>
      <c r="K29" s="336" t="s">
        <v>769</v>
      </c>
      <c r="L29" s="337"/>
      <c r="M29" s="338">
        <f ca="1">INDIRECT("'数据-取费表'!k"&amp;$G$1)</f>
        <v>2678.5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624727</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557169</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f ca="1">IF(项目基本情况!B11="自然人","——",ROUND(C6*F32/(1+'数据-取费表'!C42),0))</f>
        <v>177281</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379888</v>
      </c>
      <c r="D33" s="1368" t="s">
        <v>3333</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41284</v>
      </c>
      <c r="D36" s="1342" t="s">
        <v>771</v>
      </c>
      <c r="E36" s="301" t="s">
        <v>712</v>
      </c>
      <c r="F36" s="327">
        <f ca="1">INDIRECT("'数据-取费表'!Ak"&amp;$G$1)</f>
        <v>3.0000000000000001E-3</v>
      </c>
      <c r="G36" s="1382"/>
      <c r="H36" s="2694"/>
      <c r="I36" s="1396"/>
      <c r="J36" s="1397"/>
      <c r="K36" s="2541"/>
      <c r="L36" s="2694"/>
      <c r="M36" s="2694"/>
    </row>
    <row r="37" spans="1:18" ht="18" customHeight="1">
      <c r="A37" s="980" t="s">
        <v>437</v>
      </c>
      <c r="B37" s="301" t="s">
        <v>742</v>
      </c>
      <c r="C37" s="21">
        <f ca="1">ROUND(C13*F37,0)</f>
        <v>9633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16641</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2703447</v>
      </c>
      <c r="D39" s="1093" t="s">
        <v>773</v>
      </c>
      <c r="E39" s="1094"/>
      <c r="F39" s="1095"/>
      <c r="G39" s="1382"/>
      <c r="H39" s="2694"/>
      <c r="I39" s="1396"/>
      <c r="J39" s="1397"/>
      <c r="K39" s="2698"/>
      <c r="L39" s="2694"/>
      <c r="M39" s="2694"/>
    </row>
    <row r="40" spans="1:18" ht="18" customHeight="1">
      <c r="A40" s="298" t="s">
        <v>395</v>
      </c>
      <c r="B40" s="299" t="s">
        <v>774</v>
      </c>
      <c r="C40" s="300">
        <f ca="1">ROUND(C39*(1-((1+F42)/(1+F40))^F41)/(F40-F42),0)</f>
        <v>34672640</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17.66</v>
      </c>
      <c r="G41" s="1382"/>
      <c r="H41" s="1189">
        <f ca="1">C39/C5</f>
        <v>0.81229136457408779</v>
      </c>
      <c r="I41" s="1396"/>
      <c r="J41" s="1397"/>
      <c r="K41" s="2541"/>
      <c r="L41" s="1189"/>
      <c r="M41" s="1189"/>
    </row>
    <row r="42" spans="1:18" ht="18" customHeight="1">
      <c r="A42" s="307"/>
      <c r="B42" s="308"/>
      <c r="C42" s="309"/>
      <c r="D42" s="326"/>
      <c r="E42" s="301" t="s">
        <v>766</v>
      </c>
      <c r="F42" s="311">
        <f ca="1">INDIRECT("'数据-取费表'!v"&amp;$G$1)</f>
        <v>0.02</v>
      </c>
      <c r="G42" s="1382"/>
      <c r="H42" s="1189"/>
      <c r="I42" s="1396"/>
      <c r="J42" s="1397"/>
      <c r="K42" s="2541"/>
      <c r="L42" s="1189"/>
      <c r="M42" s="1189"/>
    </row>
    <row r="43" spans="1:18" ht="18" customHeight="1" thickBot="1">
      <c r="A43" s="333" t="s">
        <v>396</v>
      </c>
      <c r="B43" s="334" t="s">
        <v>776</v>
      </c>
      <c r="C43" s="335">
        <f ca="1">ROUND(C40/F43,0)</f>
        <v>12945</v>
      </c>
      <c r="D43" s="336" t="s">
        <v>777</v>
      </c>
      <c r="E43" s="337" t="s">
        <v>778</v>
      </c>
      <c r="F43" s="338">
        <f ca="1">INDIRECT("'数据-取费表'!k"&amp;$G$1)</f>
        <v>2678.5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3349</v>
      </c>
      <c r="B45" s="1398"/>
      <c r="C45" s="1470">
        <f ca="1">ROUND((C68-C40)/10000,4)</f>
        <v>-3523.8769000000002</v>
      </c>
      <c r="D45" s="3425" t="s">
        <v>3350</v>
      </c>
      <c r="E45" s="1398"/>
      <c r="F45" s="1398"/>
      <c r="O45" s="1401" t="s">
        <v>808</v>
      </c>
      <c r="P45" s="1459"/>
      <c r="Q45" s="1459"/>
      <c r="R45" s="1459"/>
    </row>
    <row r="46" spans="1:18" s="1382" customFormat="1" ht="13.5" thickBot="1">
      <c r="A46" s="1402" t="s">
        <v>809</v>
      </c>
      <c r="C46" s="1403">
        <f ca="1">ROUND(C45,0)</f>
        <v>-3524</v>
      </c>
      <c r="D46" s="1404" t="str">
        <f>C2</f>
        <v>万元</v>
      </c>
      <c r="I46" s="1405" t="s">
        <v>810</v>
      </c>
      <c r="J46" s="1406"/>
      <c r="K46" s="1407"/>
      <c r="L46" s="1408">
        <f ca="1">IF(M47="住宅",0,IF(L48&gt;J51,L60,J60))</f>
        <v>1534797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3429</v>
      </c>
      <c r="K47" s="1414" t="s">
        <v>816</v>
      </c>
      <c r="L47" s="1415">
        <f ca="1">INDIRECT("'数据-取费表'!d"&amp;$G$1)</f>
        <v>50</v>
      </c>
      <c r="M47" s="1378" t="str">
        <f>IF(ISNUMBER(FIND("住宅",C1)),"住宅","非住宅")</f>
        <v>非住宅</v>
      </c>
      <c r="O47" s="1416" t="s">
        <v>403</v>
      </c>
      <c r="P47" s="1417" t="s">
        <v>817</v>
      </c>
      <c r="Q47" s="1418">
        <f ca="1">C40+J29</f>
        <v>34672640</v>
      </c>
      <c r="R47" s="1418" t="s">
        <v>818</v>
      </c>
    </row>
    <row r="48" spans="1:18" s="1382" customFormat="1" ht="28.5" thickBot="1">
      <c r="A48" s="1108" t="s">
        <v>438</v>
      </c>
      <c r="B48" s="299" t="s">
        <v>692</v>
      </c>
      <c r="C48" s="1357">
        <f ca="1">C49+C53+C55</f>
        <v>0</v>
      </c>
      <c r="D48" s="1110"/>
      <c r="E48" s="1111"/>
      <c r="F48" s="960"/>
      <c r="G48" s="720"/>
      <c r="H48" s="721"/>
      <c r="I48" s="1419" t="s">
        <v>819</v>
      </c>
      <c r="J48" s="1420" t="s">
        <v>3403</v>
      </c>
      <c r="K48" s="1421" t="s">
        <v>820</v>
      </c>
      <c r="L48" s="1422">
        <f ca="1">INDIRECT("'数据-取费表'!f"&amp;$G$1)</f>
        <v>17.66</v>
      </c>
      <c r="O48" s="1416" t="s">
        <v>404</v>
      </c>
      <c r="P48" s="1417" t="s">
        <v>821</v>
      </c>
      <c r="Q48" s="1418">
        <f ca="1">J60</f>
        <v>1534797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1994</v>
      </c>
      <c r="K49" s="1421" t="s">
        <v>824</v>
      </c>
      <c r="L49" s="1425"/>
      <c r="O49" s="1426" t="s">
        <v>405</v>
      </c>
      <c r="P49" s="1417" t="s">
        <v>825</v>
      </c>
      <c r="Q49" s="1418">
        <f ca="1">C29</f>
        <v>13761455</v>
      </c>
      <c r="R49" s="1418" t="s">
        <v>818</v>
      </c>
    </row>
    <row r="50" spans="1:18" s="1382" customFormat="1" ht="13.5" thickBot="1">
      <c r="A50" s="974"/>
      <c r="B50" s="977"/>
      <c r="C50" s="978"/>
      <c r="D50" s="951"/>
      <c r="E50" s="1054" t="s">
        <v>697</v>
      </c>
      <c r="F50" s="1055">
        <f ca="1">F7</f>
        <v>2678.5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29</v>
      </c>
      <c r="K51" s="1432" t="s">
        <v>830</v>
      </c>
      <c r="L51" s="1433">
        <f ca="1">ROUND(-PV(INDIRECT("'数据-取费表'!h"&amp;$G$1),J51,(C39-C13*C76),0),0)</f>
        <v>30723292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17.66</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17.66</v>
      </c>
      <c r="K53" s="3785" t="s">
        <v>837</v>
      </c>
      <c r="L53" s="3786"/>
      <c r="O53" s="1416" t="s">
        <v>409</v>
      </c>
      <c r="P53" s="1417" t="s">
        <v>838</v>
      </c>
      <c r="Q53" s="1418">
        <f ca="1">Q47+Q48</f>
        <v>36207437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9633019</v>
      </c>
      <c r="D56" s="1445"/>
      <c r="E56" s="1446"/>
      <c r="F56" s="1438"/>
      <c r="I56" s="1447" t="s">
        <v>842</v>
      </c>
      <c r="J56" s="1448" t="s">
        <v>3380</v>
      </c>
      <c r="K56" s="1419" t="s">
        <v>843</v>
      </c>
      <c r="L56" s="1422" t="str">
        <f ca="1">IF(L48&lt;J51,"——",L48-J51)</f>
        <v>——</v>
      </c>
      <c r="O56" s="1416" t="s">
        <v>403</v>
      </c>
      <c r="P56" s="1417" t="s">
        <v>817</v>
      </c>
      <c r="Q56" s="1418">
        <f ca="1">C40+J29</f>
        <v>34672640</v>
      </c>
      <c r="R56" s="1418" t="s">
        <v>818</v>
      </c>
    </row>
    <row r="57" spans="1:18" s="1382" customFormat="1" ht="24.75" thickBot="1">
      <c r="A57" s="1449"/>
      <c r="B57" s="948" t="s">
        <v>767</v>
      </c>
      <c r="C57" s="237">
        <f ca="1">C29</f>
        <v>13761455</v>
      </c>
      <c r="D57" s="1450"/>
      <c r="E57" s="1451"/>
      <c r="F57" s="1452"/>
      <c r="I57" s="1453" t="s">
        <v>844</v>
      </c>
      <c r="J57" s="1454">
        <f ca="1">IF(OR(M47="住宅",J51&lt;L48,J56="是"),"——",J51-L48)</f>
        <v>11.34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50917</v>
      </c>
      <c r="D58" s="958" t="s">
        <v>715</v>
      </c>
      <c r="E58" s="959"/>
      <c r="F58" s="960"/>
      <c r="I58" s="1453" t="s">
        <v>848</v>
      </c>
      <c r="J58" s="1455">
        <f ca="1">IF(J55&lt;0.4,0.4,J55)</f>
        <v>0.4</v>
      </c>
      <c r="K58" s="1432" t="s">
        <v>895</v>
      </c>
      <c r="L58" s="1422">
        <f ca="1">ROUND(POWER(1+L52,L47-L48)*(POWER(1+L52,L48)-1)/(POWER(1+L52,L47)-1),4)</f>
        <v>0.65669999999999995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5504582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0.84650000000000003</v>
      </c>
      <c r="M59" s="1379">
        <f ca="1">ROUND(POWER(1+L52,L47-(J51+'数据-取费表'!B24))*(POWER(1+L52,(J51+'数据-取费表'!B24))-1)/(POWER(1+L52,L47)-1),4)</f>
        <v>0.84650000000000003</v>
      </c>
      <c r="N59" s="1379">
        <f ca="1">ROUND(POWER(1+L52,L47-(J51+'数据-取费表'!B20))*(POWER(1+L52,(J51+'数据-取费表'!B20))-1)/(POWER(1+L52,L47)-1),4)</f>
        <v>0.85840000000000005</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1534797</v>
      </c>
      <c r="K60" s="1458" t="s">
        <v>854</v>
      </c>
      <c r="L60" s="1457">
        <f ca="1">IF(OR(M47="住宅",L48&lt;J51),0,ROUND(L57*(L58/L59-1),0))</f>
        <v>0</v>
      </c>
      <c r="O60" s="1426" t="s">
        <v>407</v>
      </c>
      <c r="P60" s="1417" t="s">
        <v>855</v>
      </c>
      <c r="Q60" s="1418">
        <f ca="1">L58</f>
        <v>0.65669999999999995</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3333</v>
      </c>
      <c r="E61" s="948" t="s">
        <v>783</v>
      </c>
      <c r="F61" s="321">
        <f t="shared" si="0"/>
        <v>0.12</v>
      </c>
      <c r="I61" s="1459"/>
      <c r="J61" s="1459"/>
      <c r="K61" s="1459"/>
      <c r="L61" s="1459"/>
      <c r="O61" s="1426" t="s">
        <v>408</v>
      </c>
      <c r="P61" s="1417" t="str">
        <f>K59</f>
        <v>建筑物剩余耐用年限下的土地年期修正系数Kn</v>
      </c>
      <c r="Q61" s="1418">
        <f ca="1">L59</f>
        <v>0.84650000000000003</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34672640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41284</v>
      </c>
      <c r="D64" s="962" t="s">
        <v>791</v>
      </c>
      <c r="E64" s="948" t="s">
        <v>783</v>
      </c>
      <c r="F64" s="327">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9633</v>
      </c>
      <c r="D65" s="962" t="s">
        <v>743</v>
      </c>
      <c r="E65" s="948" t="s">
        <v>744</v>
      </c>
      <c r="F65" s="329">
        <f t="shared" ca="1" si="0"/>
        <v>1E-3</v>
      </c>
      <c r="I65" s="1460" t="s">
        <v>867</v>
      </c>
      <c r="J65" s="1461">
        <v>40</v>
      </c>
      <c r="K65" s="1461">
        <v>30</v>
      </c>
      <c r="L65" s="1461">
        <v>50</v>
      </c>
      <c r="M65" s="1463">
        <v>0.02</v>
      </c>
      <c r="O65" s="1416" t="s">
        <v>403</v>
      </c>
      <c r="P65" s="1417" t="s">
        <v>868</v>
      </c>
      <c r="Q65" s="1418">
        <f ca="1">C40+J29</f>
        <v>34672640</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-50917</v>
      </c>
      <c r="D67" s="961" t="s">
        <v>753</v>
      </c>
      <c r="E67" s="966"/>
      <c r="F67" s="967"/>
      <c r="O67" s="1426" t="s">
        <v>405</v>
      </c>
      <c r="P67" s="1417" t="s">
        <v>850</v>
      </c>
      <c r="Q67" s="1464">
        <f ca="1">L51</f>
        <v>30723292</v>
      </c>
      <c r="R67" s="1418" t="s">
        <v>870</v>
      </c>
    </row>
    <row r="68" spans="1:18" s="1382" customFormat="1" ht="16.5" thickBot="1">
      <c r="A68" s="945" t="s">
        <v>395</v>
      </c>
      <c r="B68" s="946" t="s">
        <v>774</v>
      </c>
      <c r="C68" s="300">
        <f ca="1">ROUND(C67*(1-((1+F70)/(1+F68))^F69)/(F68-F70),0)</f>
        <v>-566129</v>
      </c>
      <c r="D68" s="963" t="s">
        <v>758</v>
      </c>
      <c r="E68" s="948" t="s">
        <v>759</v>
      </c>
      <c r="F68" s="311">
        <f ca="1">F40</f>
        <v>5.5E-2</v>
      </c>
      <c r="O68" s="1426" t="s">
        <v>406</v>
      </c>
      <c r="P68" s="1465" t="s">
        <v>871</v>
      </c>
      <c r="Q68" s="1418">
        <f ca="1">ROUND(Q69-Q70*Q71,0)</f>
        <v>2029136</v>
      </c>
      <c r="R68" s="1418" t="s">
        <v>414</v>
      </c>
    </row>
    <row r="69" spans="1:18" s="1382" customFormat="1" ht="13.5" thickBot="1">
      <c r="A69" s="949"/>
      <c r="B69" s="950"/>
      <c r="C69" s="305"/>
      <c r="D69" s="968" t="s">
        <v>762</v>
      </c>
      <c r="E69" s="948" t="s">
        <v>763</v>
      </c>
      <c r="F69" s="332">
        <f ca="1">F41</f>
        <v>17.66</v>
      </c>
      <c r="O69" s="1426" t="s">
        <v>411</v>
      </c>
      <c r="P69" s="1465" t="s">
        <v>872</v>
      </c>
      <c r="Q69" s="1418">
        <f ca="1">C39</f>
        <v>2703447</v>
      </c>
      <c r="R69" s="1418" t="s">
        <v>818</v>
      </c>
    </row>
    <row r="70" spans="1:18" s="1382" customFormat="1" ht="13.5" thickBot="1">
      <c r="A70" s="952"/>
      <c r="B70" s="953"/>
      <c r="C70" s="309"/>
      <c r="D70" s="964"/>
      <c r="E70" s="948" t="s">
        <v>766</v>
      </c>
      <c r="F70" s="1052"/>
      <c r="O70" s="1426" t="s">
        <v>412</v>
      </c>
      <c r="P70" s="1465" t="s">
        <v>873</v>
      </c>
      <c r="Q70" s="1418">
        <f ca="1">C13</f>
        <v>9633019</v>
      </c>
      <c r="R70" s="1418" t="s">
        <v>818</v>
      </c>
    </row>
    <row r="71" spans="1:18" s="1382" customFormat="1" ht="13.5" thickBot="1">
      <c r="A71" s="969" t="s">
        <v>396</v>
      </c>
      <c r="B71" s="970" t="s">
        <v>776</v>
      </c>
      <c r="C71" s="335">
        <f ca="1">ROUND(C68/F71,0)</f>
        <v>-211</v>
      </c>
      <c r="D71" s="971" t="s">
        <v>777</v>
      </c>
      <c r="E71" s="972" t="s">
        <v>778</v>
      </c>
      <c r="F71" s="338">
        <f ca="1">F43</f>
        <v>2678.5</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0.65669999999999995</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0.84650000000000003</v>
      </c>
      <c r="R74" s="1418" t="s">
        <v>857</v>
      </c>
    </row>
    <row r="75" spans="1:18" ht="13.5" thickBot="1">
      <c r="A75" s="1382"/>
      <c r="B75" s="339" t="s">
        <v>795</v>
      </c>
      <c r="C75" s="340">
        <f ca="1">ROUND(C13*C76,0)</f>
        <v>674311</v>
      </c>
      <c r="D75" s="1382"/>
      <c r="E75" s="1382"/>
      <c r="F75" s="1382"/>
      <c r="K75" s="1400"/>
      <c r="L75" s="1382"/>
      <c r="O75" s="1416" t="s">
        <v>409</v>
      </c>
      <c r="P75" s="1417" t="s">
        <v>838</v>
      </c>
      <c r="Q75" s="1418">
        <f ca="1">Q65+Q66</f>
        <v>34672640</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0.751</v>
      </c>
    </row>
    <row r="80" spans="1:18">
      <c r="B80" s="339" t="s">
        <v>800</v>
      </c>
      <c r="C80" s="273">
        <f ca="1">ROUND(C75/C39,3)</f>
        <v>0.249</v>
      </c>
    </row>
    <row r="81" spans="2:3">
      <c r="B81" s="269" t="s">
        <v>801</v>
      </c>
      <c r="C81" s="237"/>
    </row>
    <row r="82" spans="2:3">
      <c r="B82" s="272" t="s">
        <v>802</v>
      </c>
      <c r="C82" s="274">
        <f ca="1">1-C83</f>
        <v>0.72199999999999998</v>
      </c>
    </row>
    <row r="83" spans="2:3">
      <c r="B83" s="272" t="s">
        <v>803</v>
      </c>
      <c r="C83" s="273">
        <f ca="1">ROUND(C13/C40,3)</f>
        <v>0.27800000000000002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C7" sqref="C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2678.5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t="e">
        <f>C30</f>
        <v>#DIV/0!</v>
      </c>
      <c r="C2" s="1997" t="s">
        <v>1935</v>
      </c>
      <c r="D2" s="1998" t="s">
        <v>1936</v>
      </c>
      <c r="E2" s="3415" t="s">
        <v>673</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0</v>
      </c>
      <c r="T2" s="3354" t="e">
        <f t="shared" ref="T2:T16" si="0">ROUND($C$5*$C$22*$C$23*$C$24*S2*$C$28,0)</f>
        <v>#DIV/0!</v>
      </c>
      <c r="U2" s="1211"/>
      <c r="V2" s="3354" t="e">
        <f>ROUND(T2*U2/10000,0)</f>
        <v>#DIV/0!</v>
      </c>
      <c r="W2" s="1214" t="e">
        <f>ROUND(T2*U2,0)</f>
        <v>#DIV/0!</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3" t="s">
        <v>2438</v>
      </c>
      <c r="F3" s="2002" t="s">
        <v>3521</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0</v>
      </c>
      <c r="T3" s="3354" t="e">
        <f t="shared" si="0"/>
        <v>#DIV/0!</v>
      </c>
      <c r="U3" s="1211"/>
      <c r="V3" s="3354" t="e">
        <f t="shared" ref="V3:V16" si="1">ROUND(T3*U3/10000,0)</f>
        <v>#DIV/0!</v>
      </c>
      <c r="W3" s="1214" t="e">
        <f>ROUND(T3*U3,0)</f>
        <v>#DIV/0!</v>
      </c>
      <c r="X3" s="1214"/>
      <c r="Y3" s="1214"/>
      <c r="Z3" s="1214"/>
      <c r="AA3" s="1214"/>
      <c r="AB3" s="1214"/>
      <c r="AC3" s="1215"/>
      <c r="AD3" s="1216"/>
      <c r="AE3" s="1216"/>
      <c r="AF3" s="1216"/>
      <c r="AG3" s="1216"/>
      <c r="AH3" s="1216"/>
      <c r="AI3" s="1216"/>
      <c r="AJ3" s="1217"/>
    </row>
    <row r="4" spans="1:36" ht="15.75">
      <c r="A4" s="3794"/>
      <c r="B4" s="3795"/>
      <c r="C4" s="3795"/>
      <c r="D4" s="3796"/>
      <c r="E4" s="3796"/>
      <c r="F4" s="3796"/>
      <c r="G4" s="3796"/>
      <c r="H4" s="3796"/>
      <c r="I4" s="3796"/>
      <c r="J4" s="379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0</v>
      </c>
      <c r="T4" s="3354" t="e">
        <f t="shared" si="0"/>
        <v>#DIV/0!</v>
      </c>
      <c r="U4" s="1211">
        <f>'数据-汇总表'!E3</f>
        <v>3313.6</v>
      </c>
      <c r="V4" s="3354"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0</v>
      </c>
      <c r="D5" s="1337">
        <f>ROUND(C6*C17+C20,0)</f>
        <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v>
      </c>
      <c r="T5" s="3354" t="e">
        <f t="shared" si="0"/>
        <v>#DIV/0!</v>
      </c>
      <c r="U5" s="1211"/>
      <c r="V5" s="3354"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v>
      </c>
      <c r="T6" s="3354" t="e">
        <f t="shared" si="0"/>
        <v>#DIV/0!</v>
      </c>
      <c r="U6" s="1211"/>
      <c r="V6" s="3354" t="e">
        <f t="shared" si="1"/>
        <v>#DIV/0!</v>
      </c>
      <c r="W6" s="1214"/>
      <c r="X6" s="1214"/>
      <c r="Y6" s="1214"/>
      <c r="Z6" s="1214"/>
      <c r="AA6" s="1214"/>
      <c r="AB6" s="1214"/>
      <c r="AC6" s="2009"/>
      <c r="AD6" s="2010"/>
      <c r="AE6" s="2010"/>
      <c r="AF6" s="2010"/>
      <c r="AG6" s="2010"/>
      <c r="AH6" s="2010"/>
      <c r="AI6" s="2010"/>
      <c r="AJ6" s="2011"/>
    </row>
    <row r="7" spans="1:36" ht="24.75" thickBot="1">
      <c r="A7" s="3297" t="s">
        <v>3236</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t="e">
        <f t="shared" si="0"/>
        <v>#DIV/0!</v>
      </c>
      <c r="U7" s="1211"/>
      <c r="V7" s="3354" t="e">
        <f t="shared" si="1"/>
        <v>#DIV/0!</v>
      </c>
      <c r="W7" s="1356" t="s">
        <v>1955</v>
      </c>
      <c r="X7" s="1212">
        <f>G2</f>
        <v>0</v>
      </c>
      <c r="Y7" s="1212" t="s">
        <v>1956</v>
      </c>
      <c r="Z7" s="1213">
        <f>G3</f>
        <v>2.5</v>
      </c>
      <c r="AA7" s="1214"/>
      <c r="AB7" s="1214"/>
      <c r="AC7" s="1215"/>
      <c r="AD7" s="1216"/>
      <c r="AE7" s="1216"/>
      <c r="AF7" s="1216"/>
      <c r="AG7" s="1216"/>
      <c r="AH7" s="1216"/>
      <c r="AI7" s="1216"/>
      <c r="AJ7" s="1217"/>
    </row>
    <row r="8" spans="1:36" ht="25.5">
      <c r="A8" s="3292"/>
      <c r="B8" s="169" t="s">
        <v>1957</v>
      </c>
      <c r="C8" s="2024" t="s">
        <v>3405</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t="e">
        <f t="shared" si="0"/>
        <v>#DIV/0!</v>
      </c>
      <c r="U8" s="1211"/>
      <c r="V8" s="3354" t="e">
        <f t="shared" si="1"/>
        <v>#DIV/0!</v>
      </c>
      <c r="W8" s="3791" t="s">
        <v>1960</v>
      </c>
      <c r="X8" s="379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t="e">
        <f t="shared" si="0"/>
        <v>#DIV/0!</v>
      </c>
      <c r="U9" s="1211"/>
      <c r="V9" s="3354" t="e">
        <f t="shared" si="1"/>
        <v>#DIV/0!</v>
      </c>
      <c r="W9" s="3793"/>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t="e">
        <f t="shared" si="0"/>
        <v>#DIV/0!</v>
      </c>
      <c r="U10" s="1211"/>
      <c r="V10" s="3354" t="e">
        <f t="shared" si="1"/>
        <v>#DIV/0!</v>
      </c>
      <c r="W10" s="3793"/>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t="e">
        <f t="shared" si="0"/>
        <v>#DIV/0!</v>
      </c>
      <c r="U11" s="1211"/>
      <c r="V11" s="3354" t="e">
        <f t="shared" si="1"/>
        <v>#DIV/0!</v>
      </c>
      <c r="W11" s="1214"/>
      <c r="X11" s="1214"/>
      <c r="Y11" s="1214"/>
      <c r="Z11" s="1214"/>
      <c r="AA11" s="1214"/>
      <c r="AB11" s="1214"/>
      <c r="AC11" s="1215"/>
      <c r="AD11" s="2783"/>
      <c r="AE11" s="2783"/>
      <c r="AF11" s="2783"/>
      <c r="AG11" s="2783"/>
      <c r="AH11" s="2783"/>
      <c r="AI11" s="2783"/>
      <c r="AJ11" s="2784"/>
    </row>
    <row r="12" spans="1:36" ht="25.5" thickBot="1">
      <c r="A12" s="3297" t="s">
        <v>3237</v>
      </c>
      <c r="B12" s="3298" t="s">
        <v>3238</v>
      </c>
      <c r="C12" s="3299">
        <v>1</v>
      </c>
      <c r="D12" s="3300" t="s">
        <v>3239</v>
      </c>
      <c r="E12" s="3301" t="s">
        <v>3240</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t="e">
        <f t="shared" si="0"/>
        <v>#DIV/0!</v>
      </c>
      <c r="U12" s="1211"/>
      <c r="V12" s="3354" t="e">
        <f t="shared" si="1"/>
        <v>#DIV/0!</v>
      </c>
      <c r="W12" s="1214"/>
      <c r="X12" s="1214"/>
      <c r="Y12" s="1214"/>
      <c r="Z12" s="1214"/>
      <c r="AA12" s="1214"/>
      <c r="AB12" s="1214"/>
      <c r="AC12" s="1215"/>
      <c r="AD12" s="2783"/>
      <c r="AE12" s="2783"/>
      <c r="AF12" s="2783"/>
      <c r="AG12" s="2783"/>
      <c r="AH12" s="2783"/>
      <c r="AI12" s="2783"/>
      <c r="AJ12" s="2784"/>
    </row>
    <row r="13" spans="1:36" ht="15.75" thickBot="1">
      <c r="A13" s="3297" t="s">
        <v>3241</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t="e">
        <f t="shared" si="0"/>
        <v>#DIV/0!</v>
      </c>
      <c r="U13" s="1211"/>
      <c r="V13" s="3354" t="e">
        <f t="shared" si="1"/>
        <v>#DIV/0!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3242</v>
      </c>
      <c r="G14" s="3305" t="s">
        <v>3242</v>
      </c>
      <c r="H14" s="3305" t="s">
        <v>3242</v>
      </c>
      <c r="I14" s="3305" t="s">
        <v>3242</v>
      </c>
      <c r="J14" s="3305" t="s">
        <v>3242</v>
      </c>
      <c r="K14" s="1117"/>
      <c r="L14" s="1117"/>
      <c r="M14" s="1117"/>
      <c r="N14" s="1117"/>
      <c r="O14" s="1117"/>
      <c r="P14" s="1117"/>
      <c r="Q14" s="1117"/>
      <c r="R14" s="1210">
        <v>13</v>
      </c>
      <c r="S14" s="1211"/>
      <c r="T14" s="3354" t="e">
        <f t="shared" si="0"/>
        <v>#DIV/0!</v>
      </c>
      <c r="U14" s="1211"/>
      <c r="V14" s="3354" t="e">
        <f t="shared" si="1"/>
        <v>#DIV/0!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3243</v>
      </c>
      <c r="G15" s="3307"/>
      <c r="H15" s="3308"/>
      <c r="I15" s="3309"/>
      <c r="J15" s="3310"/>
      <c r="K15" s="1117"/>
      <c r="L15" s="1117"/>
      <c r="M15" s="1117"/>
      <c r="N15" s="1117"/>
      <c r="O15" s="1117"/>
      <c r="P15" s="1117"/>
      <c r="Q15" s="1117"/>
      <c r="R15" s="1210">
        <v>14</v>
      </c>
      <c r="S15" s="1211"/>
      <c r="T15" s="3354" t="e">
        <f t="shared" si="0"/>
        <v>#DIV/0!</v>
      </c>
      <c r="U15" s="1211"/>
      <c r="V15" s="3354" t="e">
        <f t="shared" si="1"/>
        <v>#DIV/0!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t="e">
        <f t="shared" si="0"/>
        <v>#DIV/0!</v>
      </c>
      <c r="U16" s="1211"/>
      <c r="V16" s="3354" t="e">
        <f t="shared" si="1"/>
        <v>#DIV/0!</v>
      </c>
      <c r="W16" s="1214"/>
      <c r="X16" s="1214"/>
      <c r="Y16" s="1214"/>
      <c r="Z16" s="1214"/>
      <c r="AA16" s="1214"/>
      <c r="AB16" s="1214"/>
      <c r="AC16" s="1215"/>
      <c r="AD16" s="2783"/>
      <c r="AE16" s="2783"/>
      <c r="AF16" s="2783"/>
      <c r="AG16" s="2783"/>
      <c r="AH16" s="2783"/>
      <c r="AI16" s="2783"/>
      <c r="AJ16" s="2784"/>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3247</v>
      </c>
      <c r="E18" s="3322"/>
      <c r="F18" s="3317" t="s">
        <v>3250</v>
      </c>
      <c r="G18" s="3321">
        <f>ROUND(1-(1/(POWER(1+G24,E18))),4)</f>
        <v>0</v>
      </c>
      <c r="H18" s="3317" t="s">
        <v>3252</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3248</v>
      </c>
      <c r="E19" s="3331"/>
      <c r="F19" s="3332" t="s">
        <v>3251</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98" t="s">
        <v>3253</v>
      </c>
      <c r="B20" s="166" t="s">
        <v>1994</v>
      </c>
      <c r="C20" s="3318">
        <f>ROUND(IF(F21="与级别开发程度一致",0,(G21-E21)/C21),0)</f>
        <v>0</v>
      </c>
      <c r="D20" s="3334" t="s">
        <v>1998</v>
      </c>
      <c r="E20" s="3335"/>
      <c r="F20" s="3804" t="s">
        <v>1995</v>
      </c>
      <c r="G20" s="3805"/>
      <c r="H20" s="3319" t="s">
        <v>3382</v>
      </c>
      <c r="I20" s="3319" t="s">
        <v>3383</v>
      </c>
      <c r="J20" s="3320" t="s">
        <v>3384</v>
      </c>
      <c r="K20" s="2045" t="s">
        <v>3385</v>
      </c>
      <c r="L20" s="2045" t="s">
        <v>3386</v>
      </c>
      <c r="M20" s="2045" t="s">
        <v>3415</v>
      </c>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99"/>
      <c r="B21" s="2162" t="s">
        <v>1997</v>
      </c>
      <c r="C21" s="2163">
        <f>IF(E3="M4科研用地",SUMPRODUCT((修正!A2:A7=E3)*(修正!B1:M1=G2)*(修正!B2:M7)),SUMPRODUCT((修正!A2:A7=E2)*(修正!B1:M1=G2)*(修正!B2:M7)))</f>
        <v>0</v>
      </c>
      <c r="D21" s="186" t="str">
        <f>IF(OR(G2="八级",G2="九级",G2="十级",G2="十一级",G2="十二级"),"五通一平","七通一平")</f>
        <v>七通一平</v>
      </c>
      <c r="E21" s="2153">
        <f>SUMPRODUCT((修正!B1:M1=G2)*(修正!B17:M17))</f>
        <v>0</v>
      </c>
      <c r="F21" s="2154" t="s">
        <v>3539</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45896</v>
      </c>
      <c r="H23" s="3336" t="s">
        <v>3254</v>
      </c>
      <c r="I23" s="3337" t="str">
        <f>IF(H23="季度增幅（自定义）",SUMIF(N25:N28,E2,O25:O28),"")</f>
        <v/>
      </c>
      <c r="J23" s="3439" t="s">
        <v>3545</v>
      </c>
      <c r="K23" s="1123"/>
      <c r="L23" s="2053" t="s">
        <v>2004</v>
      </c>
      <c r="M23" s="1326">
        <f>ROUND(SUMIF(地价!B2:G2,E2,地价!B16:G16),0)</f>
        <v>350</v>
      </c>
      <c r="N23" s="2054" t="s">
        <v>2005</v>
      </c>
      <c r="O23" s="761">
        <f>ROUNDDOWN(DATEDIF(E23,G23,"M")/3,0)</f>
        <v>18</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5.5E-2</v>
      </c>
      <c r="H24" s="2058" t="s">
        <v>2008</v>
      </c>
      <c r="I24" s="767" t="e">
        <f>SUMIF('数据-取费表'!C6:C15,E2,'数据-取费表'!F6:F15)/COUNTIF('数据-取费表'!C6:C15,E2)</f>
        <v>#DIV/0!</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3540</v>
      </c>
      <c r="C25" s="769">
        <f>IF(B25="容积率修正",IF(G3&lt;10,D26,J26),C27)</f>
        <v>0</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3255</v>
      </c>
      <c r="D26" s="1350">
        <f>IF(E26=G26,F26,IF(G3&lt;10,ROUND(F26+(H26-F26)*(G3-E26)/(G26-E26),4),"——"))</f>
        <v>0</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3256</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4" t="s">
        <v>1936</v>
      </c>
      <c r="M30" s="3345" t="s">
        <v>1990</v>
      </c>
      <c r="N30" s="3345" t="s">
        <v>1991</v>
      </c>
      <c r="O30" s="3345" t="s">
        <v>1992</v>
      </c>
      <c r="P30" s="3345" t="s">
        <v>1993</v>
      </c>
      <c r="Q30" s="3348" t="s">
        <v>3260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t="e">
        <f>ROUND(C5*C22*C23*C24*C25*C28,0)</f>
        <v>#DIV/0!</v>
      </c>
      <c r="D33" s="2096">
        <f>'数据-汇总表'!F19</f>
        <v>2678.5</v>
      </c>
      <c r="E33" s="771" t="e">
        <f>ROUND(C33*D33/10000,0)</f>
        <v>#DIV/0!</v>
      </c>
      <c r="F33" s="3339" t="s">
        <v>3258</v>
      </c>
      <c r="G33" s="2097"/>
      <c r="H33" s="2097"/>
      <c r="I33" s="2097"/>
      <c r="J33" s="2098"/>
      <c r="K33" s="1117"/>
      <c r="L33" s="3342" t="s">
        <v>3261</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t="e">
        <f>ROUND(IF(B25="楼层修正",SUM(V2:V16)*M40,C34*D34/10000),0)</f>
        <v>#DIV/0!</v>
      </c>
      <c r="F34" s="2102" t="s">
        <v>2032</v>
      </c>
      <c r="G34" s="2103"/>
      <c r="H34" s="2103"/>
      <c r="I34" s="2103"/>
      <c r="J34" s="2104"/>
      <c r="K34" s="1117"/>
      <c r="L34" s="3342" t="s">
        <v>3262</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3259</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3263</v>
      </c>
      <c r="L36" s="3440">
        <f ca="1">'数据-取费表'!B40</f>
        <v>3.0000000000000002E-2</v>
      </c>
      <c r="M36" s="3351">
        <f ca="1">ROUND($L$36*(1+M31),3)</f>
        <v>3.7999999999999999E-2</v>
      </c>
      <c r="N36" s="3351">
        <f ca="1">ROUND($L$36*(1+N31),3)</f>
        <v>3.5999999999999997E-2</v>
      </c>
      <c r="O36" s="3351">
        <f ca="1">ROUND($L$36*(1+O31),3)</f>
        <v>3.5000000000000003E-2</v>
      </c>
      <c r="P36" s="3351">
        <f ca="1">ROUND($L$36*(1+P31),3)</f>
        <v>3.3000000000000002E-2</v>
      </c>
      <c r="Q36" s="3351">
        <f ca="1">ROUND($L$36*(1+Q31),3)</f>
        <v>3.5000000000000003E-2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2"/>
      <c r="B37" s="2111" t="s">
        <v>2036</v>
      </c>
      <c r="C37" s="174" t="e">
        <f>ROUND(D5*C22*C23*C24*C28*F37,0)</f>
        <v>#DIV/0!</v>
      </c>
      <c r="D37" s="2096"/>
      <c r="E37" s="170" t="e">
        <f>ROUND(C37*D37/10000,0)</f>
        <v>#DIV/0!</v>
      </c>
      <c r="F37" s="170">
        <f>SUMIF(修正!A57:A68,G2,修正!B57:B68)</f>
        <v>0</v>
      </c>
      <c r="G37" s="170" t="e">
        <f>ROUND(IF(E2="工业",C37*$M$42,C37*$M$41),0)</f>
        <v>#DIV/0!</v>
      </c>
      <c r="H37" s="170">
        <f>D37</f>
        <v>0</v>
      </c>
      <c r="I37" s="170" t="e">
        <f>ROUND(G37*H37/10000,0)</f>
        <v>#DIV/0!</v>
      </c>
      <c r="J37" s="3005"/>
      <c r="K37" s="3352" t="s">
        <v>3264</v>
      </c>
      <c r="L37" s="3350">
        <f ca="1">L36+K38</f>
        <v>3.5000000000000003E-2</v>
      </c>
      <c r="M37" s="3351">
        <f ca="1">ROUND($L$37*(1+M31),3)</f>
        <v>4.3999999999999997E-2</v>
      </c>
      <c r="N37" s="3351">
        <f t="shared" ref="N37:Q37" ca="1" si="3">ROUND($L$37*(1+N31),3)</f>
        <v>4.2000000000000003E-2</v>
      </c>
      <c r="O37" s="3351">
        <f t="shared" ca="1" si="3"/>
        <v>0.04</v>
      </c>
      <c r="P37" s="3351">
        <f t="shared" ca="1" si="3"/>
        <v>3.9E-2</v>
      </c>
      <c r="Q37" s="3351">
        <f t="shared" ca="1" si="3"/>
        <v>0.04</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3"/>
      <c r="B38" s="2039" t="s">
        <v>2037</v>
      </c>
      <c r="C38" s="174" t="e">
        <f>ROUND(D5*C22*C23*C24*C28*F38,0)</f>
        <v>#DIV/0!</v>
      </c>
      <c r="D38" s="2096"/>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803"/>
      <c r="B39" s="2039" t="s">
        <v>3257</v>
      </c>
      <c r="C39" s="174" t="e">
        <f>ROUND(D5*C22*C23*C24*C28*F39,0)</f>
        <v>#DIV/0!</v>
      </c>
      <c r="D39" s="2096"/>
      <c r="E39" s="170" t="e">
        <f t="shared" si="4"/>
        <v>#DIV/0!</v>
      </c>
      <c r="F39" s="170">
        <f>SUMIF(修正!A57:A68,G2,修正!D57:D68)</f>
        <v>0</v>
      </c>
      <c r="G39" s="170" t="e">
        <f>ROUND(IF(E2="工业",C39*$M$42,C39*$M$41),0)</f>
        <v>#DIV/0!</v>
      </c>
      <c r="H39" s="170">
        <f t="shared" si="5"/>
        <v>0</v>
      </c>
      <c r="I39" s="170"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t="e">
        <f>ROUND(D5*C22*C23*C24*C28*F40,0)</f>
        <v>#DIV/0!</v>
      </c>
      <c r="D40" s="2096"/>
      <c r="E40" s="170" t="e">
        <f t="shared" si="4"/>
        <v>#DIV/0!</v>
      </c>
      <c r="F40" s="174">
        <f>SUMIF(修正!A57:A68,G2,修正!E57:E68)</f>
        <v>0</v>
      </c>
      <c r="G40" s="170" t="e">
        <f>ROUND(IF(E2="工业",C40*$M$42,C40*$M$41),0)</f>
        <v>#DIV/0!</v>
      </c>
      <c r="H40" s="170">
        <f t="shared" si="5"/>
        <v>0</v>
      </c>
      <c r="I40" s="170"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t="e">
        <f>ROUND(D5*C22*C23*C44*C28*F41,0)</f>
        <v>#VALUE!</v>
      </c>
      <c r="D41" s="2096"/>
      <c r="E41" s="170" t="e">
        <f t="shared" si="4"/>
        <v>#VALUE!</v>
      </c>
      <c r="F41" s="174">
        <f>SUMIF(修正!A57:A68,G2,修正!F57:F68)</f>
        <v>0</v>
      </c>
      <c r="G41" s="170" t="e">
        <f>ROUND(IF(E2="工业",C41*$M$42,C41*$M$41),0)</f>
        <v>#VALUE!</v>
      </c>
      <c r="H41" s="170">
        <f t="shared" si="5"/>
        <v>0</v>
      </c>
      <c r="I41" s="170" t="e">
        <f t="shared" si="6"/>
        <v>#VALUE!</v>
      </c>
      <c r="J41" s="2112"/>
      <c r="L41" s="3353" t="s">
        <v>3265</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t="e">
        <f>ROUND(D5*C22*C23*C44*C28*F42,0)</f>
        <v>#VALUE!</v>
      </c>
      <c r="D42" s="2101"/>
      <c r="E42" s="186" t="e">
        <f t="shared" si="4"/>
        <v>#VALUE!</v>
      </c>
      <c r="F42" s="765">
        <f>SUMIF(修正!A57:A68,G2,修正!G57:G68)</f>
        <v>0</v>
      </c>
      <c r="G42" s="186" t="e">
        <f>ROUND(IF(E2="工业",C42*$M$42,C42*$M$41),0)</f>
        <v>#VALUE!</v>
      </c>
      <c r="H42" s="186">
        <f t="shared" si="5"/>
        <v>0</v>
      </c>
      <c r="I42" s="186" t="e">
        <f t="shared" si="6"/>
        <v>#VALUE!</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t="e">
        <f>ROUND(POWER(1+E44,H44-G44)*(POWER(1+E44,G44)-1)/(POWER(1+E44,H44)-1),4)</f>
        <v>#VALUE!</v>
      </c>
      <c r="D44" s="170" t="s">
        <v>1999</v>
      </c>
      <c r="E44" s="2151">
        <f>G24</f>
        <v>5.5E-2</v>
      </c>
      <c r="F44" s="170" t="s">
        <v>2008</v>
      </c>
      <c r="G44" s="182" t="str">
        <f>项目基本情况!D15</f>
        <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3406</v>
      </c>
      <c r="D50" s="1063">
        <f t="shared" ref="D50:D58" si="7">SUMIF($J$49:$N$49,C50,J50:N50)</f>
        <v>0</v>
      </c>
      <c r="E50" s="742">
        <f>ROUND(SUM(D50:D58),4)</f>
        <v>0</v>
      </c>
      <c r="F50" s="1812">
        <f>IF(E2="商业",SUMIF(L1:L12,G2,N1:N12),"——")</f>
        <v>0</v>
      </c>
      <c r="G50" s="1061">
        <f>H50</f>
        <v>0</v>
      </c>
      <c r="H50" s="1064">
        <f t="shared" ref="H50:H58" si="8">IFERROR(ROUNDDOWN($F$50*I50/2,4),"——")</f>
        <v>0</v>
      </c>
      <c r="I50" s="3360">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3406</v>
      </c>
      <c r="D51" s="1063">
        <f t="shared" si="7"/>
        <v>0</v>
      </c>
      <c r="E51" s="743"/>
      <c r="F51" s="1812"/>
      <c r="G51" s="1061">
        <f t="shared" ref="G51:G58" si="12">H51</f>
        <v>0</v>
      </c>
      <c r="H51" s="1064">
        <f t="shared" si="8"/>
        <v>0</v>
      </c>
      <c r="I51" s="3360">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2" t="s">
        <v>3267</v>
      </c>
      <c r="B52" s="2132">
        <f>估价对象房地状况!C19</f>
        <v>0</v>
      </c>
      <c r="C52" s="2042" t="s">
        <v>3407</v>
      </c>
      <c r="D52" s="1063">
        <f t="shared" si="7"/>
        <v>0</v>
      </c>
      <c r="E52" s="743"/>
      <c r="F52" s="1812"/>
      <c r="G52" s="1061">
        <f t="shared" si="12"/>
        <v>0</v>
      </c>
      <c r="H52" s="1064">
        <f t="shared" si="8"/>
        <v>0</v>
      </c>
      <c r="I52" s="3360">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t="s">
        <v>3407</v>
      </c>
      <c r="D53" s="1063">
        <f t="shared" si="7"/>
        <v>0</v>
      </c>
      <c r="E53" s="743"/>
      <c r="F53" s="1812"/>
      <c r="G53" s="1061">
        <f t="shared" si="12"/>
        <v>0</v>
      </c>
      <c r="H53" s="1064">
        <f t="shared" si="8"/>
        <v>0</v>
      </c>
      <c r="I53" s="3360">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3478</v>
      </c>
      <c r="D54" s="1063">
        <f t="shared" si="7"/>
        <v>0</v>
      </c>
      <c r="E54" s="743"/>
      <c r="F54" s="1812"/>
      <c r="G54" s="1061">
        <f t="shared" si="12"/>
        <v>0</v>
      </c>
      <c r="H54" s="1064">
        <f t="shared" si="8"/>
        <v>0</v>
      </c>
      <c r="I54" s="3360">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t="s">
        <v>3407</v>
      </c>
      <c r="D55" s="1063">
        <f t="shared" si="7"/>
        <v>0</v>
      </c>
      <c r="E55" s="743"/>
      <c r="F55" s="1812"/>
      <c r="G55" s="1061">
        <f t="shared" si="12"/>
        <v>0</v>
      </c>
      <c r="H55" s="1064">
        <f t="shared" si="8"/>
        <v>0</v>
      </c>
      <c r="I55" s="3360">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3406</v>
      </c>
      <c r="D56" s="1063">
        <f t="shared" si="7"/>
        <v>0</v>
      </c>
      <c r="E56" s="743"/>
      <c r="F56" s="1812"/>
      <c r="G56" s="1061">
        <f t="shared" si="12"/>
        <v>0</v>
      </c>
      <c r="H56" s="1064">
        <f t="shared" si="8"/>
        <v>0</v>
      </c>
      <c r="I56" s="3360">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3408</v>
      </c>
      <c r="D57" s="1063">
        <f t="shared" si="7"/>
        <v>0</v>
      </c>
      <c r="E57" s="743"/>
      <c r="F57" s="1812"/>
      <c r="G57" s="1061">
        <f t="shared" si="12"/>
        <v>0</v>
      </c>
      <c r="H57" s="1064">
        <f t="shared" si="8"/>
        <v>0</v>
      </c>
      <c r="I57" s="3360">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3407</v>
      </c>
      <c r="D58" s="1063">
        <f t="shared" si="7"/>
        <v>0</v>
      </c>
      <c r="E58" s="744"/>
      <c r="F58" s="1812"/>
      <c r="G58" s="1061">
        <f t="shared" si="12"/>
        <v>0</v>
      </c>
      <c r="H58" s="1064">
        <f t="shared" si="8"/>
        <v>0</v>
      </c>
      <c r="I58" s="3361">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3406</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3407</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3267</v>
      </c>
      <c r="B63" s="2132">
        <f>估价对象房地状况!C19</f>
        <v>0</v>
      </c>
      <c r="C63" s="2042" t="s">
        <v>3407</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3407</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3406</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3407</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3407</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3408</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3406</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3267</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3268</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2611</v>
      </c>
      <c r="B91" s="3371">
        <f>1+E93</f>
        <v>1</v>
      </c>
      <c r="C91" s="3364"/>
      <c r="D91" s="3365"/>
      <c r="E91" s="1812"/>
      <c r="F91" s="1812"/>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3271</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3267</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3272</v>
      </c>
      <c r="B96" s="3378" t="s">
        <v>3283</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3273</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3274</v>
      </c>
      <c r="B98" s="3379" t="s">
        <v>3284</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3275</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3276</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3277</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800" t="s">
        <v>3292</v>
      </c>
      <c r="B103" s="3800"/>
      <c r="C103" s="3800"/>
      <c r="D103" s="3800"/>
      <c r="E103" s="3800"/>
      <c r="F103" s="3800"/>
      <c r="G103" s="3800"/>
      <c r="H103" s="3800"/>
      <c r="I103" s="3800"/>
      <c r="J103" s="3800"/>
      <c r="K103" s="3383"/>
      <c r="L103" s="3383"/>
      <c r="M103" s="3383"/>
      <c r="N103" s="3383"/>
    </row>
    <row r="104" spans="1:14">
      <c r="A104" s="3801" t="s">
        <v>3293</v>
      </c>
      <c r="B104" s="3801" t="s">
        <v>3294</v>
      </c>
      <c r="C104" s="3384" t="s">
        <v>3295</v>
      </c>
      <c r="D104" s="3385"/>
      <c r="E104" s="3385"/>
      <c r="F104" s="3385"/>
      <c r="G104" s="3385"/>
      <c r="H104" s="3385"/>
      <c r="I104" s="3385"/>
      <c r="J104" s="3386"/>
      <c r="K104" s="3387"/>
      <c r="L104" s="3387"/>
      <c r="M104" s="3387"/>
      <c r="N104" s="3387"/>
    </row>
    <row r="105" spans="1:14">
      <c r="A105" s="3801"/>
      <c r="B105" s="3801"/>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787"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8"/>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8"/>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8"/>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8"/>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8"/>
      <c r="B111" s="3388" t="s">
        <v>3266</v>
      </c>
      <c r="C111" s="3389">
        <f>$I$3</f>
        <v>3</v>
      </c>
      <c r="D111" s="3389">
        <f t="shared" ref="D111:M111" si="34">$I$3</f>
        <v>3</v>
      </c>
      <c r="E111" s="3389">
        <f t="shared" si="34"/>
        <v>3</v>
      </c>
      <c r="F111" s="3389">
        <f t="shared" si="34"/>
        <v>3</v>
      </c>
      <c r="G111" s="3389">
        <f t="shared" si="34"/>
        <v>3</v>
      </c>
      <c r="H111" s="3389">
        <f t="shared" si="34"/>
        <v>3</v>
      </c>
      <c r="I111" s="3389">
        <f t="shared" si="34"/>
        <v>3</v>
      </c>
      <c r="J111" s="3389">
        <f t="shared" si="34"/>
        <v>3</v>
      </c>
      <c r="K111" s="3389">
        <f t="shared" si="34"/>
        <v>3</v>
      </c>
      <c r="L111" s="3389">
        <f t="shared" si="34"/>
        <v>3</v>
      </c>
      <c r="M111" s="3389">
        <f t="shared" si="34"/>
        <v>3</v>
      </c>
      <c r="N111" s="3389">
        <f>$I$3</f>
        <v>3</v>
      </c>
    </row>
    <row r="112" spans="1:14">
      <c r="A112" s="3789"/>
      <c r="B112" s="3388">
        <v>6</v>
      </c>
      <c r="C112" s="3381">
        <f>(-0.5556*(C111^2)-0.2719*C111+8944)*(10^(-4))</f>
        <v>0.89381839000000007</v>
      </c>
      <c r="D112" s="3381">
        <f>(-0.5556*(D111^2)-0.2719*D111+8944)*(10^(-4))</f>
        <v>0.89381839000000007</v>
      </c>
      <c r="E112" s="3381">
        <f>(-0.7912*(E111^2)-11.3794*E111+8482)*(10^(-4))</f>
        <v>0.84407410000000005</v>
      </c>
      <c r="F112" s="3381">
        <f t="shared" ref="F112:I112" si="35">(-0.7912*(F111^2)-11.3794*F111+8482)*(10^(-4))</f>
        <v>0.84407410000000005</v>
      </c>
      <c r="G112" s="3381">
        <f t="shared" si="35"/>
        <v>0.84407410000000005</v>
      </c>
      <c r="H112" s="3381">
        <f t="shared" si="35"/>
        <v>0.84407410000000005</v>
      </c>
      <c r="I112" s="3381">
        <f t="shared" si="35"/>
        <v>0.84407410000000005</v>
      </c>
      <c r="J112" s="3381">
        <f>(-0.989*(J111^2)-63.78*J111+7771)*(10^(-4))</f>
        <v>0.75707590000000002</v>
      </c>
      <c r="K112" s="3381">
        <f t="shared" ref="K112:N112" si="36">(-0.989*(K111^2)-63.78*K111+7771)*(10^(-4))</f>
        <v>0.75707590000000002</v>
      </c>
      <c r="L112" s="3381">
        <f t="shared" si="36"/>
        <v>0.75707590000000002</v>
      </c>
      <c r="M112" s="3381">
        <f t="shared" si="36"/>
        <v>0.75707590000000002</v>
      </c>
      <c r="N112" s="3381">
        <f t="shared" si="36"/>
        <v>0.75707590000000002</v>
      </c>
    </row>
    <row r="113" spans="1:14">
      <c r="A113" s="3790" t="s">
        <v>3309</v>
      </c>
      <c r="B113" s="3790"/>
      <c r="C113" s="3790"/>
      <c r="D113" s="3790"/>
      <c r="E113" s="3790"/>
      <c r="F113" s="3790"/>
      <c r="G113" s="3790"/>
      <c r="H113" s="3790"/>
      <c r="I113" s="3790"/>
      <c r="J113" s="3790"/>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2.5</v>
      </c>
      <c r="C116" s="3393" t="s">
        <v>3311</v>
      </c>
      <c r="D116" s="3394">
        <f>SUMPRODUCT((A118:A122=F116)*(B117:M117=H116)*B118:M122)</f>
        <v>0</v>
      </c>
      <c r="E116" s="1998" t="s">
        <v>3312</v>
      </c>
      <c r="F116" s="3395" t="str">
        <f>E2</f>
        <v>商业</v>
      </c>
      <c r="G116" s="1998" t="s">
        <v>3313</v>
      </c>
      <c r="H116" s="3395">
        <f>G2</f>
        <v>0</v>
      </c>
      <c r="I116" s="1998"/>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3327</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3328</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3329</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2611</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755387</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2279657</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3313.6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3313.6</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-662654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66</v>
      </c>
      <c r="D20" s="844">
        <f ca="1">IF(C1="",'数据-汇总表'!E6,IF(INDIRECT("'数据-取费表'!c"&amp;$K$1)="住宅",INDIRECT("'数据-取费表'!s"&amp;$K$1),INDIRECT("'数据-取费表'!k"&amp;$K$1)+INDIRECT("'数据-取费表'!s"&amp;$K$1)))</f>
        <v>3313.6</v>
      </c>
      <c r="E20" s="21">
        <f>'数据-取费表'!B28</f>
        <v>200</v>
      </c>
      <c r="F20" s="802"/>
      <c r="G20" s="12"/>
      <c r="H20" s="807"/>
      <c r="I20" s="807"/>
      <c r="J20" s="807"/>
      <c r="K20" s="808"/>
    </row>
    <row r="21" spans="1:33" s="801" customFormat="1" ht="13.5" customHeight="1">
      <c r="A21" s="788" t="s">
        <v>357</v>
      </c>
      <c r="B21" s="811" t="s">
        <v>1628</v>
      </c>
      <c r="C21" s="812">
        <f ca="1">C16+C17+C18</f>
        <v>-662654</v>
      </c>
      <c r="D21" s="813"/>
      <c r="E21" s="280"/>
      <c r="F21" s="280"/>
      <c r="G21" s="130" t="s">
        <v>1629</v>
      </c>
      <c r="H21" s="805"/>
      <c r="I21" s="805"/>
      <c r="J21" s="805"/>
      <c r="K21" s="806"/>
    </row>
    <row r="22" spans="1:33" s="801" customFormat="1" ht="13.5" customHeight="1">
      <c r="A22" s="788" t="s">
        <v>1601</v>
      </c>
      <c r="B22" s="811" t="s">
        <v>1630</v>
      </c>
      <c r="C22" s="812">
        <f ca="1">ROUND(C21*F22,0)</f>
        <v>-13253</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3.0000000000000002E-2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-101386</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-101386</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755387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3620.7437</v>
      </c>
      <c r="C2" s="1870" t="s">
        <v>1651</v>
      </c>
      <c r="D2" s="1871" t="s">
        <v>1652</v>
      </c>
      <c r="E2" s="2603">
        <f>SUM(E6:E13)</f>
        <v>3313.6</v>
      </c>
      <c r="F2" s="2701"/>
      <c r="G2" s="1487"/>
      <c r="H2" s="1487"/>
      <c r="I2" s="1487"/>
      <c r="J2" s="1487"/>
      <c r="K2" s="1487"/>
      <c r="L2" s="1487"/>
      <c r="M2" s="1487"/>
      <c r="N2" s="1487"/>
      <c r="O2" s="1487"/>
      <c r="P2" s="1487"/>
      <c r="Q2" s="1487"/>
      <c r="R2" s="1487"/>
      <c r="S2" s="1487"/>
    </row>
    <row r="3" spans="1:22" ht="15.75">
      <c r="A3" s="1868" t="s">
        <v>686</v>
      </c>
      <c r="B3" s="2597">
        <f ca="1">ROUND(B2*10000/E2,0)</f>
        <v>10927</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806" t="s">
        <v>1654</v>
      </c>
      <c r="C5" s="3807"/>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3620.7437</v>
      </c>
      <c r="C6" s="1870" t="s">
        <v>1651</v>
      </c>
      <c r="D6" s="2703"/>
      <c r="E6" s="2602">
        <f>IF(OR(A6=0,F6="否"),0,'数据-取费表'!K6+'数据-取费表'!S6)</f>
        <v>3313.6</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3389</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2" t="s">
        <v>694</v>
      </c>
      <c r="C6" s="1072" t="e">
        <f ca="1">ROUND(F6*F8*F7*(1-F9)/10000,0)</f>
        <v>#N/A</v>
      </c>
      <c r="D6" s="154" t="s">
        <v>2106</v>
      </c>
      <c r="E6" s="301" t="s">
        <v>696</v>
      </c>
      <c r="F6" s="302" t="e">
        <f ca="1">INDIRECT("'数据-取费表'!u"&amp;$G$1)</f>
        <v>#N/A</v>
      </c>
      <c r="G6" s="1382"/>
      <c r="H6" s="1067" t="s">
        <v>398</v>
      </c>
      <c r="I6" s="3782" t="s">
        <v>694</v>
      </c>
      <c r="J6" s="300" t="e">
        <f ca="1">ROUND(M6*M8*M7*(1-M9)/10000,0)</f>
        <v>#N/A</v>
      </c>
      <c r="K6" s="154" t="s">
        <v>2105</v>
      </c>
      <c r="L6" s="301" t="s">
        <v>696</v>
      </c>
      <c r="M6" s="302" t="e">
        <f ca="1">INDIRECT("'数据-取费表'!z"&amp;$G$1)</f>
        <v>#N/A</v>
      </c>
    </row>
    <row r="7" spans="1:37" ht="18" customHeight="1">
      <c r="A7" s="1071"/>
      <c r="B7" s="3783"/>
      <c r="C7" s="1073"/>
      <c r="D7" s="306"/>
      <c r="E7" s="1074" t="s">
        <v>697</v>
      </c>
      <c r="F7" s="302" t="e">
        <f ca="1">IF(INDIRECT("'数据-取费表'!ah"&amp;$G$1)="",INDIRECT("'数据-取费表'!k"&amp;$G$1),INDIRECT("'数据-取费表'!ah"&amp;$G$1))</f>
        <v>#N/A</v>
      </c>
      <c r="G7" s="1382"/>
      <c r="H7" s="303"/>
      <c r="I7" s="3783"/>
      <c r="J7" s="305"/>
      <c r="K7" s="306"/>
      <c r="L7" s="301" t="s">
        <v>697</v>
      </c>
      <c r="M7" s="302" t="e">
        <f ca="1">F7</f>
        <v>#N/A</v>
      </c>
    </row>
    <row r="8" spans="1:37" ht="18" customHeight="1">
      <c r="A8" s="303"/>
      <c r="B8" s="3783"/>
      <c r="C8" s="305"/>
      <c r="D8" s="306"/>
      <c r="E8" s="301" t="s">
        <v>698</v>
      </c>
      <c r="F8" s="302" t="e">
        <f ca="1">INDIRECT("'数据-取费表'!ai"&amp;$G$1)</f>
        <v>#N/A</v>
      </c>
      <c r="G8" s="1382"/>
      <c r="H8" s="303"/>
      <c r="I8" s="3783"/>
      <c r="J8" s="305"/>
      <c r="K8" s="306"/>
      <c r="L8" s="301" t="s">
        <v>698</v>
      </c>
      <c r="M8" s="302" t="e">
        <f ca="1">INDIRECT("'数据-取费表'!ai"&amp;$G$1)</f>
        <v>#N/A</v>
      </c>
    </row>
    <row r="9" spans="1:37" ht="18" customHeight="1">
      <c r="A9" s="303"/>
      <c r="B9" s="3784"/>
      <c r="C9" s="305"/>
      <c r="D9" s="306"/>
      <c r="E9" s="301" t="s">
        <v>699</v>
      </c>
      <c r="F9" s="311" t="e">
        <f ca="1">INDIRECT("'数据-取费表'!w"&amp;$G$1)</f>
        <v>#N/A</v>
      </c>
      <c r="G9" s="1382"/>
      <c r="H9" s="303"/>
      <c r="I9" s="3784"/>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2114</v>
      </c>
      <c r="E10" s="312" t="s">
        <v>701</v>
      </c>
      <c r="F10" s="1114" t="s">
        <v>3413</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3333</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3.0000000000000002E-2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3333</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1342"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1342"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3402</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3403</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1994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19</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5" t="s">
        <v>837</v>
      </c>
      <c r="L53" s="3786"/>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3380</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3333</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2434</v>
      </c>
      <c r="B1" s="2825"/>
      <c r="C1" s="2837"/>
      <c r="D1" s="2837"/>
      <c r="E1" s="2826"/>
      <c r="F1" s="2827"/>
      <c r="G1" s="2828"/>
      <c r="J1" s="2831" t="s">
        <v>2314</v>
      </c>
      <c r="K1" s="2832"/>
      <c r="L1" s="2832"/>
      <c r="M1" s="2832"/>
      <c r="N1" s="2832"/>
      <c r="O1" s="2832"/>
      <c r="P1" s="2832"/>
      <c r="Q1" s="2832"/>
      <c r="R1" s="2833"/>
      <c r="S1" s="2834"/>
      <c r="T1" s="2834"/>
      <c r="U1" s="2834"/>
    </row>
    <row r="2" spans="1:22" s="2846" customFormat="1" ht="13.15" customHeight="1">
      <c r="A2" s="1383" t="s">
        <v>2315</v>
      </c>
      <c r="B2" s="2836" t="e">
        <f ca="1">IF(D2="——",C40,C40+E2)</f>
        <v>#VALUE!</v>
      </c>
      <c r="C2" s="2837" t="s">
        <v>2316</v>
      </c>
      <c r="D2" s="3436" t="s">
        <v>3356</v>
      </c>
      <c r="E2" s="3437" t="e">
        <f ca="1">'收益法-残值'!L46</f>
        <v>#N/A</v>
      </c>
      <c r="F2" s="2839"/>
      <c r="G2" s="2840"/>
      <c r="H2" s="2841"/>
      <c r="I2" s="2842"/>
      <c r="J2" s="3808" t="s">
        <v>2317</v>
      </c>
      <c r="K2" s="3809"/>
      <c r="L2" s="2843" t="s">
        <v>2318</v>
      </c>
      <c r="M2" s="2843" t="s">
        <v>2319</v>
      </c>
      <c r="N2" s="2843" t="s">
        <v>2320</v>
      </c>
      <c r="O2" s="2843" t="s">
        <v>2321</v>
      </c>
      <c r="P2" s="2843" t="s">
        <v>2322</v>
      </c>
      <c r="Q2" s="2844" t="s">
        <v>2323</v>
      </c>
      <c r="R2" s="2845" t="s">
        <v>2324</v>
      </c>
      <c r="S2" s="2834"/>
      <c r="T2" s="2834"/>
      <c r="U2" s="2834"/>
      <c r="V2" s="2842"/>
    </row>
    <row r="3" spans="1:22" s="2846" customFormat="1" ht="13.15" customHeight="1">
      <c r="A3" s="2847" t="s">
        <v>2325</v>
      </c>
      <c r="B3" s="2848" t="e">
        <f ca="1">ROUND(B2*10000/B4,0)</f>
        <v>#VALUE!</v>
      </c>
      <c r="C3" s="2837" t="s">
        <v>2326</v>
      </c>
      <c r="D3" s="2837"/>
      <c r="E3" s="2838"/>
      <c r="F3" s="2839"/>
      <c r="G3" s="2840"/>
      <c r="H3" s="2841"/>
      <c r="I3" s="2842"/>
      <c r="J3" s="3810" t="s">
        <v>2327</v>
      </c>
      <c r="K3" s="3811"/>
      <c r="L3" s="2849">
        <f>B4</f>
        <v>0</v>
      </c>
      <c r="M3" s="2849"/>
      <c r="N3" s="2849"/>
      <c r="O3" s="2849"/>
      <c r="P3" s="2849"/>
      <c r="Q3" s="2850"/>
      <c r="R3" s="2851">
        <f>SUM(L3:Q3)</f>
        <v>0</v>
      </c>
      <c r="S3" s="2834"/>
      <c r="T3" s="2834"/>
      <c r="U3" s="2834"/>
      <c r="V3" s="2842"/>
    </row>
    <row r="4" spans="1:22" s="2846" customFormat="1" ht="13.15" customHeight="1">
      <c r="A4" s="2852" t="s">
        <v>2328</v>
      </c>
      <c r="B4" s="2853">
        <f>'数据-汇总表'!F20</f>
        <v>0</v>
      </c>
      <c r="C4" s="2837"/>
      <c r="D4" s="2837"/>
      <c r="E4" s="2838"/>
      <c r="F4" s="2839"/>
      <c r="G4" s="2840"/>
      <c r="H4" s="2841"/>
      <c r="I4" s="2842"/>
      <c r="J4" s="3810" t="s">
        <v>2329</v>
      </c>
      <c r="K4" s="3811"/>
      <c r="L4" s="2854"/>
      <c r="M4" s="2854"/>
      <c r="N4" s="2854"/>
      <c r="O4" s="2854"/>
      <c r="P4" s="2854"/>
      <c r="Q4" s="2855"/>
      <c r="R4" s="2856">
        <f>SUM(L4:Q4)</f>
        <v>0</v>
      </c>
      <c r="S4" s="2834"/>
      <c r="T4" s="2834"/>
      <c r="U4" s="2834"/>
      <c r="V4" s="2842"/>
    </row>
    <row r="5" spans="1:22" s="2846" customFormat="1" ht="13.15" customHeight="1" thickBot="1">
      <c r="A5" s="2857" t="s">
        <v>2330</v>
      </c>
      <c r="B5" s="2858"/>
      <c r="C5" s="2837"/>
      <c r="D5" s="2859"/>
      <c r="E5" s="2839"/>
      <c r="F5" s="2839"/>
      <c r="G5" s="2840"/>
      <c r="H5" s="2841"/>
      <c r="I5" s="2842"/>
      <c r="J5" s="2860" t="s">
        <v>2331</v>
      </c>
      <c r="K5" s="2861"/>
      <c r="L5" s="2861"/>
      <c r="M5" s="2862"/>
      <c r="N5" s="2862"/>
      <c r="O5" s="2862"/>
      <c r="P5" s="2862"/>
      <c r="Q5" s="2862"/>
      <c r="R5" s="2845">
        <f>SUM(R14,R19,R24,R25,R27,R28)</f>
        <v>58</v>
      </c>
      <c r="S5" s="2834"/>
      <c r="T5" s="2834" t="s">
        <v>2332</v>
      </c>
      <c r="U5" s="2834" t="e">
        <f>ROUND(R5*10000/365/R3,1)</f>
        <v>#DIV/0!</v>
      </c>
      <c r="V5" s="2842"/>
    </row>
    <row r="6" spans="1:22" s="2846" customFormat="1" ht="13.15" customHeight="1" thickBot="1">
      <c r="A6" s="3812" t="s">
        <v>2333</v>
      </c>
      <c r="B6" s="3813"/>
      <c r="C6" s="3814"/>
      <c r="D6" s="2863">
        <f>R5</f>
        <v>58</v>
      </c>
      <c r="E6" s="2864"/>
      <c r="F6" s="2865"/>
      <c r="G6" s="2866"/>
      <c r="H6" s="2841"/>
      <c r="I6" s="2842"/>
      <c r="J6" s="3815">
        <v>1</v>
      </c>
      <c r="K6" s="3816" t="s">
        <v>2334</v>
      </c>
      <c r="L6" s="2867" t="s">
        <v>2335</v>
      </c>
      <c r="M6" s="2868" t="s">
        <v>2336</v>
      </c>
      <c r="N6" s="2868" t="s">
        <v>2337</v>
      </c>
      <c r="O6" s="2868" t="s">
        <v>2338</v>
      </c>
      <c r="P6" s="2868" t="s">
        <v>2339</v>
      </c>
      <c r="Q6" s="2868" t="s">
        <v>2340</v>
      </c>
      <c r="R6" s="2851" t="s">
        <v>2341</v>
      </c>
      <c r="S6" s="2834"/>
      <c r="T6" s="2834" t="s">
        <v>2342</v>
      </c>
      <c r="U6" s="2834"/>
      <c r="V6" s="2842"/>
    </row>
    <row r="7" spans="1:22" s="2846" customFormat="1" ht="13.15" customHeight="1">
      <c r="A7" s="2869" t="s">
        <v>2343</v>
      </c>
      <c r="B7" s="2870"/>
      <c r="C7" s="2871"/>
      <c r="D7" s="2872">
        <f ca="1">SUM(D9,D10,D11,D17,0)</f>
        <v>42</v>
      </c>
      <c r="E7" s="2873">
        <f ca="1">E9+E10+E11+E17</f>
        <v>0.70862068965517244</v>
      </c>
      <c r="F7" s="2874"/>
      <c r="G7" s="2875"/>
      <c r="H7" s="2841"/>
      <c r="I7" s="2842"/>
      <c r="J7" s="3815"/>
      <c r="K7" s="3817"/>
      <c r="L7" s="2876" t="s">
        <v>2344</v>
      </c>
      <c r="M7" s="2877">
        <v>16</v>
      </c>
      <c r="N7" s="2853">
        <v>120</v>
      </c>
      <c r="O7" s="2878">
        <v>0.98</v>
      </c>
      <c r="P7" s="2878">
        <v>0.85</v>
      </c>
      <c r="Q7" s="2879">
        <v>365</v>
      </c>
      <c r="R7" s="2880">
        <f>ROUND(M7*N7*O7*P7*Q7/10000,0)</f>
        <v>58</v>
      </c>
      <c r="S7" s="2834"/>
      <c r="T7" s="2834" t="s">
        <v>2345</v>
      </c>
      <c r="U7" s="2834"/>
      <c r="V7" s="2842"/>
    </row>
    <row r="8" spans="1:22" s="2846" customFormat="1" ht="13.15" customHeight="1">
      <c r="A8" s="2881" t="s">
        <v>2346</v>
      </c>
      <c r="B8" s="3819" t="s">
        <v>2347</v>
      </c>
      <c r="C8" s="3820"/>
      <c r="D8" s="2882" t="s">
        <v>2348</v>
      </c>
      <c r="E8" s="2883" t="s">
        <v>2349</v>
      </c>
      <c r="F8" s="2884" t="s">
        <v>2350</v>
      </c>
      <c r="G8" s="2885"/>
      <c r="H8" s="2841"/>
      <c r="I8" s="2842"/>
      <c r="J8" s="3815"/>
      <c r="K8" s="3817"/>
      <c r="L8" s="2876" t="s">
        <v>2351</v>
      </c>
      <c r="M8" s="2877"/>
      <c r="N8" s="2853"/>
      <c r="O8" s="2878"/>
      <c r="P8" s="2878"/>
      <c r="Q8" s="2879">
        <v>365</v>
      </c>
      <c r="R8" s="2880">
        <f t="shared" ref="R8:R13" si="0">ROUND(M8*N8*O8*P8*Q8/10000,0)</f>
        <v>0</v>
      </c>
      <c r="S8" s="2834"/>
      <c r="T8" s="2834" t="s">
        <v>2352</v>
      </c>
      <c r="U8" s="2834">
        <v>2</v>
      </c>
      <c r="V8" s="2842"/>
    </row>
    <row r="9" spans="1:22" s="2846" customFormat="1" ht="13.15" customHeight="1">
      <c r="A9" s="2881">
        <v>1</v>
      </c>
      <c r="B9" s="3819" t="s">
        <v>2353</v>
      </c>
      <c r="C9" s="3820"/>
      <c r="D9" s="2882">
        <f>ROUND(D6*E9,0)</f>
        <v>12</v>
      </c>
      <c r="E9" s="2886">
        <v>0.2</v>
      </c>
      <c r="F9" s="2887" t="s">
        <v>2354</v>
      </c>
      <c r="G9" s="2866"/>
      <c r="H9" s="2841"/>
      <c r="I9" s="2842"/>
      <c r="J9" s="3815"/>
      <c r="K9" s="3817"/>
      <c r="L9" s="2876" t="s">
        <v>2355</v>
      </c>
      <c r="M9" s="2877"/>
      <c r="N9" s="2853"/>
      <c r="O9" s="2878"/>
      <c r="P9" s="2878"/>
      <c r="Q9" s="2879">
        <v>365</v>
      </c>
      <c r="R9" s="2880">
        <f t="shared" si="0"/>
        <v>0</v>
      </c>
      <c r="S9" s="2834"/>
      <c r="T9" s="2834"/>
      <c r="U9" s="2834"/>
      <c r="V9" s="2842"/>
    </row>
    <row r="10" spans="1:22" s="2846" customFormat="1" ht="13.15" customHeight="1">
      <c r="A10" s="2881">
        <v>2</v>
      </c>
      <c r="B10" s="3819" t="s">
        <v>2356</v>
      </c>
      <c r="C10" s="3820"/>
      <c r="D10" s="2882">
        <f>ROUND(D6*E10,0)</f>
        <v>9</v>
      </c>
      <c r="E10" s="2886">
        <v>0.15</v>
      </c>
      <c r="F10" s="2887" t="s">
        <v>2357</v>
      </c>
      <c r="G10" s="2866"/>
      <c r="H10" s="2841"/>
      <c r="I10" s="2842"/>
      <c r="J10" s="3815"/>
      <c r="K10" s="3817"/>
      <c r="L10" s="2876" t="s">
        <v>2358</v>
      </c>
      <c r="M10" s="2877"/>
      <c r="N10" s="2853"/>
      <c r="O10" s="2878"/>
      <c r="P10" s="2878"/>
      <c r="Q10" s="2879">
        <v>365</v>
      </c>
      <c r="R10" s="2880">
        <f t="shared" si="0"/>
        <v>0</v>
      </c>
      <c r="S10" s="2834"/>
      <c r="T10" s="2834"/>
      <c r="U10" s="2834"/>
      <c r="V10" s="2842"/>
    </row>
    <row r="11" spans="1:22" s="2846" customFormat="1" ht="13.15" customHeight="1">
      <c r="A11" s="2881">
        <v>3</v>
      </c>
      <c r="B11" s="3819" t="s">
        <v>2359</v>
      </c>
      <c r="C11" s="3820"/>
      <c r="D11" s="2882">
        <f ca="1">D12+D14+D15+D16</f>
        <v>15</v>
      </c>
      <c r="E11" s="2888">
        <f ca="1">D11/D6</f>
        <v>0.25862068965517243</v>
      </c>
      <c r="F11" s="2884"/>
      <c r="G11" s="2885"/>
      <c r="H11" s="2841"/>
      <c r="I11" s="2842"/>
      <c r="J11" s="3815"/>
      <c r="K11" s="3817"/>
      <c r="L11" s="2876" t="s">
        <v>2360</v>
      </c>
      <c r="M11" s="2877"/>
      <c r="N11" s="2853"/>
      <c r="O11" s="2878"/>
      <c r="P11" s="2878"/>
      <c r="Q11" s="2879">
        <v>365</v>
      </c>
      <c r="R11" s="2880">
        <f t="shared" si="0"/>
        <v>0</v>
      </c>
      <c r="S11" s="2834"/>
      <c r="T11" s="2834"/>
      <c r="U11" s="2834"/>
      <c r="V11" s="2842"/>
    </row>
    <row r="12" spans="1:22" s="2846" customFormat="1" ht="13.15" customHeight="1">
      <c r="A12" s="2889" t="s">
        <v>2361</v>
      </c>
      <c r="B12" s="3821" t="s">
        <v>2362</v>
      </c>
      <c r="C12" s="3822"/>
      <c r="D12" s="2890">
        <f ca="1">ROUND(D13*1.2%*(1-30%),0)</f>
        <v>12</v>
      </c>
      <c r="E12" s="2891">
        <v>1.2E-2</v>
      </c>
      <c r="F12" s="2884" t="s">
        <v>2363</v>
      </c>
      <c r="G12" s="2885"/>
      <c r="H12" s="2841"/>
      <c r="I12" s="2842"/>
      <c r="J12" s="3815"/>
      <c r="K12" s="3817"/>
      <c r="L12" s="2876" t="s">
        <v>2364</v>
      </c>
      <c r="M12" s="2877"/>
      <c r="N12" s="2853"/>
      <c r="O12" s="2878"/>
      <c r="P12" s="2878"/>
      <c r="Q12" s="2879">
        <v>365</v>
      </c>
      <c r="R12" s="2880">
        <f t="shared" si="0"/>
        <v>0</v>
      </c>
      <c r="S12" s="2834"/>
      <c r="T12" s="2834"/>
      <c r="U12" s="2834"/>
      <c r="V12" s="2842"/>
    </row>
    <row r="13" spans="1:22" s="2846" customFormat="1" ht="13.15" customHeight="1">
      <c r="A13" s="2889"/>
      <c r="B13" s="2892"/>
      <c r="C13" s="2893" t="s">
        <v>2365</v>
      </c>
      <c r="D13" s="2894">
        <f ca="1">成本法!C49</f>
        <v>1375</v>
      </c>
      <c r="E13" s="2895"/>
      <c r="F13" s="2884"/>
      <c r="G13" s="2885"/>
      <c r="H13" s="2841"/>
      <c r="I13" s="2842"/>
      <c r="J13" s="3815"/>
      <c r="K13" s="3817"/>
      <c r="L13" s="2876" t="s">
        <v>2366</v>
      </c>
      <c r="M13" s="2877"/>
      <c r="N13" s="2853"/>
      <c r="O13" s="2878"/>
      <c r="P13" s="2878"/>
      <c r="Q13" s="2879">
        <v>365</v>
      </c>
      <c r="R13" s="2880">
        <f t="shared" si="0"/>
        <v>0</v>
      </c>
      <c r="S13" s="2834"/>
      <c r="T13" s="2834"/>
      <c r="U13" s="2834"/>
      <c r="V13" s="2842"/>
    </row>
    <row r="14" spans="1:22" s="2846" customFormat="1" ht="13.15" customHeight="1">
      <c r="A14" s="2889" t="s">
        <v>2367</v>
      </c>
      <c r="B14" s="3821" t="s">
        <v>2368</v>
      </c>
      <c r="C14" s="3822"/>
      <c r="D14" s="2890">
        <f>ROUND(E14*B5/10000,0)</f>
        <v>0</v>
      </c>
      <c r="E14" s="2879">
        <f>'数据-取费表'!B59</f>
        <v>1.5</v>
      </c>
      <c r="F14" s="2884" t="s">
        <v>2369</v>
      </c>
      <c r="G14" s="2885"/>
      <c r="H14" s="2841"/>
      <c r="I14" s="2842"/>
      <c r="J14" s="3815"/>
      <c r="K14" s="3818"/>
      <c r="L14" s="2896" t="s">
        <v>2370</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2371</v>
      </c>
      <c r="B15" s="3821" t="s">
        <v>2372</v>
      </c>
      <c r="C15" s="3822"/>
      <c r="D15" s="2890">
        <f>ROUND(D6*E15,0)</f>
        <v>3</v>
      </c>
      <c r="E15" s="2891">
        <v>5.5E-2</v>
      </c>
      <c r="F15" s="2884" t="s">
        <v>2373</v>
      </c>
      <c r="G15" s="2866"/>
      <c r="H15" s="2841"/>
      <c r="I15" s="2842"/>
      <c r="J15" s="3815">
        <v>2</v>
      </c>
      <c r="K15" s="3816" t="s">
        <v>2374</v>
      </c>
      <c r="L15" s="2876" t="s">
        <v>2375</v>
      </c>
      <c r="M15" s="2877" t="s">
        <v>2376</v>
      </c>
      <c r="N15" s="2877" t="s">
        <v>2377</v>
      </c>
      <c r="O15" s="2878" t="s">
        <v>2378</v>
      </c>
      <c r="P15" s="2878" t="s">
        <v>2340</v>
      </c>
      <c r="Q15" s="2853" t="s">
        <v>2379</v>
      </c>
      <c r="R15" s="2900" t="s">
        <v>2341</v>
      </c>
      <c r="S15" s="2834"/>
      <c r="T15" s="2834"/>
      <c r="U15" s="2834"/>
      <c r="V15" s="2842"/>
    </row>
    <row r="16" spans="1:22" s="2846" customFormat="1" ht="13.15" customHeight="1">
      <c r="A16" s="2889" t="s">
        <v>2380</v>
      </c>
      <c r="B16" s="3821" t="s">
        <v>2381</v>
      </c>
      <c r="C16" s="3822"/>
      <c r="D16" s="2901">
        <f>D6*E16</f>
        <v>0</v>
      </c>
      <c r="E16" s="2902">
        <v>0</v>
      </c>
      <c r="F16" s="2887" t="s">
        <v>2382</v>
      </c>
      <c r="G16" s="2866"/>
      <c r="H16" s="2841"/>
      <c r="I16" s="2842"/>
      <c r="J16" s="3815"/>
      <c r="K16" s="3817"/>
      <c r="L16" s="2876" t="s">
        <v>2383</v>
      </c>
      <c r="M16" s="2877"/>
      <c r="N16" s="2877"/>
      <c r="O16" s="2878"/>
      <c r="P16" s="2879">
        <v>365</v>
      </c>
      <c r="Q16" s="2853"/>
      <c r="R16" s="2900">
        <f>ROUND(M16*N16*O16*P16/10000,0)</f>
        <v>0</v>
      </c>
      <c r="S16" s="2834"/>
      <c r="T16" s="2834"/>
      <c r="U16" s="2834"/>
      <c r="V16" s="2842"/>
    </row>
    <row r="17" spans="1:22" s="2846" customFormat="1" ht="13.15" customHeight="1" thickBot="1">
      <c r="A17" s="2903">
        <v>4</v>
      </c>
      <c r="B17" s="3823" t="s">
        <v>2384</v>
      </c>
      <c r="C17" s="3824"/>
      <c r="D17" s="2904">
        <f>ROUND(D6*E17,0)</f>
        <v>6</v>
      </c>
      <c r="E17" s="2905">
        <v>0.1</v>
      </c>
      <c r="F17" s="2906" t="s">
        <v>2385</v>
      </c>
      <c r="G17" s="2866"/>
      <c r="H17" s="2841"/>
      <c r="I17" s="2842"/>
      <c r="J17" s="3815"/>
      <c r="K17" s="3817"/>
      <c r="L17" s="2876" t="s">
        <v>2386</v>
      </c>
      <c r="M17" s="2877"/>
      <c r="N17" s="2877"/>
      <c r="O17" s="2878"/>
      <c r="P17" s="2879">
        <v>365</v>
      </c>
      <c r="Q17" s="2853"/>
      <c r="R17" s="2900">
        <f>ROUND(M17*N17*O17*P17/10000,0)</f>
        <v>0</v>
      </c>
      <c r="S17" s="2834"/>
      <c r="T17" s="2834"/>
      <c r="U17" s="2834"/>
      <c r="V17" s="2842"/>
    </row>
    <row r="18" spans="1:22" s="2846" customFormat="1" ht="13.15" customHeight="1" thickBot="1">
      <c r="A18" s="2869" t="s">
        <v>2387</v>
      </c>
      <c r="B18" s="2870"/>
      <c r="C18" s="2870"/>
      <c r="D18" s="2907">
        <f>ROUND(D6*E18,0)</f>
        <v>3</v>
      </c>
      <c r="E18" s="2908">
        <v>0.05</v>
      </c>
      <c r="F18" s="2909" t="s">
        <v>2388</v>
      </c>
      <c r="G18" s="2866"/>
      <c r="H18" s="2841"/>
      <c r="I18" s="2842"/>
      <c r="J18" s="3815"/>
      <c r="K18" s="3817"/>
      <c r="L18" s="2876" t="s">
        <v>2389</v>
      </c>
      <c r="M18" s="2877"/>
      <c r="N18" s="2877"/>
      <c r="O18" s="2878"/>
      <c r="P18" s="2879">
        <v>365</v>
      </c>
      <c r="Q18" s="2853"/>
      <c r="R18" s="2900">
        <f>ROUND(M18*N18*O18*P18/10000,0)</f>
        <v>0</v>
      </c>
      <c r="S18" s="2834"/>
      <c r="T18" s="2834"/>
      <c r="U18" s="2834"/>
      <c r="V18" s="2842"/>
    </row>
    <row r="19" spans="1:22" s="2846" customFormat="1" ht="13.15" customHeight="1" thickBot="1">
      <c r="A19" s="2910" t="s">
        <v>2390</v>
      </c>
      <c r="B19" s="2864"/>
      <c r="C19" s="2864"/>
      <c r="D19" s="2864"/>
      <c r="E19" s="2864"/>
      <c r="F19" s="2865"/>
      <c r="G19" s="2885"/>
      <c r="H19" s="2841"/>
      <c r="I19" s="2842"/>
      <c r="J19" s="3815"/>
      <c r="K19" s="3818"/>
      <c r="L19" s="2896" t="s">
        <v>2370</v>
      </c>
      <c r="M19" s="2897"/>
      <c r="N19" s="2897">
        <f>SUM(N16:N18)</f>
        <v>0</v>
      </c>
      <c r="O19" s="2898"/>
      <c r="P19" s="2911" t="s">
        <v>3401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15">
        <v>3</v>
      </c>
      <c r="K20" s="3816" t="s">
        <v>2391</v>
      </c>
      <c r="L20" s="2876" t="s">
        <v>2392</v>
      </c>
      <c r="M20" s="2877" t="s">
        <v>2393</v>
      </c>
      <c r="N20" s="2914" t="s">
        <v>2394</v>
      </c>
      <c r="O20" s="2878" t="s">
        <v>2395</v>
      </c>
      <c r="P20" s="2879" t="s">
        <v>2396</v>
      </c>
      <c r="Q20" s="2853" t="s">
        <v>2397</v>
      </c>
      <c r="R20" s="2900" t="s">
        <v>2398</v>
      </c>
      <c r="S20" s="2915"/>
      <c r="T20" s="2915"/>
      <c r="U20" s="2915"/>
      <c r="V20" s="2842"/>
    </row>
    <row r="21" spans="1:22" s="2846" customFormat="1" ht="13.15" customHeight="1">
      <c r="A21" s="2869"/>
      <c r="B21" s="2870"/>
      <c r="C21" s="2916" t="s">
        <v>2399</v>
      </c>
      <c r="D21" s="2917" t="s">
        <v>2400</v>
      </c>
      <c r="E21" s="2918" t="s">
        <v>2401</v>
      </c>
      <c r="F21" s="2913"/>
      <c r="G21" s="2885"/>
      <c r="H21" s="2841"/>
      <c r="I21" s="2842"/>
      <c r="J21" s="3815"/>
      <c r="K21" s="3817"/>
      <c r="L21" s="2876" t="s">
        <v>2402</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2403</v>
      </c>
      <c r="D22" s="2921" t="s">
        <v>2404</v>
      </c>
      <c r="E22" s="2922" t="s">
        <v>2405</v>
      </c>
      <c r="F22" s="2913"/>
      <c r="G22" s="2923"/>
      <c r="H22" s="2841"/>
      <c r="I22" s="2842"/>
      <c r="J22" s="3815"/>
      <c r="K22" s="3817"/>
      <c r="L22" s="2876" t="s">
        <v>2406</v>
      </c>
      <c r="M22" s="2877"/>
      <c r="N22" s="2877"/>
      <c r="O22" s="2878"/>
      <c r="P22" s="2879">
        <v>365</v>
      </c>
      <c r="Q22" s="2853"/>
      <c r="R22" s="2919">
        <f>ROUND(M22*N22*O22*P22/10000,0)</f>
        <v>0</v>
      </c>
      <c r="S22" s="2915"/>
      <c r="T22" s="2915"/>
      <c r="U22" s="2915"/>
      <c r="V22" s="2842"/>
    </row>
    <row r="23" spans="1:22" s="2846" customFormat="1" ht="13.15" customHeight="1">
      <c r="A23" s="2924">
        <v>1</v>
      </c>
      <c r="B23" s="2925" t="s">
        <v>2407</v>
      </c>
      <c r="C23" s="2926">
        <f>D6</f>
        <v>58</v>
      </c>
      <c r="D23" s="2927">
        <f>C23*(1+D24)</f>
        <v>58</v>
      </c>
      <c r="E23" s="2928">
        <f>D23*(1+E24)</f>
        <v>58</v>
      </c>
      <c r="F23" s="2929"/>
      <c r="G23" s="2930"/>
      <c r="H23" s="2841"/>
      <c r="I23" s="2842"/>
      <c r="J23" s="3815"/>
      <c r="K23" s="3817"/>
      <c r="L23" s="2876" t="s">
        <v>2408</v>
      </c>
      <c r="M23" s="2877"/>
      <c r="N23" s="2877"/>
      <c r="O23" s="2878"/>
      <c r="P23" s="2879">
        <v>365</v>
      </c>
      <c r="Q23" s="2853"/>
      <c r="R23" s="2919">
        <f>ROUND(M23*N23*O23*P23/10000,0)</f>
        <v>0</v>
      </c>
      <c r="S23" s="2834"/>
      <c r="T23" s="2834"/>
      <c r="U23" s="2834"/>
      <c r="V23" s="2842"/>
    </row>
    <row r="24" spans="1:22" s="2846" customFormat="1" ht="13.15" customHeight="1">
      <c r="A24" s="2931"/>
      <c r="B24" s="2932" t="s">
        <v>2409</v>
      </c>
      <c r="C24" s="2933"/>
      <c r="D24" s="2934"/>
      <c r="E24" s="2935"/>
      <c r="F24" s="2936"/>
      <c r="G24" s="2930"/>
      <c r="H24" s="2841"/>
      <c r="I24" s="2842"/>
      <c r="J24" s="3815"/>
      <c r="K24" s="3818"/>
      <c r="L24" s="2896" t="s">
        <v>2370</v>
      </c>
      <c r="M24" s="2897">
        <f>SUM(M21:M23)</f>
        <v>0</v>
      </c>
      <c r="N24" s="2897"/>
      <c r="O24" s="2898"/>
      <c r="P24" s="2911" t="s">
        <v>3401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2410</v>
      </c>
      <c r="L25" s="2939"/>
      <c r="M25" s="2939"/>
      <c r="N25" s="2939"/>
      <c r="O25" s="2939"/>
      <c r="P25" s="2940"/>
      <c r="Q25" s="2941">
        <v>0</v>
      </c>
      <c r="R25" s="2912">
        <f>ROUND(R14*Q25,0)</f>
        <v>0</v>
      </c>
      <c r="S25" s="2834"/>
      <c r="T25" s="2834"/>
      <c r="U25" s="2834"/>
      <c r="V25" s="2942"/>
    </row>
    <row r="26" spans="1:22" s="2943" customFormat="1" ht="13.15" customHeight="1">
      <c r="A26" s="2924">
        <v>2</v>
      </c>
      <c r="B26" s="2925" t="s">
        <v>2411</v>
      </c>
      <c r="C26" s="2926">
        <f ca="1">D7</f>
        <v>42</v>
      </c>
      <c r="D26" s="2927">
        <f ca="1">D23*D27</f>
        <v>41.1</v>
      </c>
      <c r="E26" s="2928">
        <f>E23*E27</f>
        <v>0</v>
      </c>
      <c r="F26" s="2929"/>
      <c r="G26" s="2930"/>
      <c r="H26" s="2841"/>
      <c r="I26" s="2842"/>
      <c r="J26" s="3825">
        <v>5</v>
      </c>
      <c r="K26" s="2944" t="s">
        <v>2412</v>
      </c>
      <c r="L26" s="2945"/>
      <c r="M26" s="2946"/>
      <c r="N26" s="2947" t="s">
        <v>2413</v>
      </c>
      <c r="O26" s="2947" t="s">
        <v>2414</v>
      </c>
      <c r="P26" s="2948" t="s">
        <v>2415</v>
      </c>
      <c r="Q26" s="2948" t="s">
        <v>2416</v>
      </c>
      <c r="R26" s="2851" t="s">
        <v>2341</v>
      </c>
      <c r="S26" s="2949"/>
      <c r="T26" s="2949"/>
      <c r="U26" s="2949"/>
      <c r="V26" s="2942"/>
    </row>
    <row r="27" spans="1:22" s="2846" customFormat="1" ht="13.15" customHeight="1">
      <c r="A27" s="2931"/>
      <c r="B27" s="2932" t="s">
        <v>2417</v>
      </c>
      <c r="C27" s="2950">
        <f ca="1">E7</f>
        <v>0.70862068965517244</v>
      </c>
      <c r="D27" s="2934">
        <f ca="1">E9+E10+E11+E17</f>
        <v>0.70862068965517244</v>
      </c>
      <c r="E27" s="2935"/>
      <c r="F27" s="2936"/>
      <c r="G27" s="2930"/>
      <c r="H27" s="2951"/>
      <c r="I27" s="2942"/>
      <c r="J27" s="382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2418</v>
      </c>
      <c r="F28" s="2936"/>
      <c r="G28" s="2923"/>
      <c r="H28" s="2951"/>
      <c r="I28" s="2942"/>
      <c r="J28" s="2957">
        <v>6</v>
      </c>
      <c r="K28" s="2958" t="s">
        <v>2419</v>
      </c>
      <c r="L28" s="2959" t="s">
        <v>2420</v>
      </c>
      <c r="M28" s="2960"/>
      <c r="N28" s="2959" t="s">
        <v>2421</v>
      </c>
      <c r="O28" s="2961"/>
      <c r="P28" s="2959" t="s">
        <v>2422</v>
      </c>
      <c r="Q28" s="2962">
        <v>1.4999999999999999E-2</v>
      </c>
      <c r="R28" s="2963"/>
      <c r="S28" s="2915"/>
      <c r="T28" s="2915"/>
      <c r="U28" s="2915"/>
      <c r="V28" s="2942"/>
    </row>
    <row r="29" spans="1:22" s="2943" customFormat="1" ht="13.15" customHeight="1">
      <c r="A29" s="2924">
        <v>3</v>
      </c>
      <c r="B29" s="2925" t="s">
        <v>2423</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2417</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2424</v>
      </c>
      <c r="K31" s="2832"/>
      <c r="L31" s="2832"/>
      <c r="M31" s="2832"/>
      <c r="N31" s="2832"/>
      <c r="O31" s="2832"/>
      <c r="P31" s="2832"/>
      <c r="Q31" s="2832"/>
      <c r="R31" s="2833"/>
      <c r="S31" s="2915"/>
      <c r="T31" s="2834"/>
      <c r="U31" s="2834"/>
      <c r="V31" s="2942"/>
    </row>
    <row r="32" spans="1:22" s="2943" customFormat="1" ht="13.15" customHeight="1">
      <c r="A32" s="2924">
        <v>4</v>
      </c>
      <c r="B32" s="2925" t="s">
        <v>2425</v>
      </c>
      <c r="C32" s="2926">
        <f ca="1">C23-C26-C29</f>
        <v>13.1</v>
      </c>
      <c r="D32" s="2927">
        <f ca="1">D23-D26-D29</f>
        <v>13.999999999999998</v>
      </c>
      <c r="E32" s="2928">
        <f>E23-E26-E29</f>
        <v>55.1</v>
      </c>
      <c r="F32" s="2929"/>
      <c r="G32" s="2923"/>
      <c r="H32" s="2841"/>
      <c r="I32" s="2842"/>
      <c r="J32" s="3808" t="s">
        <v>2317</v>
      </c>
      <c r="K32" s="3809"/>
      <c r="L32" s="2843" t="s">
        <v>2318</v>
      </c>
      <c r="M32" s="2843" t="s">
        <v>2319</v>
      </c>
      <c r="N32" s="2843" t="s">
        <v>2320</v>
      </c>
      <c r="O32" s="2843" t="s">
        <v>2321</v>
      </c>
      <c r="P32" s="2843" t="s">
        <v>2322</v>
      </c>
      <c r="Q32" s="2844" t="s">
        <v>2323</v>
      </c>
      <c r="R32" s="2966" t="s">
        <v>2324</v>
      </c>
      <c r="S32" s="2915"/>
      <c r="T32" s="2834"/>
      <c r="U32" s="2834"/>
      <c r="V32" s="2942"/>
    </row>
    <row r="33" spans="1:23" s="2846" customFormat="1" ht="13.15" customHeight="1">
      <c r="A33" s="2924"/>
      <c r="B33" s="2925"/>
      <c r="C33" s="2926"/>
      <c r="D33" s="2967"/>
      <c r="E33" s="2968"/>
      <c r="F33" s="2929"/>
      <c r="G33" s="2923"/>
      <c r="H33" s="2951"/>
      <c r="I33" s="2942"/>
      <c r="J33" s="3810" t="s">
        <v>2327</v>
      </c>
      <c r="K33" s="3811"/>
      <c r="L33" s="2849"/>
      <c r="M33" s="2849"/>
      <c r="N33" s="2849"/>
      <c r="O33" s="2849"/>
      <c r="P33" s="2849"/>
      <c r="Q33" s="2850"/>
      <c r="R33" s="2969">
        <f>SUM(L33:Q33)</f>
        <v>0</v>
      </c>
      <c r="S33" s="2915"/>
      <c r="T33" s="2834"/>
      <c r="U33" s="2834"/>
      <c r="V33" s="2842"/>
    </row>
    <row r="34" spans="1:23" s="2846" customFormat="1" ht="13.15" customHeight="1">
      <c r="A34" s="2924">
        <v>5</v>
      </c>
      <c r="B34" s="2925" t="s">
        <v>2426</v>
      </c>
      <c r="C34" s="2970">
        <f>'数据-取费表'!I6</f>
        <v>5.5E-2</v>
      </c>
      <c r="D34" s="2971">
        <v>0.01</v>
      </c>
      <c r="E34" s="2972">
        <v>0.01</v>
      </c>
      <c r="F34" s="2929"/>
      <c r="G34" s="2923"/>
      <c r="H34" s="2951"/>
      <c r="I34" s="2942"/>
      <c r="J34" s="3810" t="s">
        <v>2329</v>
      </c>
      <c r="K34" s="3811"/>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2427</v>
      </c>
      <c r="C35" s="2974">
        <v>0</v>
      </c>
      <c r="D35" s="2975"/>
      <c r="E35" s="2976"/>
      <c r="F35" s="2929"/>
      <c r="G35" s="2977"/>
      <c r="H35" s="2841"/>
      <c r="I35" s="2942"/>
      <c r="J35" s="2860" t="s">
        <v>2331</v>
      </c>
      <c r="K35" s="2861"/>
      <c r="L35" s="2861"/>
      <c r="M35" s="2862"/>
      <c r="N35" s="2862"/>
      <c r="O35" s="2862"/>
      <c r="P35" s="2862"/>
      <c r="Q35" s="2862"/>
      <c r="R35" s="2978">
        <f>R40+R41+R43</f>
        <v>0</v>
      </c>
      <c r="S35" s="2915"/>
      <c r="T35" s="2834" t="s">
        <v>2332</v>
      </c>
      <c r="U35" s="2834"/>
      <c r="V35" s="2842"/>
    </row>
    <row r="36" spans="1:23" s="2846" customFormat="1" ht="13.15" customHeight="1" thickBot="1">
      <c r="A36" s="2924">
        <v>7</v>
      </c>
      <c r="B36" s="2979" t="s">
        <v>2428</v>
      </c>
      <c r="C36" s="2980" t="str">
        <f>项目基本情况!D15</f>
        <v/>
      </c>
      <c r="D36" s="2981"/>
      <c r="E36" s="2982"/>
      <c r="F36" s="2983" t="e">
        <f>C36+D36+E36</f>
        <v>#VALUE!</v>
      </c>
      <c r="G36" s="2923"/>
      <c r="H36" s="2841"/>
      <c r="I36" s="2842"/>
      <c r="J36" s="3815">
        <v>1</v>
      </c>
      <c r="K36" s="3816" t="s">
        <v>2429</v>
      </c>
      <c r="L36" s="2867"/>
      <c r="M36" s="2868"/>
      <c r="N36" s="2868"/>
      <c r="O36" s="2868"/>
      <c r="P36" s="2868"/>
      <c r="Q36" s="2868"/>
      <c r="R36" s="2851" t="s">
        <v>2341</v>
      </c>
      <c r="S36" s="2915"/>
      <c r="T36" s="2834" t="s">
        <v>2342</v>
      </c>
      <c r="U36" s="2834"/>
      <c r="V36" s="2842"/>
    </row>
    <row r="37" spans="1:23" s="2846" customFormat="1" ht="13.15" customHeight="1">
      <c r="A37" s="2924"/>
      <c r="B37" s="2925"/>
      <c r="C37" s="2925"/>
      <c r="D37" s="2925"/>
      <c r="E37" s="2925"/>
      <c r="F37" s="2929"/>
      <c r="G37" s="2923"/>
      <c r="H37" s="2841"/>
      <c r="I37" s="2842"/>
      <c r="J37" s="3815"/>
      <c r="K37" s="3817"/>
      <c r="L37" s="2876"/>
      <c r="M37" s="2877"/>
      <c r="N37" s="2853"/>
      <c r="O37" s="2878"/>
      <c r="P37" s="2878"/>
      <c r="Q37" s="2879"/>
      <c r="R37" s="2880"/>
      <c r="S37" s="2915"/>
      <c r="T37" s="2834" t="s">
        <v>2345</v>
      </c>
      <c r="U37" s="2834"/>
      <c r="V37" s="2842"/>
    </row>
    <row r="38" spans="1:23" s="2846" customFormat="1" ht="13.15" customHeight="1">
      <c r="A38" s="2924">
        <v>8</v>
      </c>
      <c r="B38" s="2925"/>
      <c r="C38" s="2882" t="e">
        <f ca="1">ROUND(C32*(1-((1+C35)/(1+C34))^C36)/(C34-C35),0)</f>
        <v>#VALUE!</v>
      </c>
      <c r="D38" s="2882">
        <f ca="1">IF(D23=0,0,ROUND(D32*(1-((1+D35)/(1+D34))^D36)/(D34-D35),0))</f>
        <v>0</v>
      </c>
      <c r="E38" s="2882">
        <f>IF(E23=0,0,ROUND(E32*(1-((1+E35)/(1+E34))^E36)/(E34-E35),0))</f>
        <v>0</v>
      </c>
      <c r="F38" s="2929"/>
      <c r="G38" s="2923"/>
      <c r="H38" s="2841"/>
      <c r="I38" s="2842"/>
      <c r="J38" s="3815"/>
      <c r="K38" s="3817"/>
      <c r="L38" s="2876"/>
      <c r="M38" s="2877"/>
      <c r="N38" s="2853"/>
      <c r="O38" s="2878"/>
      <c r="P38" s="2878"/>
      <c r="Q38" s="2879"/>
      <c r="R38" s="2880"/>
      <c r="S38" s="2915"/>
      <c r="T38" s="2834" t="s">
        <v>2352</v>
      </c>
      <c r="U38" s="2834"/>
      <c r="V38" s="2842"/>
    </row>
    <row r="39" spans="1:23" s="2846" customFormat="1" ht="13.15" customHeight="1">
      <c r="A39" s="2924">
        <v>9</v>
      </c>
      <c r="B39" s="2925" t="s">
        <v>2430</v>
      </c>
      <c r="C39" s="2890" t="e">
        <f ca="1">C38</f>
        <v>#VALUE!</v>
      </c>
      <c r="D39" s="2925" t="e">
        <f ca="1">D38/(1+D34)^C36</f>
        <v>#VALUE!</v>
      </c>
      <c r="E39" s="2925" t="e">
        <f>E38/(1+E34)^(C36+D36)</f>
        <v>#VALUE!</v>
      </c>
      <c r="F39" s="2929"/>
      <c r="G39" s="2984"/>
      <c r="H39" s="2841"/>
      <c r="I39" s="2842"/>
      <c r="J39" s="3815"/>
      <c r="K39" s="3817"/>
      <c r="L39" s="2876"/>
      <c r="M39" s="2877"/>
      <c r="N39" s="2853"/>
      <c r="O39" s="2878"/>
      <c r="P39" s="2878"/>
      <c r="Q39" s="2879"/>
      <c r="R39" s="2880"/>
      <c r="S39" s="2915"/>
      <c r="T39" s="2834"/>
      <c r="U39" s="2834"/>
      <c r="V39" s="2842"/>
    </row>
    <row r="40" spans="1:23" s="2846" customFormat="1" ht="13.15" customHeight="1">
      <c r="A40" s="2985">
        <v>10</v>
      </c>
      <c r="B40" s="2925" t="s">
        <v>2431</v>
      </c>
      <c r="C40" s="2986" t="e">
        <f ca="1">C39+D39+E39</f>
        <v>#VALUE!</v>
      </c>
      <c r="D40" s="2987"/>
      <c r="E40" s="2987"/>
      <c r="F40" s="2988"/>
      <c r="G40" s="2923"/>
      <c r="H40" s="2841"/>
      <c r="I40" s="2842"/>
      <c r="J40" s="3815"/>
      <c r="K40" s="3818"/>
      <c r="L40" s="2896" t="s">
        <v>2370</v>
      </c>
      <c r="M40" s="2897"/>
      <c r="N40" s="2897"/>
      <c r="O40" s="2898"/>
      <c r="P40" s="2898"/>
      <c r="Q40" s="2899"/>
      <c r="R40" s="2845">
        <f>SUM(R37:R39)</f>
        <v>0</v>
      </c>
      <c r="S40" s="2915"/>
      <c r="T40" s="2834"/>
      <c r="U40" s="2834"/>
      <c r="V40" s="2842"/>
    </row>
    <row r="41" spans="1:23" s="2846" customFormat="1" ht="13.15" customHeight="1" thickBot="1">
      <c r="A41" s="2989">
        <v>11</v>
      </c>
      <c r="B41" s="2990" t="s">
        <v>2432</v>
      </c>
      <c r="C41" s="2990" t="e">
        <f ca="1">ROUND(C40*10000/B4,0)</f>
        <v>#VALUE!</v>
      </c>
      <c r="D41" s="2991"/>
      <c r="E41" s="2991"/>
      <c r="F41" s="2992"/>
      <c r="G41" s="2993"/>
      <c r="H41" s="2841"/>
      <c r="I41" s="2842"/>
      <c r="J41" s="2937">
        <v>2</v>
      </c>
      <c r="K41" s="2938" t="s">
        <v>2410</v>
      </c>
      <c r="L41" s="2939"/>
      <c r="M41" s="2939"/>
      <c r="N41" s="2939"/>
      <c r="O41" s="2939"/>
      <c r="P41" s="2940"/>
      <c r="Q41" s="2941"/>
      <c r="R41" s="2912">
        <f>ROUND(R40*Q41,0)</f>
        <v>0</v>
      </c>
      <c r="S41" s="2915"/>
      <c r="T41" s="2834"/>
      <c r="U41" s="2949"/>
      <c r="V41" s="2842"/>
    </row>
    <row r="42" spans="1:23" s="2846" customFormat="1" ht="13.15" customHeight="1">
      <c r="G42" s="2993"/>
      <c r="H42" s="2841"/>
      <c r="I42" s="2842"/>
      <c r="J42" s="3825">
        <v>3</v>
      </c>
      <c r="K42" s="2944" t="s">
        <v>2412</v>
      </c>
      <c r="L42" s="2945"/>
      <c r="M42" s="2946"/>
      <c r="N42" s="2947" t="s">
        <v>2413</v>
      </c>
      <c r="O42" s="2947" t="s">
        <v>2414</v>
      </c>
      <c r="P42" s="2948" t="s">
        <v>2415</v>
      </c>
      <c r="Q42" s="2948" t="s">
        <v>2416</v>
      </c>
      <c r="R42" s="2851" t="s">
        <v>2341</v>
      </c>
      <c r="S42" s="2949"/>
      <c r="T42" s="2949"/>
      <c r="U42" s="2834"/>
      <c r="V42" s="2842"/>
    </row>
    <row r="43" spans="1:23" ht="13.15" customHeight="1">
      <c r="A43" s="2846"/>
      <c r="B43" s="2846"/>
      <c r="C43" s="2846"/>
      <c r="D43" s="2846"/>
      <c r="E43" s="2846"/>
      <c r="F43" s="2846"/>
      <c r="I43" s="2829"/>
      <c r="J43" s="382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2419</v>
      </c>
      <c r="L44" s="2997" t="s">
        <v>2420</v>
      </c>
      <c r="M44" s="2960"/>
      <c r="N44" s="2997" t="s">
        <v>2421</v>
      </c>
      <c r="O44" s="2960"/>
      <c r="P44" s="2997" t="s">
        <v>2422</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3313.6</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41" t="s">
        <v>1667</v>
      </c>
      <c r="D4" s="3742"/>
      <c r="E4" s="3743" t="s">
        <v>1668</v>
      </c>
      <c r="F4" s="3744"/>
      <c r="G4" s="3741" t="s">
        <v>1669</v>
      </c>
      <c r="H4" s="3742"/>
      <c r="I4" s="3741" t="s">
        <v>1670</v>
      </c>
      <c r="J4" s="3742"/>
      <c r="K4" s="1887" t="s">
        <v>1671</v>
      </c>
      <c r="L4" s="2709"/>
      <c r="M4" s="2710"/>
      <c r="N4" s="2710"/>
      <c r="O4" s="2710"/>
      <c r="P4" s="3775" t="s">
        <v>1672</v>
      </c>
      <c r="Q4" s="3776"/>
      <c r="R4" s="3772" t="s">
        <v>1668</v>
      </c>
      <c r="S4" s="3773"/>
      <c r="T4" s="3772" t="s">
        <v>1669</v>
      </c>
      <c r="U4" s="3773"/>
      <c r="V4" s="3754" t="s">
        <v>1670</v>
      </c>
      <c r="W4" s="3754"/>
      <c r="X4" s="1353"/>
      <c r="Y4" s="3772" t="s">
        <v>1672</v>
      </c>
      <c r="Z4" s="3773"/>
      <c r="AA4" s="3771" t="s">
        <v>1668</v>
      </c>
      <c r="AB4" s="3771" t="s">
        <v>1669</v>
      </c>
      <c r="AC4" s="3771" t="s">
        <v>1670</v>
      </c>
    </row>
    <row r="5" spans="1:29" ht="15">
      <c r="A5" s="357"/>
      <c r="B5" s="358"/>
      <c r="C5" s="3828" t="s">
        <v>1673</v>
      </c>
      <c r="D5" s="3731"/>
      <c r="E5" s="3827" t="s">
        <v>1674</v>
      </c>
      <c r="F5" s="3729"/>
      <c r="G5" s="3828" t="s">
        <v>1675</v>
      </c>
      <c r="H5" s="3731"/>
      <c r="I5" s="3828" t="s">
        <v>1676</v>
      </c>
      <c r="J5" s="3731"/>
      <c r="K5" s="1888"/>
      <c r="L5" s="2709"/>
      <c r="M5" s="2710"/>
      <c r="N5" s="2710"/>
      <c r="O5" s="2710"/>
      <c r="P5" s="3777"/>
      <c r="Q5" s="3748"/>
      <c r="R5" s="3726"/>
      <c r="S5" s="3727"/>
      <c r="T5" s="3726"/>
      <c r="U5" s="3727"/>
      <c r="V5" s="3754"/>
      <c r="W5" s="3754"/>
      <c r="X5" s="1353"/>
      <c r="Y5" s="3726"/>
      <c r="Z5" s="3727"/>
      <c r="AA5" s="3720"/>
      <c r="AB5" s="3720"/>
      <c r="AC5" s="3720"/>
    </row>
    <row r="6" spans="1:29" ht="15.75" thickBot="1">
      <c r="A6" s="359"/>
      <c r="B6" s="360"/>
      <c r="C6" s="3736" t="s">
        <v>1677</v>
      </c>
      <c r="D6" s="3733"/>
      <c r="E6" s="3774" t="s">
        <v>1677</v>
      </c>
      <c r="F6" s="3735"/>
      <c r="G6" s="3736" t="s">
        <v>1677</v>
      </c>
      <c r="H6" s="3733"/>
      <c r="I6" s="3736" t="s">
        <v>1677</v>
      </c>
      <c r="J6" s="3733"/>
      <c r="K6" s="1888" t="s">
        <v>1678</v>
      </c>
      <c r="L6" s="2709"/>
      <c r="M6" s="2710"/>
      <c r="N6" s="2710"/>
      <c r="O6" s="2710"/>
      <c r="P6" s="3778"/>
      <c r="Q6" s="3750"/>
      <c r="R6" s="3726"/>
      <c r="S6" s="3727"/>
      <c r="T6" s="3751"/>
      <c r="U6" s="3752"/>
      <c r="V6" s="3754"/>
      <c r="W6" s="3754"/>
      <c r="X6" s="1353"/>
      <c r="Y6" s="3751"/>
      <c r="Z6" s="3752"/>
      <c r="AA6" s="3721"/>
      <c r="AB6" s="3721"/>
      <c r="AC6" s="3721"/>
    </row>
    <row r="7" spans="1:29" s="107" customFormat="1" ht="15.75" thickBot="1">
      <c r="A7" s="361" t="s">
        <v>1679</v>
      </c>
      <c r="B7" s="362"/>
      <c r="C7" s="363">
        <f>'数据-取费表'!B2</f>
        <v>45896</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22" t="s">
        <v>1680</v>
      </c>
      <c r="Q7" s="3756"/>
      <c r="R7" s="699" t="s">
        <v>20</v>
      </c>
      <c r="S7" s="700">
        <f t="shared" ref="S7:S15" si="0">F7</f>
        <v>0</v>
      </c>
      <c r="T7" s="699" t="s">
        <v>20</v>
      </c>
      <c r="U7" s="700">
        <f t="shared" ref="U7:U15" si="1">H7</f>
        <v>0</v>
      </c>
      <c r="V7" s="699" t="s">
        <v>20</v>
      </c>
      <c r="W7" s="700">
        <f t="shared" ref="W7:W15" si="2">J7</f>
        <v>0</v>
      </c>
      <c r="X7" s="701"/>
      <c r="Y7" s="3722" t="s">
        <v>1680</v>
      </c>
      <c r="Z7" s="3723"/>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22" t="s">
        <v>1683</v>
      </c>
      <c r="Q8" s="3723"/>
      <c r="R8" s="699" t="s">
        <v>20</v>
      </c>
      <c r="S8" s="700">
        <f t="shared" si="0"/>
        <v>100</v>
      </c>
      <c r="T8" s="699" t="s">
        <v>20</v>
      </c>
      <c r="U8" s="700">
        <f t="shared" si="1"/>
        <v>100</v>
      </c>
      <c r="V8" s="699" t="s">
        <v>20</v>
      </c>
      <c r="W8" s="700">
        <f t="shared" si="2"/>
        <v>100</v>
      </c>
      <c r="X8" s="701"/>
      <c r="Y8" s="3722" t="s">
        <v>1683</v>
      </c>
      <c r="Z8" s="3723"/>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37" t="s">
        <v>1686</v>
      </c>
      <c r="Q9" s="1341" t="str">
        <f t="shared" ref="Q9:Q15" si="6">B9</f>
        <v>用途</v>
      </c>
      <c r="R9" s="699" t="s">
        <v>14</v>
      </c>
      <c r="S9" s="700">
        <f t="shared" si="0"/>
        <v>100</v>
      </c>
      <c r="T9" s="699" t="s">
        <v>14</v>
      </c>
      <c r="U9" s="700">
        <f t="shared" si="1"/>
        <v>100</v>
      </c>
      <c r="V9" s="699" t="s">
        <v>14</v>
      </c>
      <c r="W9" s="700">
        <f t="shared" si="2"/>
        <v>100</v>
      </c>
      <c r="X9" s="701"/>
      <c r="Y9" s="368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37"/>
      <c r="Q10" s="1341" t="str">
        <f t="shared" si="6"/>
        <v>土地使用年限（年）</v>
      </c>
      <c r="R10" s="699" t="s">
        <v>14</v>
      </c>
      <c r="S10" s="700">
        <f t="shared" si="0"/>
        <v>100</v>
      </c>
      <c r="T10" s="699" t="s">
        <v>14</v>
      </c>
      <c r="U10" s="700">
        <f t="shared" si="1"/>
        <v>100</v>
      </c>
      <c r="V10" s="699" t="s">
        <v>14</v>
      </c>
      <c r="W10" s="700">
        <f t="shared" si="2"/>
        <v>100</v>
      </c>
      <c r="X10" s="701"/>
      <c r="Y10" s="3688"/>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37"/>
      <c r="Q11" s="1341" t="str">
        <f t="shared" si="6"/>
        <v>容积率</v>
      </c>
      <c r="R11" s="699" t="s">
        <v>18</v>
      </c>
      <c r="S11" s="700" t="e">
        <f t="shared" si="0"/>
        <v>#N/A</v>
      </c>
      <c r="T11" s="699" t="s">
        <v>18</v>
      </c>
      <c r="U11" s="700" t="e">
        <f t="shared" si="1"/>
        <v>#N/A</v>
      </c>
      <c r="V11" s="699" t="s">
        <v>18</v>
      </c>
      <c r="W11" s="700" t="e">
        <f t="shared" si="2"/>
        <v>#N/A</v>
      </c>
      <c r="X11" s="701"/>
      <c r="Y11" s="3688"/>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37"/>
      <c r="Q12" s="1341">
        <f t="shared" si="6"/>
        <v>111</v>
      </c>
      <c r="R12" s="699" t="s">
        <v>18</v>
      </c>
      <c r="S12" s="700">
        <f t="shared" si="0"/>
        <v>100</v>
      </c>
      <c r="T12" s="699" t="s">
        <v>18</v>
      </c>
      <c r="U12" s="700">
        <f t="shared" si="1"/>
        <v>100</v>
      </c>
      <c r="V12" s="699" t="s">
        <v>18</v>
      </c>
      <c r="W12" s="700">
        <f t="shared" si="2"/>
        <v>100</v>
      </c>
      <c r="X12" s="701"/>
      <c r="Y12" s="3688"/>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37"/>
      <c r="Q13" s="1341">
        <f t="shared" si="6"/>
        <v>111</v>
      </c>
      <c r="R13" s="699" t="s">
        <v>18</v>
      </c>
      <c r="S13" s="700">
        <f t="shared" si="0"/>
        <v>100</v>
      </c>
      <c r="T13" s="699" t="s">
        <v>18</v>
      </c>
      <c r="U13" s="700">
        <f t="shared" si="1"/>
        <v>100</v>
      </c>
      <c r="V13" s="699" t="s">
        <v>18</v>
      </c>
      <c r="W13" s="700">
        <f t="shared" si="2"/>
        <v>100</v>
      </c>
      <c r="X13" s="701"/>
      <c r="Y13" s="3688"/>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37"/>
      <c r="Q14" s="1341">
        <f t="shared" si="6"/>
        <v>111</v>
      </c>
      <c r="R14" s="699" t="s">
        <v>18</v>
      </c>
      <c r="S14" s="700">
        <f t="shared" si="0"/>
        <v>100</v>
      </c>
      <c r="T14" s="699" t="s">
        <v>18</v>
      </c>
      <c r="U14" s="700">
        <f t="shared" si="1"/>
        <v>100</v>
      </c>
      <c r="V14" s="699" t="s">
        <v>18</v>
      </c>
      <c r="W14" s="700">
        <f t="shared" si="2"/>
        <v>100</v>
      </c>
      <c r="X14" s="701"/>
      <c r="Y14" s="3688"/>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57" t="s">
        <v>1691</v>
      </c>
      <c r="Q15" s="1350" t="str">
        <f t="shared" si="6"/>
        <v>居住社区成熟度</v>
      </c>
      <c r="R15" s="703" t="s">
        <v>18</v>
      </c>
      <c r="S15" s="704">
        <f t="shared" si="0"/>
        <v>100</v>
      </c>
      <c r="T15" s="703" t="s">
        <v>18</v>
      </c>
      <c r="U15" s="704">
        <f t="shared" si="1"/>
        <v>100</v>
      </c>
      <c r="V15" s="703" t="s">
        <v>18</v>
      </c>
      <c r="W15" s="704">
        <f t="shared" si="2"/>
        <v>100</v>
      </c>
      <c r="X15" s="1353"/>
      <c r="Y15" s="3759"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58"/>
      <c r="Q16" s="1350"/>
      <c r="R16" s="703"/>
      <c r="S16" s="704"/>
      <c r="T16" s="703"/>
      <c r="U16" s="704"/>
      <c r="V16" s="703"/>
      <c r="W16" s="704"/>
      <c r="X16" s="1353"/>
      <c r="Y16" s="3760"/>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58"/>
      <c r="Q17" s="1350" t="str">
        <f>B17</f>
        <v>交通便捷度</v>
      </c>
      <c r="R17" s="703" t="s">
        <v>18</v>
      </c>
      <c r="S17" s="704">
        <f>F17</f>
        <v>100</v>
      </c>
      <c r="T17" s="703" t="s">
        <v>18</v>
      </c>
      <c r="U17" s="704">
        <f>H17</f>
        <v>100</v>
      </c>
      <c r="V17" s="703" t="s">
        <v>18</v>
      </c>
      <c r="W17" s="704">
        <f>J17</f>
        <v>100</v>
      </c>
      <c r="X17" s="1353"/>
      <c r="Y17" s="3760"/>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58"/>
      <c r="Q18" s="1350"/>
      <c r="R18" s="703"/>
      <c r="S18" s="704"/>
      <c r="T18" s="703"/>
      <c r="U18" s="704"/>
      <c r="V18" s="703"/>
      <c r="W18" s="704"/>
      <c r="X18" s="1353"/>
      <c r="Y18" s="3760"/>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58"/>
      <c r="Q19" s="1350" t="str">
        <f>B19</f>
        <v>公共配套设施</v>
      </c>
      <c r="R19" s="703" t="s">
        <v>18</v>
      </c>
      <c r="S19" s="704">
        <f>F19</f>
        <v>100</v>
      </c>
      <c r="T19" s="703" t="s">
        <v>18</v>
      </c>
      <c r="U19" s="704">
        <f>H19</f>
        <v>100</v>
      </c>
      <c r="V19" s="703" t="s">
        <v>18</v>
      </c>
      <c r="W19" s="704">
        <f>J19</f>
        <v>100</v>
      </c>
      <c r="X19" s="1353"/>
      <c r="Y19" s="3760"/>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58"/>
      <c r="Q20" s="1350"/>
      <c r="R20" s="703"/>
      <c r="S20" s="704"/>
      <c r="T20" s="703"/>
      <c r="U20" s="704"/>
      <c r="V20" s="703"/>
      <c r="W20" s="704"/>
      <c r="X20" s="1353"/>
      <c r="Y20" s="3760"/>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58"/>
      <c r="Q21" s="1350" t="str">
        <f>B21</f>
        <v>基础设施水平</v>
      </c>
      <c r="R21" s="703" t="s">
        <v>14</v>
      </c>
      <c r="S21" s="704">
        <f>F21</f>
        <v>100</v>
      </c>
      <c r="T21" s="703" t="s">
        <v>14</v>
      </c>
      <c r="U21" s="704">
        <f>H21</f>
        <v>100</v>
      </c>
      <c r="V21" s="703" t="s">
        <v>14</v>
      </c>
      <c r="W21" s="704">
        <f>J21</f>
        <v>100</v>
      </c>
      <c r="X21" s="1353"/>
      <c r="Y21" s="3760"/>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58"/>
      <c r="Q22" s="1350"/>
      <c r="R22" s="703"/>
      <c r="S22" s="704"/>
      <c r="T22" s="703"/>
      <c r="U22" s="704"/>
      <c r="V22" s="703"/>
      <c r="W22" s="704"/>
      <c r="X22" s="1353"/>
      <c r="Y22" s="3760"/>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58"/>
      <c r="Q23" s="1350" t="str">
        <f>B23</f>
        <v>自然及人文环境</v>
      </c>
      <c r="R23" s="703" t="s">
        <v>18</v>
      </c>
      <c r="S23" s="704">
        <f>F23</f>
        <v>100</v>
      </c>
      <c r="T23" s="703" t="s">
        <v>18</v>
      </c>
      <c r="U23" s="704">
        <f>H23</f>
        <v>100</v>
      </c>
      <c r="V23" s="703" t="s">
        <v>18</v>
      </c>
      <c r="W23" s="704">
        <f>J23</f>
        <v>100</v>
      </c>
      <c r="X23" s="1353"/>
      <c r="Y23" s="3760"/>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58"/>
      <c r="Q24" s="1350"/>
      <c r="R24" s="703"/>
      <c r="S24" s="704"/>
      <c r="T24" s="703"/>
      <c r="U24" s="704"/>
      <c r="V24" s="703"/>
      <c r="W24" s="704"/>
      <c r="X24" s="1353"/>
      <c r="Y24" s="3760"/>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5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60"/>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58"/>
      <c r="Q26" s="1350" t="str">
        <f t="shared" si="11"/>
        <v>朝向</v>
      </c>
      <c r="R26" s="703" t="s">
        <v>18</v>
      </c>
      <c r="S26" s="704">
        <f t="shared" si="12"/>
        <v>100</v>
      </c>
      <c r="T26" s="703" t="s">
        <v>18</v>
      </c>
      <c r="U26" s="704">
        <f t="shared" si="13"/>
        <v>100</v>
      </c>
      <c r="V26" s="703" t="s">
        <v>18</v>
      </c>
      <c r="W26" s="704">
        <f t="shared" si="14"/>
        <v>100</v>
      </c>
      <c r="X26" s="1353"/>
      <c r="Y26" s="3760"/>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58"/>
      <c r="Q27" s="1341">
        <f t="shared" si="11"/>
        <v>111</v>
      </c>
      <c r="R27" s="699" t="s">
        <v>18</v>
      </c>
      <c r="S27" s="700">
        <f t="shared" si="12"/>
        <v>100</v>
      </c>
      <c r="T27" s="699" t="s">
        <v>18</v>
      </c>
      <c r="U27" s="700">
        <f t="shared" si="13"/>
        <v>100</v>
      </c>
      <c r="V27" s="699" t="s">
        <v>18</v>
      </c>
      <c r="W27" s="700">
        <f t="shared" si="14"/>
        <v>100</v>
      </c>
      <c r="X27" s="701"/>
      <c r="Y27" s="3760"/>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58"/>
      <c r="Q28" s="1350">
        <f t="shared" si="11"/>
        <v>111</v>
      </c>
      <c r="R28" s="703" t="s">
        <v>18</v>
      </c>
      <c r="S28" s="704">
        <f t="shared" si="12"/>
        <v>100</v>
      </c>
      <c r="T28" s="703" t="s">
        <v>18</v>
      </c>
      <c r="U28" s="704">
        <f t="shared" si="13"/>
        <v>100</v>
      </c>
      <c r="V28" s="703" t="s">
        <v>18</v>
      </c>
      <c r="W28" s="704">
        <f t="shared" si="14"/>
        <v>100</v>
      </c>
      <c r="X28" s="1353"/>
      <c r="Y28" s="3760"/>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58"/>
      <c r="Q29" s="1350">
        <f t="shared" si="11"/>
        <v>111</v>
      </c>
      <c r="R29" s="703" t="s">
        <v>18</v>
      </c>
      <c r="S29" s="704">
        <f t="shared" si="12"/>
        <v>100</v>
      </c>
      <c r="T29" s="703" t="s">
        <v>18</v>
      </c>
      <c r="U29" s="704">
        <f t="shared" si="13"/>
        <v>100</v>
      </c>
      <c r="V29" s="703" t="s">
        <v>18</v>
      </c>
      <c r="W29" s="704">
        <f t="shared" si="14"/>
        <v>100</v>
      </c>
      <c r="X29" s="1353"/>
      <c r="Y29" s="3760"/>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58"/>
      <c r="Q30" s="1350">
        <f t="shared" si="11"/>
        <v>111</v>
      </c>
      <c r="R30" s="703" t="s">
        <v>18</v>
      </c>
      <c r="S30" s="704">
        <f t="shared" si="12"/>
        <v>100</v>
      </c>
      <c r="T30" s="703" t="s">
        <v>18</v>
      </c>
      <c r="U30" s="704">
        <f t="shared" si="13"/>
        <v>100</v>
      </c>
      <c r="V30" s="703" t="s">
        <v>18</v>
      </c>
      <c r="W30" s="704">
        <f t="shared" si="14"/>
        <v>100</v>
      </c>
      <c r="X30" s="1353"/>
      <c r="Y30" s="3760"/>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58"/>
      <c r="Q31" s="1350">
        <f t="shared" si="11"/>
        <v>111</v>
      </c>
      <c r="R31" s="703" t="s">
        <v>18</v>
      </c>
      <c r="S31" s="704">
        <f t="shared" si="12"/>
        <v>100</v>
      </c>
      <c r="T31" s="703" t="s">
        <v>18</v>
      </c>
      <c r="U31" s="704">
        <f t="shared" si="13"/>
        <v>100</v>
      </c>
      <c r="V31" s="703" t="s">
        <v>18</v>
      </c>
      <c r="W31" s="704">
        <f t="shared" si="14"/>
        <v>100</v>
      </c>
      <c r="X31" s="1353"/>
      <c r="Y31" s="3760"/>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61" t="s">
        <v>1696</v>
      </c>
      <c r="Q32" s="1350" t="str">
        <f t="shared" si="11"/>
        <v>建筑类型</v>
      </c>
      <c r="R32" s="703" t="s">
        <v>18</v>
      </c>
      <c r="S32" s="704">
        <f t="shared" si="12"/>
        <v>100</v>
      </c>
      <c r="T32" s="703" t="s">
        <v>18</v>
      </c>
      <c r="U32" s="704">
        <f t="shared" si="13"/>
        <v>100</v>
      </c>
      <c r="V32" s="703" t="s">
        <v>18</v>
      </c>
      <c r="W32" s="704">
        <f t="shared" si="14"/>
        <v>100</v>
      </c>
      <c r="X32" s="1353"/>
      <c r="Y32" s="3764"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62"/>
      <c r="Q33" s="705" t="str">
        <f t="shared" si="11"/>
        <v>项目建筑规模</v>
      </c>
      <c r="R33" s="706" t="s">
        <v>18</v>
      </c>
      <c r="S33" s="707" t="e">
        <f t="shared" si="12"/>
        <v>#N/A</v>
      </c>
      <c r="T33" s="706" t="s">
        <v>18</v>
      </c>
      <c r="U33" s="707" t="e">
        <f t="shared" si="13"/>
        <v>#N/A</v>
      </c>
      <c r="V33" s="706" t="s">
        <v>18</v>
      </c>
      <c r="W33" s="707" t="e">
        <f t="shared" si="14"/>
        <v>#N/A</v>
      </c>
      <c r="X33" s="708"/>
      <c r="Y33" s="3764"/>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62"/>
      <c r="Q34" s="1350" t="str">
        <f t="shared" si="11"/>
        <v>建筑结构</v>
      </c>
      <c r="R34" s="703" t="s">
        <v>18</v>
      </c>
      <c r="S34" s="704">
        <f t="shared" si="12"/>
        <v>100</v>
      </c>
      <c r="T34" s="703" t="s">
        <v>18</v>
      </c>
      <c r="U34" s="704">
        <f t="shared" si="13"/>
        <v>100</v>
      </c>
      <c r="V34" s="703" t="s">
        <v>18</v>
      </c>
      <c r="W34" s="704">
        <f t="shared" si="14"/>
        <v>100</v>
      </c>
      <c r="X34" s="1353"/>
      <c r="Y34" s="3764"/>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62"/>
      <c r="Q35" s="1350" t="str">
        <f t="shared" si="11"/>
        <v>建筑品质</v>
      </c>
      <c r="R35" s="703" t="s">
        <v>18</v>
      </c>
      <c r="S35" s="704">
        <f t="shared" si="12"/>
        <v>100</v>
      </c>
      <c r="T35" s="703" t="s">
        <v>18</v>
      </c>
      <c r="U35" s="704">
        <f t="shared" si="13"/>
        <v>100</v>
      </c>
      <c r="V35" s="703" t="s">
        <v>18</v>
      </c>
      <c r="W35" s="704">
        <f t="shared" si="14"/>
        <v>100</v>
      </c>
      <c r="X35" s="1353"/>
      <c r="Y35" s="3764"/>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62"/>
      <c r="Q36" s="1350" t="str">
        <f t="shared" si="11"/>
        <v>公共部分装修</v>
      </c>
      <c r="R36" s="703" t="s">
        <v>18</v>
      </c>
      <c r="S36" s="704">
        <f t="shared" si="12"/>
        <v>100</v>
      </c>
      <c r="T36" s="703" t="s">
        <v>18</v>
      </c>
      <c r="U36" s="704">
        <f t="shared" si="13"/>
        <v>100</v>
      </c>
      <c r="V36" s="703" t="s">
        <v>18</v>
      </c>
      <c r="W36" s="704">
        <f t="shared" si="14"/>
        <v>100</v>
      </c>
      <c r="X36" s="1353"/>
      <c r="Y36" s="3764"/>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62"/>
      <c r="Q37" s="1341" t="str">
        <f t="shared" si="11"/>
        <v>成新度</v>
      </c>
      <c r="R37" s="699" t="s">
        <v>18</v>
      </c>
      <c r="S37" s="700" t="e">
        <f t="shared" si="12"/>
        <v>#N/A</v>
      </c>
      <c r="T37" s="699" t="s">
        <v>18</v>
      </c>
      <c r="U37" s="700" t="e">
        <f t="shared" si="13"/>
        <v>#N/A</v>
      </c>
      <c r="V37" s="699" t="s">
        <v>18</v>
      </c>
      <c r="W37" s="700" t="e">
        <f t="shared" si="14"/>
        <v>#N/A</v>
      </c>
      <c r="X37" s="701"/>
      <c r="Y37" s="3764"/>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62" t="s">
        <v>1696</v>
      </c>
      <c r="Q38" s="1350" t="str">
        <f t="shared" si="11"/>
        <v>物业管理</v>
      </c>
      <c r="R38" s="703" t="s">
        <v>18</v>
      </c>
      <c r="S38" s="704">
        <f t="shared" si="12"/>
        <v>100</v>
      </c>
      <c r="T38" s="703" t="s">
        <v>18</v>
      </c>
      <c r="U38" s="704">
        <f t="shared" si="13"/>
        <v>100</v>
      </c>
      <c r="V38" s="703" t="s">
        <v>18</v>
      </c>
      <c r="W38" s="704">
        <f t="shared" si="14"/>
        <v>100</v>
      </c>
      <c r="X38" s="1353"/>
      <c r="Y38" s="3764"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62"/>
      <c r="Q39" s="1350" t="str">
        <f t="shared" si="11"/>
        <v>市政基础设施</v>
      </c>
      <c r="R39" s="703" t="s">
        <v>18</v>
      </c>
      <c r="S39" s="704">
        <f t="shared" si="12"/>
        <v>100</v>
      </c>
      <c r="T39" s="703" t="s">
        <v>18</v>
      </c>
      <c r="U39" s="704">
        <f t="shared" si="13"/>
        <v>100</v>
      </c>
      <c r="V39" s="703" t="s">
        <v>18</v>
      </c>
      <c r="W39" s="704">
        <f t="shared" si="14"/>
        <v>100</v>
      </c>
      <c r="X39" s="1353"/>
      <c r="Y39" s="3764"/>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62"/>
      <c r="Q40" s="1350" t="str">
        <f t="shared" si="11"/>
        <v>房型</v>
      </c>
      <c r="R40" s="703" t="s">
        <v>18</v>
      </c>
      <c r="S40" s="704">
        <f t="shared" si="12"/>
        <v>100</v>
      </c>
      <c r="T40" s="703" t="s">
        <v>18</v>
      </c>
      <c r="U40" s="704">
        <f t="shared" si="13"/>
        <v>100</v>
      </c>
      <c r="V40" s="703" t="s">
        <v>18</v>
      </c>
      <c r="W40" s="704">
        <f t="shared" si="14"/>
        <v>100</v>
      </c>
      <c r="X40" s="1353"/>
      <c r="Y40" s="3764"/>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62"/>
      <c r="Q41" s="705" t="str">
        <f t="shared" si="11"/>
        <v>单套/主力户型建筑面积</v>
      </c>
      <c r="R41" s="706" t="s">
        <v>18</v>
      </c>
      <c r="S41" s="707">
        <f t="shared" si="12"/>
        <v>100</v>
      </c>
      <c r="T41" s="706" t="s">
        <v>18</v>
      </c>
      <c r="U41" s="707">
        <f t="shared" si="13"/>
        <v>100</v>
      </c>
      <c r="V41" s="706" t="s">
        <v>18</v>
      </c>
      <c r="W41" s="707">
        <f t="shared" si="14"/>
        <v>100</v>
      </c>
      <c r="X41" s="708"/>
      <c r="Y41" s="3764"/>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62"/>
      <c r="Q42" s="1350" t="str">
        <f t="shared" si="11"/>
        <v>内部装修</v>
      </c>
      <c r="R42" s="703" t="s">
        <v>18</v>
      </c>
      <c r="S42" s="704">
        <f t="shared" si="12"/>
        <v>100</v>
      </c>
      <c r="T42" s="703" t="s">
        <v>18</v>
      </c>
      <c r="U42" s="704">
        <f t="shared" si="13"/>
        <v>100</v>
      </c>
      <c r="V42" s="703" t="s">
        <v>18</v>
      </c>
      <c r="W42" s="704">
        <f t="shared" si="14"/>
        <v>100</v>
      </c>
      <c r="X42" s="1353"/>
      <c r="Y42" s="3764"/>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62"/>
      <c r="Q43" s="1350" t="str">
        <f t="shared" si="11"/>
        <v>内部装修维护情况</v>
      </c>
      <c r="R43" s="703" t="s">
        <v>18</v>
      </c>
      <c r="S43" s="704">
        <f t="shared" si="12"/>
        <v>100</v>
      </c>
      <c r="T43" s="703" t="s">
        <v>18</v>
      </c>
      <c r="U43" s="704">
        <f t="shared" si="13"/>
        <v>100</v>
      </c>
      <c r="V43" s="703" t="s">
        <v>18</v>
      </c>
      <c r="W43" s="704">
        <f t="shared" si="14"/>
        <v>100</v>
      </c>
      <c r="X43" s="1353"/>
      <c r="Y43" s="3764"/>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62"/>
      <c r="Q44" s="1341">
        <f t="shared" si="11"/>
        <v>111</v>
      </c>
      <c r="R44" s="699" t="s">
        <v>18</v>
      </c>
      <c r="S44" s="700">
        <f t="shared" si="12"/>
        <v>100</v>
      </c>
      <c r="T44" s="699" t="s">
        <v>18</v>
      </c>
      <c r="U44" s="700">
        <f t="shared" si="13"/>
        <v>100</v>
      </c>
      <c r="V44" s="699" t="s">
        <v>18</v>
      </c>
      <c r="W44" s="700">
        <f t="shared" si="14"/>
        <v>100</v>
      </c>
      <c r="X44" s="701"/>
      <c r="Y44" s="3764"/>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62"/>
      <c r="Q45" s="1350">
        <f t="shared" si="11"/>
        <v>111</v>
      </c>
      <c r="R45" s="703" t="s">
        <v>18</v>
      </c>
      <c r="S45" s="704">
        <f t="shared" si="12"/>
        <v>100</v>
      </c>
      <c r="T45" s="703" t="s">
        <v>18</v>
      </c>
      <c r="U45" s="704">
        <f t="shared" si="13"/>
        <v>100</v>
      </c>
      <c r="V45" s="703" t="s">
        <v>18</v>
      </c>
      <c r="W45" s="704">
        <f t="shared" si="14"/>
        <v>100</v>
      </c>
      <c r="X45" s="1353"/>
      <c r="Y45" s="3764"/>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63"/>
      <c r="Q46" s="1350">
        <f t="shared" si="11"/>
        <v>111</v>
      </c>
      <c r="R46" s="703" t="s">
        <v>17</v>
      </c>
      <c r="S46" s="704">
        <f t="shared" si="12"/>
        <v>100</v>
      </c>
      <c r="T46" s="703" t="s">
        <v>17</v>
      </c>
      <c r="U46" s="704">
        <f t="shared" si="13"/>
        <v>100</v>
      </c>
      <c r="V46" s="703" t="s">
        <v>17</v>
      </c>
      <c r="W46" s="704">
        <f t="shared" si="14"/>
        <v>100</v>
      </c>
      <c r="X46" s="1353"/>
      <c r="Y46" s="3765"/>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66" t="str">
        <f>A47</f>
        <v>成交单价（元/平方米）</v>
      </c>
      <c r="Q47" s="3766"/>
      <c r="R47" s="3767">
        <f>E47</f>
        <v>0</v>
      </c>
      <c r="S47" s="3767"/>
      <c r="T47" s="3767">
        <f>G47</f>
        <v>0</v>
      </c>
      <c r="U47" s="3767"/>
      <c r="V47" s="3767">
        <f>I47</f>
        <v>0</v>
      </c>
      <c r="W47" s="3767"/>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8"/>
      <c r="M48" s="2719"/>
      <c r="N48" s="2719"/>
      <c r="O48" s="2719"/>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79" t="str">
        <f>A49</f>
        <v>估价对象XX用房的比较价值（楼面单价，元/平方米）</v>
      </c>
      <c r="Q49" s="3780"/>
      <c r="R49" s="3781" t="e">
        <f>IF(F1="售价",ROUND(IF(D48="简单平均",AVERAGE(R48:V48),R48*F48+T48*H48+V48*J48),0),ROUND(IF(D48="简单平均",AVERAGE(R48:V48),R48*F48+T48*H48+V48*J48),1))</f>
        <v>#DIV/0!</v>
      </c>
      <c r="S49" s="3781"/>
      <c r="T49" s="3781"/>
      <c r="U49" s="3781"/>
      <c r="V49" s="3781"/>
      <c r="W49" s="378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估价对象为北京市房地产，为所有。根据《国有土地使用证》[]，估价对象（分摊）出让国有建设用地使用权面积为0平方米，建筑面积为3313.6平方米。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估价对象为北京市房地产,属开发建设的工业项目，该项目尚在开发建设中。根据《国有土地使用证》[]，估价对象（分摊）出让国有建设用地使用权面积为0平方米，规划建筑面积为3313.6平方米。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2025年8月27日（评估专业人员实地查勘之日）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3313.6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41" t="s">
        <v>1770</v>
      </c>
      <c r="D4" s="3742"/>
      <c r="E4" s="3743" t="s">
        <v>1771</v>
      </c>
      <c r="F4" s="3744"/>
      <c r="G4" s="3741" t="s">
        <v>1772</v>
      </c>
      <c r="H4" s="3742"/>
      <c r="I4" s="3741" t="s">
        <v>1773</v>
      </c>
      <c r="J4" s="3742"/>
      <c r="K4" s="558" t="s">
        <v>1774</v>
      </c>
      <c r="L4" s="911"/>
      <c r="M4" s="912"/>
      <c r="N4" s="912"/>
      <c r="O4" s="912"/>
      <c r="P4" s="3775" t="s">
        <v>1775</v>
      </c>
      <c r="Q4" s="3776"/>
      <c r="R4" s="3772" t="s">
        <v>1771</v>
      </c>
      <c r="S4" s="3773"/>
      <c r="T4" s="3772" t="s">
        <v>1772</v>
      </c>
      <c r="U4" s="3773"/>
      <c r="V4" s="3754" t="s">
        <v>1773</v>
      </c>
      <c r="W4" s="3754"/>
      <c r="X4" s="1353"/>
      <c r="Y4" s="3772" t="s">
        <v>1775</v>
      </c>
      <c r="Z4" s="3773"/>
      <c r="AA4" s="3771" t="s">
        <v>1771</v>
      </c>
      <c r="AB4" s="3720" t="s">
        <v>1772</v>
      </c>
      <c r="AC4" s="3771" t="s">
        <v>1773</v>
      </c>
    </row>
    <row r="5" spans="1:29" ht="15">
      <c r="A5" s="357"/>
      <c r="B5" s="358"/>
      <c r="C5" s="3828" t="s">
        <v>1673</v>
      </c>
      <c r="D5" s="3731"/>
      <c r="E5" s="3827" t="s">
        <v>1674</v>
      </c>
      <c r="F5" s="3729"/>
      <c r="G5" s="3828" t="s">
        <v>1675</v>
      </c>
      <c r="H5" s="3731"/>
      <c r="I5" s="3828" t="s">
        <v>1676</v>
      </c>
      <c r="J5" s="3731"/>
      <c r="K5" s="558"/>
      <c r="L5" s="911"/>
      <c r="M5" s="912"/>
      <c r="N5" s="912"/>
      <c r="O5" s="912"/>
      <c r="P5" s="3777"/>
      <c r="Q5" s="3748"/>
      <c r="R5" s="3726"/>
      <c r="S5" s="3727"/>
      <c r="T5" s="3726"/>
      <c r="U5" s="3727"/>
      <c r="V5" s="3754"/>
      <c r="W5" s="3754"/>
      <c r="X5" s="1353"/>
      <c r="Y5" s="3726"/>
      <c r="Z5" s="3727"/>
      <c r="AA5" s="3720"/>
      <c r="AB5" s="3720"/>
      <c r="AC5" s="3720"/>
    </row>
    <row r="6" spans="1:29" ht="15.75" thickBot="1">
      <c r="A6" s="359"/>
      <c r="B6" s="360"/>
      <c r="C6" s="3736" t="s">
        <v>1677</v>
      </c>
      <c r="D6" s="3733"/>
      <c r="E6" s="3774" t="s">
        <v>1677</v>
      </c>
      <c r="F6" s="3735"/>
      <c r="G6" s="3736" t="s">
        <v>1677</v>
      </c>
      <c r="H6" s="3733"/>
      <c r="I6" s="3736" t="s">
        <v>1677</v>
      </c>
      <c r="J6" s="3733"/>
      <c r="K6" s="558" t="s">
        <v>1678</v>
      </c>
      <c r="L6" s="911"/>
      <c r="M6" s="912"/>
      <c r="N6" s="912"/>
      <c r="O6" s="912"/>
      <c r="P6" s="3778"/>
      <c r="Q6" s="3750"/>
      <c r="R6" s="3726"/>
      <c r="S6" s="3727"/>
      <c r="T6" s="3751"/>
      <c r="U6" s="3752"/>
      <c r="V6" s="3754"/>
      <c r="W6" s="3754"/>
      <c r="X6" s="1353"/>
      <c r="Y6" s="3751"/>
      <c r="Z6" s="3752"/>
      <c r="AA6" s="3721"/>
      <c r="AB6" s="3721"/>
      <c r="AC6" s="3721"/>
    </row>
    <row r="7" spans="1:29" s="107" customFormat="1" ht="15.75" thickBot="1">
      <c r="A7" s="361" t="s">
        <v>1679</v>
      </c>
      <c r="B7" s="362"/>
      <c r="C7" s="363">
        <f>'数据-取费表'!B2</f>
        <v>45896</v>
      </c>
      <c r="D7" s="364">
        <v>100</v>
      </c>
      <c r="E7" s="365"/>
      <c r="F7" s="366">
        <f>SUMIF(52:52,YEAR(E7)&amp;"-"&amp;MONTH(E7),53:53)</f>
        <v>0</v>
      </c>
      <c r="G7" s="365"/>
      <c r="H7" s="364">
        <f>SUMIF(52:52,YEAR(G7)&amp;"-"&amp;MONTH(G7),53:53)</f>
        <v>0</v>
      </c>
      <c r="I7" s="365"/>
      <c r="J7" s="364">
        <f>SUMIF(52:52,YEAR(I7)&amp;"-"&amp;MONTH(I7),53:53)</f>
        <v>0</v>
      </c>
      <c r="K7" s="559"/>
      <c r="L7" s="913"/>
      <c r="M7" s="914"/>
      <c r="N7" s="914"/>
      <c r="O7" s="914"/>
      <c r="P7" s="3722" t="s">
        <v>1680</v>
      </c>
      <c r="Q7" s="3756"/>
      <c r="R7" s="699" t="s">
        <v>14</v>
      </c>
      <c r="S7" s="700">
        <f t="shared" ref="S7:S15" si="0">F7</f>
        <v>0</v>
      </c>
      <c r="T7" s="699" t="s">
        <v>14</v>
      </c>
      <c r="U7" s="700">
        <f t="shared" ref="U7:U15" si="1">H7</f>
        <v>0</v>
      </c>
      <c r="V7" s="699" t="s">
        <v>14</v>
      </c>
      <c r="W7" s="700">
        <f t="shared" ref="W7:W15" si="2">J7</f>
        <v>0</v>
      </c>
      <c r="X7" s="701"/>
      <c r="Y7" s="3722" t="s">
        <v>1680</v>
      </c>
      <c r="Z7" s="3723"/>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2" t="s">
        <v>1683</v>
      </c>
      <c r="Q8" s="3723"/>
      <c r="R8" s="699" t="s">
        <v>14</v>
      </c>
      <c r="S8" s="700">
        <f t="shared" si="0"/>
        <v>100</v>
      </c>
      <c r="T8" s="699" t="s">
        <v>14</v>
      </c>
      <c r="U8" s="700">
        <f t="shared" si="1"/>
        <v>100</v>
      </c>
      <c r="V8" s="699" t="s">
        <v>14</v>
      </c>
      <c r="W8" s="700">
        <f t="shared" si="2"/>
        <v>100</v>
      </c>
      <c r="X8" s="701"/>
      <c r="Y8" s="3722" t="s">
        <v>1683</v>
      </c>
      <c r="Z8" s="3723"/>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66" t="s">
        <v>1686</v>
      </c>
      <c r="Q9" s="1341" t="str">
        <f t="shared" ref="Q9:Q15" si="6">B9</f>
        <v>用途</v>
      </c>
      <c r="R9" s="699" t="s">
        <v>14</v>
      </c>
      <c r="S9" s="700">
        <f t="shared" si="0"/>
        <v>100</v>
      </c>
      <c r="T9" s="699" t="s">
        <v>14</v>
      </c>
      <c r="U9" s="700">
        <f t="shared" si="1"/>
        <v>100</v>
      </c>
      <c r="V9" s="699" t="s">
        <v>14</v>
      </c>
      <c r="W9" s="700">
        <f t="shared" si="2"/>
        <v>100</v>
      </c>
      <c r="X9" s="701"/>
      <c r="Y9" s="368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66"/>
      <c r="Q10" s="1341" t="str">
        <f t="shared" si="6"/>
        <v>土地使用年限（年）</v>
      </c>
      <c r="R10" s="699" t="s">
        <v>14</v>
      </c>
      <c r="S10" s="700">
        <f t="shared" si="0"/>
        <v>100</v>
      </c>
      <c r="T10" s="699" t="s">
        <v>14</v>
      </c>
      <c r="U10" s="700">
        <f t="shared" si="1"/>
        <v>100</v>
      </c>
      <c r="V10" s="699" t="s">
        <v>14</v>
      </c>
      <c r="W10" s="700">
        <f t="shared" si="2"/>
        <v>100</v>
      </c>
      <c r="X10" s="701"/>
      <c r="Y10" s="3688"/>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66"/>
      <c r="Q11" s="1341" t="str">
        <f t="shared" si="6"/>
        <v>容积率</v>
      </c>
      <c r="R11" s="699" t="s">
        <v>14</v>
      </c>
      <c r="S11" s="700">
        <f t="shared" si="0"/>
        <v>100</v>
      </c>
      <c r="T11" s="699" t="s">
        <v>14</v>
      </c>
      <c r="U11" s="700">
        <f t="shared" si="1"/>
        <v>100</v>
      </c>
      <c r="V11" s="699" t="s">
        <v>14</v>
      </c>
      <c r="W11" s="700">
        <f t="shared" si="2"/>
        <v>100</v>
      </c>
      <c r="X11" s="701"/>
      <c r="Y11" s="3688"/>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66"/>
      <c r="Q12" s="1341">
        <f t="shared" si="6"/>
        <v>111</v>
      </c>
      <c r="R12" s="699" t="s">
        <v>14</v>
      </c>
      <c r="S12" s="700">
        <f t="shared" si="0"/>
        <v>100</v>
      </c>
      <c r="T12" s="699" t="s">
        <v>14</v>
      </c>
      <c r="U12" s="700">
        <f t="shared" si="1"/>
        <v>100</v>
      </c>
      <c r="V12" s="699" t="s">
        <v>14</v>
      </c>
      <c r="W12" s="700">
        <f t="shared" si="2"/>
        <v>100</v>
      </c>
      <c r="X12" s="701"/>
      <c r="Y12" s="3688"/>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66"/>
      <c r="Q13" s="1341">
        <f t="shared" si="6"/>
        <v>111</v>
      </c>
      <c r="R13" s="699" t="s">
        <v>14</v>
      </c>
      <c r="S13" s="700">
        <f t="shared" si="0"/>
        <v>100</v>
      </c>
      <c r="T13" s="699" t="s">
        <v>14</v>
      </c>
      <c r="U13" s="700">
        <f t="shared" si="1"/>
        <v>100</v>
      </c>
      <c r="V13" s="699" t="s">
        <v>14</v>
      </c>
      <c r="W13" s="700">
        <f t="shared" si="2"/>
        <v>100</v>
      </c>
      <c r="X13" s="701"/>
      <c r="Y13" s="3688"/>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66"/>
      <c r="Q14" s="1341">
        <f t="shared" si="6"/>
        <v>111</v>
      </c>
      <c r="R14" s="699" t="s">
        <v>14</v>
      </c>
      <c r="S14" s="700">
        <f t="shared" si="0"/>
        <v>100</v>
      </c>
      <c r="T14" s="699" t="s">
        <v>14</v>
      </c>
      <c r="U14" s="700">
        <f t="shared" si="1"/>
        <v>100</v>
      </c>
      <c r="V14" s="699" t="s">
        <v>14</v>
      </c>
      <c r="W14" s="700">
        <f t="shared" si="2"/>
        <v>100</v>
      </c>
      <c r="X14" s="701"/>
      <c r="Y14" s="3688"/>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59" t="s">
        <v>1691</v>
      </c>
      <c r="Q15" s="1350" t="str">
        <f t="shared" si="6"/>
        <v>产业集聚程度</v>
      </c>
      <c r="R15" s="703" t="s">
        <v>14</v>
      </c>
      <c r="S15" s="704">
        <f t="shared" si="0"/>
        <v>100</v>
      </c>
      <c r="T15" s="703" t="s">
        <v>14</v>
      </c>
      <c r="U15" s="704">
        <f t="shared" si="1"/>
        <v>100</v>
      </c>
      <c r="V15" s="703" t="s">
        <v>14</v>
      </c>
      <c r="W15" s="704">
        <f t="shared" si="2"/>
        <v>100</v>
      </c>
      <c r="X15" s="1353"/>
      <c r="Y15" s="3759"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60"/>
      <c r="Q16" s="1350"/>
      <c r="R16" s="703"/>
      <c r="S16" s="704"/>
      <c r="T16" s="703"/>
      <c r="U16" s="704"/>
      <c r="V16" s="703"/>
      <c r="W16" s="704"/>
      <c r="X16" s="1353"/>
      <c r="Y16" s="3760"/>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60"/>
      <c r="Q17" s="1350" t="str">
        <f>B17</f>
        <v>交通便捷度</v>
      </c>
      <c r="R17" s="703" t="s">
        <v>14</v>
      </c>
      <c r="S17" s="704">
        <f>F17</f>
        <v>100</v>
      </c>
      <c r="T17" s="703" t="s">
        <v>14</v>
      </c>
      <c r="U17" s="704">
        <f>H17</f>
        <v>100</v>
      </c>
      <c r="V17" s="703" t="s">
        <v>14</v>
      </c>
      <c r="W17" s="704">
        <f>J17</f>
        <v>100</v>
      </c>
      <c r="X17" s="1353"/>
      <c r="Y17" s="3760"/>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60"/>
      <c r="Q18" s="1350"/>
      <c r="R18" s="703"/>
      <c r="S18" s="704"/>
      <c r="T18" s="703"/>
      <c r="U18" s="704"/>
      <c r="V18" s="703"/>
      <c r="W18" s="704"/>
      <c r="X18" s="1353"/>
      <c r="Y18" s="3760"/>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60"/>
      <c r="Q19" s="1350" t="str">
        <f>B19</f>
        <v>公共配套设施</v>
      </c>
      <c r="R19" s="703" t="s">
        <v>14</v>
      </c>
      <c r="S19" s="704">
        <f>F19</f>
        <v>100</v>
      </c>
      <c r="T19" s="703" t="s">
        <v>14</v>
      </c>
      <c r="U19" s="704">
        <f>H19</f>
        <v>100</v>
      </c>
      <c r="V19" s="703" t="s">
        <v>14</v>
      </c>
      <c r="W19" s="704">
        <f>J19</f>
        <v>100</v>
      </c>
      <c r="X19" s="1353"/>
      <c r="Y19" s="3760"/>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60"/>
      <c r="Q20" s="1350"/>
      <c r="R20" s="703"/>
      <c r="S20" s="704"/>
      <c r="T20" s="703"/>
      <c r="U20" s="704"/>
      <c r="V20" s="703"/>
      <c r="W20" s="704"/>
      <c r="X20" s="1353"/>
      <c r="Y20" s="3760"/>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60"/>
      <c r="Q21" s="1350" t="str">
        <f>B21</f>
        <v>基础设施水平</v>
      </c>
      <c r="R21" s="703" t="s">
        <v>14</v>
      </c>
      <c r="S21" s="704">
        <f>F21</f>
        <v>100</v>
      </c>
      <c r="T21" s="703" t="s">
        <v>14</v>
      </c>
      <c r="U21" s="704">
        <f>H21</f>
        <v>100</v>
      </c>
      <c r="V21" s="703" t="s">
        <v>14</v>
      </c>
      <c r="W21" s="704">
        <f>J21</f>
        <v>100</v>
      </c>
      <c r="X21" s="1353"/>
      <c r="Y21" s="3760"/>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60"/>
      <c r="Q22" s="1350"/>
      <c r="R22" s="703"/>
      <c r="S22" s="704"/>
      <c r="T22" s="703"/>
      <c r="U22" s="704"/>
      <c r="V22" s="703"/>
      <c r="W22" s="704"/>
      <c r="X22" s="1353"/>
      <c r="Y22" s="3760"/>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60"/>
      <c r="Q23" s="1350" t="str">
        <f>B23</f>
        <v>环境质量</v>
      </c>
      <c r="R23" s="703" t="s">
        <v>14</v>
      </c>
      <c r="S23" s="704">
        <f>F23</f>
        <v>100</v>
      </c>
      <c r="T23" s="703" t="s">
        <v>14</v>
      </c>
      <c r="U23" s="704">
        <f>H23</f>
        <v>100</v>
      </c>
      <c r="V23" s="703" t="s">
        <v>14</v>
      </c>
      <c r="W23" s="704">
        <f>J23</f>
        <v>100</v>
      </c>
      <c r="X23" s="1353"/>
      <c r="Y23" s="3760"/>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60"/>
      <c r="Q24" s="1350"/>
      <c r="R24" s="703"/>
      <c r="S24" s="704"/>
      <c r="T24" s="703"/>
      <c r="U24" s="704"/>
      <c r="V24" s="703"/>
      <c r="W24" s="704"/>
      <c r="X24" s="1353"/>
      <c r="Y24" s="3760"/>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60"/>
      <c r="Q25" s="1350">
        <f>B25</f>
        <v>111</v>
      </c>
      <c r="R25" s="703" t="s">
        <v>14</v>
      </c>
      <c r="S25" s="704">
        <f>F25</f>
        <v>100</v>
      </c>
      <c r="T25" s="703" t="s">
        <v>14</v>
      </c>
      <c r="U25" s="704">
        <f>H25</f>
        <v>100</v>
      </c>
      <c r="V25" s="703" t="s">
        <v>14</v>
      </c>
      <c r="W25" s="704">
        <f>J25</f>
        <v>100</v>
      </c>
      <c r="X25" s="1353"/>
      <c r="Y25" s="3760"/>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60"/>
      <c r="Q26" s="1350">
        <f t="shared" ref="Q26:Q40" si="11">B26</f>
        <v>111</v>
      </c>
      <c r="R26" s="703" t="s">
        <v>14</v>
      </c>
      <c r="S26" s="704">
        <f>F26</f>
        <v>100</v>
      </c>
      <c r="T26" s="703" t="s">
        <v>14</v>
      </c>
      <c r="U26" s="704">
        <f>H26</f>
        <v>100</v>
      </c>
      <c r="V26" s="703" t="s">
        <v>14</v>
      </c>
      <c r="W26" s="704">
        <f>J26</f>
        <v>100</v>
      </c>
      <c r="X26" s="1353"/>
      <c r="Y26" s="3760"/>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60"/>
      <c r="Q27" s="1341">
        <f t="shared" si="11"/>
        <v>111</v>
      </c>
      <c r="R27" s="699" t="s">
        <v>14</v>
      </c>
      <c r="S27" s="700">
        <f>F27</f>
        <v>100</v>
      </c>
      <c r="T27" s="699" t="s">
        <v>14</v>
      </c>
      <c r="U27" s="700">
        <f>H27</f>
        <v>100</v>
      </c>
      <c r="V27" s="699" t="s">
        <v>14</v>
      </c>
      <c r="W27" s="700">
        <f>J27</f>
        <v>100</v>
      </c>
      <c r="X27" s="701"/>
      <c r="Y27" s="3760"/>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60"/>
      <c r="Q28" s="1350">
        <f t="shared" si="11"/>
        <v>111</v>
      </c>
      <c r="R28" s="703" t="s">
        <v>14</v>
      </c>
      <c r="S28" s="704">
        <f t="shared" ref="S28:S40" si="12">F28</f>
        <v>100</v>
      </c>
      <c r="T28" s="703" t="s">
        <v>14</v>
      </c>
      <c r="U28" s="704">
        <f t="shared" ref="U28:U40" si="13">H28</f>
        <v>100</v>
      </c>
      <c r="V28" s="703" t="s">
        <v>14</v>
      </c>
      <c r="W28" s="704">
        <f t="shared" ref="W28:W40" si="14">J28</f>
        <v>100</v>
      </c>
      <c r="X28" s="1353"/>
      <c r="Y28" s="3760"/>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9" t="s">
        <v>1696</v>
      </c>
      <c r="Q29" s="1350" t="str">
        <f t="shared" si="11"/>
        <v>建筑类型</v>
      </c>
      <c r="R29" s="703" t="s">
        <v>14</v>
      </c>
      <c r="S29" s="704">
        <f t="shared" si="12"/>
        <v>100</v>
      </c>
      <c r="T29" s="703" t="s">
        <v>14</v>
      </c>
      <c r="U29" s="704">
        <f t="shared" si="13"/>
        <v>100</v>
      </c>
      <c r="V29" s="703" t="s">
        <v>14</v>
      </c>
      <c r="W29" s="704">
        <f t="shared" si="14"/>
        <v>100</v>
      </c>
      <c r="X29" s="1353"/>
      <c r="Y29" s="3764"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64"/>
      <c r="Q30" s="705" t="str">
        <f t="shared" si="11"/>
        <v>项目建筑规模</v>
      </c>
      <c r="R30" s="706" t="s">
        <v>14</v>
      </c>
      <c r="S30" s="707" t="e">
        <f t="shared" si="12"/>
        <v>#N/A</v>
      </c>
      <c r="T30" s="706" t="s">
        <v>14</v>
      </c>
      <c r="U30" s="707" t="e">
        <f t="shared" si="13"/>
        <v>#N/A</v>
      </c>
      <c r="V30" s="706" t="s">
        <v>14</v>
      </c>
      <c r="W30" s="707" t="e">
        <f t="shared" si="14"/>
        <v>#N/A</v>
      </c>
      <c r="X30" s="708"/>
      <c r="Y30" s="3764"/>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64"/>
      <c r="Q31" s="1350" t="str">
        <f t="shared" si="11"/>
        <v>建筑结构</v>
      </c>
      <c r="R31" s="703" t="s">
        <v>14</v>
      </c>
      <c r="S31" s="704">
        <f t="shared" si="12"/>
        <v>100</v>
      </c>
      <c r="T31" s="703" t="s">
        <v>14</v>
      </c>
      <c r="U31" s="704">
        <f t="shared" si="13"/>
        <v>100</v>
      </c>
      <c r="V31" s="703" t="s">
        <v>14</v>
      </c>
      <c r="W31" s="704">
        <f t="shared" si="14"/>
        <v>100</v>
      </c>
      <c r="X31" s="1353"/>
      <c r="Y31" s="3764"/>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64"/>
      <c r="Q32" s="1350" t="str">
        <f t="shared" si="11"/>
        <v>公共部分装修</v>
      </c>
      <c r="R32" s="703" t="s">
        <v>14</v>
      </c>
      <c r="S32" s="704">
        <f t="shared" si="12"/>
        <v>100</v>
      </c>
      <c r="T32" s="703" t="s">
        <v>14</v>
      </c>
      <c r="U32" s="704">
        <f t="shared" si="13"/>
        <v>100</v>
      </c>
      <c r="V32" s="703" t="s">
        <v>14</v>
      </c>
      <c r="W32" s="704">
        <f t="shared" si="14"/>
        <v>100</v>
      </c>
      <c r="X32" s="1353"/>
      <c r="Y32" s="3764"/>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64"/>
      <c r="Q33" s="1350" t="str">
        <f t="shared" si="11"/>
        <v>成新度</v>
      </c>
      <c r="R33" s="703" t="s">
        <v>14</v>
      </c>
      <c r="S33" s="704" t="e">
        <f t="shared" si="12"/>
        <v>#N/A</v>
      </c>
      <c r="T33" s="703" t="s">
        <v>14</v>
      </c>
      <c r="U33" s="704" t="e">
        <f t="shared" si="13"/>
        <v>#N/A</v>
      </c>
      <c r="V33" s="703" t="s">
        <v>14</v>
      </c>
      <c r="W33" s="704" t="e">
        <f t="shared" si="14"/>
        <v>#N/A</v>
      </c>
      <c r="X33" s="1353"/>
      <c r="Y33" s="3764"/>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64"/>
      <c r="Q34" s="1341" t="str">
        <f t="shared" si="11"/>
        <v>物业管理</v>
      </c>
      <c r="R34" s="699" t="s">
        <v>14</v>
      </c>
      <c r="S34" s="700">
        <f t="shared" si="12"/>
        <v>100</v>
      </c>
      <c r="T34" s="699" t="s">
        <v>14</v>
      </c>
      <c r="U34" s="700">
        <f t="shared" si="13"/>
        <v>100</v>
      </c>
      <c r="V34" s="699" t="s">
        <v>14</v>
      </c>
      <c r="W34" s="700">
        <f t="shared" si="14"/>
        <v>100</v>
      </c>
      <c r="X34" s="701"/>
      <c r="Y34" s="3764"/>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64" t="s">
        <v>1696</v>
      </c>
      <c r="Q35" s="1350" t="str">
        <f t="shared" si="11"/>
        <v>市政基础设施</v>
      </c>
      <c r="R35" s="703" t="s">
        <v>14</v>
      </c>
      <c r="S35" s="704">
        <f t="shared" si="12"/>
        <v>100</v>
      </c>
      <c r="T35" s="703" t="s">
        <v>14</v>
      </c>
      <c r="U35" s="704">
        <f t="shared" si="13"/>
        <v>100</v>
      </c>
      <c r="V35" s="703" t="s">
        <v>14</v>
      </c>
      <c r="W35" s="704">
        <f t="shared" si="14"/>
        <v>100</v>
      </c>
      <c r="X35" s="1353"/>
      <c r="Y35" s="3764"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64"/>
      <c r="Q36" s="1350" t="str">
        <f t="shared" si="11"/>
        <v>内部装修</v>
      </c>
      <c r="R36" s="703" t="s">
        <v>14</v>
      </c>
      <c r="S36" s="704">
        <f t="shared" si="12"/>
        <v>100</v>
      </c>
      <c r="T36" s="703" t="s">
        <v>14</v>
      </c>
      <c r="U36" s="704">
        <f t="shared" si="13"/>
        <v>100</v>
      </c>
      <c r="V36" s="703" t="s">
        <v>14</v>
      </c>
      <c r="W36" s="704">
        <f t="shared" si="14"/>
        <v>100</v>
      </c>
      <c r="X36" s="1353"/>
      <c r="Y36" s="3764"/>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64"/>
      <c r="Q37" s="1350" t="str">
        <f t="shared" si="11"/>
        <v>内部装修状况</v>
      </c>
      <c r="R37" s="703" t="s">
        <v>14</v>
      </c>
      <c r="S37" s="704">
        <f t="shared" si="12"/>
        <v>100</v>
      </c>
      <c r="T37" s="703" t="s">
        <v>14</v>
      </c>
      <c r="U37" s="704">
        <f t="shared" si="13"/>
        <v>100</v>
      </c>
      <c r="V37" s="703" t="s">
        <v>14</v>
      </c>
      <c r="W37" s="704">
        <f t="shared" si="14"/>
        <v>100</v>
      </c>
      <c r="X37" s="1353"/>
      <c r="Y37" s="3764"/>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64"/>
      <c r="Q38" s="705">
        <f t="shared" si="11"/>
        <v>111</v>
      </c>
      <c r="R38" s="706" t="s">
        <v>14</v>
      </c>
      <c r="S38" s="707">
        <f t="shared" si="12"/>
        <v>100</v>
      </c>
      <c r="T38" s="706" t="s">
        <v>14</v>
      </c>
      <c r="U38" s="707">
        <f t="shared" si="13"/>
        <v>100</v>
      </c>
      <c r="V38" s="706" t="s">
        <v>14</v>
      </c>
      <c r="W38" s="707">
        <f t="shared" si="14"/>
        <v>100</v>
      </c>
      <c r="X38" s="708"/>
      <c r="Y38" s="3764"/>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64"/>
      <c r="Q39" s="1350">
        <f t="shared" si="11"/>
        <v>111</v>
      </c>
      <c r="R39" s="703" t="s">
        <v>14</v>
      </c>
      <c r="S39" s="704">
        <f t="shared" si="12"/>
        <v>100</v>
      </c>
      <c r="T39" s="703" t="s">
        <v>14</v>
      </c>
      <c r="U39" s="704">
        <f t="shared" si="13"/>
        <v>100</v>
      </c>
      <c r="V39" s="703" t="s">
        <v>14</v>
      </c>
      <c r="W39" s="704">
        <f t="shared" si="14"/>
        <v>100</v>
      </c>
      <c r="X39" s="1353"/>
      <c r="Y39" s="3764"/>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65"/>
      <c r="Q40" s="1350">
        <f t="shared" si="11"/>
        <v>111</v>
      </c>
      <c r="R40" s="703" t="s">
        <v>14</v>
      </c>
      <c r="S40" s="704">
        <f t="shared" si="12"/>
        <v>100</v>
      </c>
      <c r="T40" s="703" t="s">
        <v>14</v>
      </c>
      <c r="U40" s="704">
        <f t="shared" si="13"/>
        <v>100</v>
      </c>
      <c r="V40" s="703" t="s">
        <v>14</v>
      </c>
      <c r="W40" s="704">
        <f t="shared" si="14"/>
        <v>100</v>
      </c>
      <c r="X40" s="1353"/>
      <c r="Y40" s="3765"/>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66" t="str">
        <f>A41</f>
        <v>成交单价（元/平方米）</v>
      </c>
      <c r="Q41" s="3766"/>
      <c r="R41" s="3767">
        <f>E41</f>
        <v>0</v>
      </c>
      <c r="S41" s="3767"/>
      <c r="T41" s="3767">
        <f>G41</f>
        <v>0</v>
      </c>
      <c r="U41" s="3767"/>
      <c r="V41" s="3767">
        <f>I41</f>
        <v>0</v>
      </c>
      <c r="W41" s="3767"/>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66" t="str">
        <f>A42</f>
        <v>比较价值（元/平方米）</v>
      </c>
      <c r="Q42" s="3766"/>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9" t="str">
        <f>A43</f>
        <v>估价对象XX用房的比较价值（楼面单价，元/平方米）</v>
      </c>
      <c r="Q43" s="3780"/>
      <c r="R43" s="3781" t="e">
        <f>IF(F1="售价",ROUND(IF(D42="简单平均",AVERAGE(R42:V42),R42*F42+T42*H42+V42*J42),0),ROUND(IF(D42="简单平均",AVERAGE(R42:V42),R42*F42+T42*H42+V42*J42),1))</f>
        <v>#DIV/0!</v>
      </c>
      <c r="S43" s="3781"/>
      <c r="T43" s="3781"/>
      <c r="U43" s="3781"/>
      <c r="V43" s="3781"/>
      <c r="W43" s="3781"/>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3331</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41" t="s">
        <v>1770</v>
      </c>
      <c r="D4" s="3742"/>
      <c r="E4" s="3743" t="s">
        <v>1771</v>
      </c>
      <c r="F4" s="3744"/>
      <c r="G4" s="3741" t="s">
        <v>1772</v>
      </c>
      <c r="H4" s="3742"/>
      <c r="I4" s="3741" t="s">
        <v>1773</v>
      </c>
      <c r="J4" s="3742"/>
      <c r="K4" s="558" t="s">
        <v>1774</v>
      </c>
      <c r="L4" s="2709"/>
      <c r="M4" s="2710"/>
      <c r="N4" s="2710"/>
      <c r="O4" s="2710"/>
      <c r="P4" s="3775" t="s">
        <v>1775</v>
      </c>
      <c r="Q4" s="3776"/>
      <c r="R4" s="3772" t="s">
        <v>1771</v>
      </c>
      <c r="S4" s="3773"/>
      <c r="T4" s="3772" t="s">
        <v>1772</v>
      </c>
      <c r="U4" s="3773"/>
      <c r="V4" s="3754" t="s">
        <v>1773</v>
      </c>
      <c r="W4" s="3754"/>
      <c r="X4" s="1353"/>
      <c r="Y4" s="3772" t="s">
        <v>1775</v>
      </c>
      <c r="Z4" s="3773"/>
      <c r="AA4" s="3771" t="s">
        <v>1771</v>
      </c>
      <c r="AB4" s="3720" t="s">
        <v>1772</v>
      </c>
      <c r="AC4" s="3771" t="s">
        <v>1773</v>
      </c>
    </row>
    <row r="5" spans="1:29" ht="15">
      <c r="A5" s="357"/>
      <c r="B5" s="358"/>
      <c r="C5" s="3828" t="s">
        <v>1673</v>
      </c>
      <c r="D5" s="3731"/>
      <c r="E5" s="3827" t="s">
        <v>1674</v>
      </c>
      <c r="F5" s="3729"/>
      <c r="G5" s="3828" t="s">
        <v>1675</v>
      </c>
      <c r="H5" s="3731"/>
      <c r="I5" s="3828" t="s">
        <v>1676</v>
      </c>
      <c r="J5" s="3731"/>
      <c r="K5" s="558"/>
      <c r="L5" s="2709"/>
      <c r="M5" s="2710"/>
      <c r="N5" s="2710"/>
      <c r="O5" s="2710"/>
      <c r="P5" s="3777"/>
      <c r="Q5" s="3748"/>
      <c r="R5" s="3726"/>
      <c r="S5" s="3727"/>
      <c r="T5" s="3726"/>
      <c r="U5" s="3727"/>
      <c r="V5" s="3754"/>
      <c r="W5" s="3754"/>
      <c r="X5" s="1353"/>
      <c r="Y5" s="3726"/>
      <c r="Z5" s="3727"/>
      <c r="AA5" s="3720"/>
      <c r="AB5" s="3720"/>
      <c r="AC5" s="3720"/>
    </row>
    <row r="6" spans="1:29" ht="15.75" thickBot="1">
      <c r="A6" s="359"/>
      <c r="B6" s="360"/>
      <c r="C6" s="3736" t="s">
        <v>1677</v>
      </c>
      <c r="D6" s="3733"/>
      <c r="E6" s="3774" t="s">
        <v>1677</v>
      </c>
      <c r="F6" s="3735"/>
      <c r="G6" s="3736" t="s">
        <v>1677</v>
      </c>
      <c r="H6" s="3733"/>
      <c r="I6" s="3736" t="s">
        <v>1677</v>
      </c>
      <c r="J6" s="3733"/>
      <c r="K6" s="558" t="s">
        <v>1678</v>
      </c>
      <c r="L6" s="2709"/>
      <c r="M6" s="2710"/>
      <c r="N6" s="2710"/>
      <c r="O6" s="2710"/>
      <c r="P6" s="3778"/>
      <c r="Q6" s="3750"/>
      <c r="R6" s="3726"/>
      <c r="S6" s="3727"/>
      <c r="T6" s="3751"/>
      <c r="U6" s="3752"/>
      <c r="V6" s="3754"/>
      <c r="W6" s="3754"/>
      <c r="X6" s="1353"/>
      <c r="Y6" s="3751"/>
      <c r="Z6" s="3752"/>
      <c r="AA6" s="3721"/>
      <c r="AB6" s="3721"/>
      <c r="AC6" s="3721"/>
    </row>
    <row r="7" spans="1:29" s="107" customFormat="1" ht="15.75" thickBot="1">
      <c r="A7" s="361" t="s">
        <v>1679</v>
      </c>
      <c r="B7" s="362"/>
      <c r="C7" s="363">
        <f>'数据-取费表'!B2</f>
        <v>45896</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22" t="s">
        <v>1680</v>
      </c>
      <c r="Q7" s="3756"/>
      <c r="R7" s="699" t="s">
        <v>14</v>
      </c>
      <c r="S7" s="700">
        <f t="shared" ref="S7:S14" si="0">F7</f>
        <v>0</v>
      </c>
      <c r="T7" s="699" t="s">
        <v>14</v>
      </c>
      <c r="U7" s="700">
        <f t="shared" ref="U7:U14" si="1">H7</f>
        <v>0</v>
      </c>
      <c r="V7" s="699" t="s">
        <v>14</v>
      </c>
      <c r="W7" s="700">
        <f t="shared" ref="W7:W14" si="2">J7</f>
        <v>0</v>
      </c>
      <c r="X7" s="701"/>
      <c r="Y7" s="3722" t="s">
        <v>1680</v>
      </c>
      <c r="Z7" s="3723"/>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22" t="s">
        <v>1683</v>
      </c>
      <c r="Q8" s="3723"/>
      <c r="R8" s="699" t="s">
        <v>14</v>
      </c>
      <c r="S8" s="700">
        <f t="shared" si="0"/>
        <v>100</v>
      </c>
      <c r="T8" s="699" t="s">
        <v>14</v>
      </c>
      <c r="U8" s="700">
        <f t="shared" si="1"/>
        <v>100</v>
      </c>
      <c r="V8" s="699" t="s">
        <v>14</v>
      </c>
      <c r="W8" s="700">
        <f t="shared" si="2"/>
        <v>100</v>
      </c>
      <c r="X8" s="701"/>
      <c r="Y8" s="3722" t="s">
        <v>1683</v>
      </c>
      <c r="Z8" s="3723"/>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66" t="s">
        <v>1686</v>
      </c>
      <c r="Q9" s="1341" t="str">
        <f t="shared" ref="Q9:Q14" si="6">B9</f>
        <v>用途</v>
      </c>
      <c r="R9" s="699" t="s">
        <v>14</v>
      </c>
      <c r="S9" s="700">
        <f t="shared" si="0"/>
        <v>100</v>
      </c>
      <c r="T9" s="699" t="s">
        <v>14</v>
      </c>
      <c r="U9" s="700">
        <f t="shared" si="1"/>
        <v>100</v>
      </c>
      <c r="V9" s="699" t="s">
        <v>14</v>
      </c>
      <c r="W9" s="700">
        <f t="shared" si="2"/>
        <v>100</v>
      </c>
      <c r="X9" s="701"/>
      <c r="Y9" s="3688"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66"/>
      <c r="Q10" s="1341" t="str">
        <f t="shared" si="6"/>
        <v>土地使用年限（年）</v>
      </c>
      <c r="R10" s="699" t="s">
        <v>14</v>
      </c>
      <c r="S10" s="700">
        <f t="shared" si="0"/>
        <v>100</v>
      </c>
      <c r="T10" s="699" t="s">
        <v>14</v>
      </c>
      <c r="U10" s="700">
        <f t="shared" si="1"/>
        <v>100</v>
      </c>
      <c r="V10" s="699" t="s">
        <v>14</v>
      </c>
      <c r="W10" s="700">
        <f t="shared" si="2"/>
        <v>100</v>
      </c>
      <c r="X10" s="701"/>
      <c r="Y10" s="3688"/>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66"/>
      <c r="Q11" s="1341">
        <f t="shared" si="6"/>
        <v>111</v>
      </c>
      <c r="R11" s="699" t="s">
        <v>14</v>
      </c>
      <c r="S11" s="700">
        <f t="shared" si="0"/>
        <v>100</v>
      </c>
      <c r="T11" s="699" t="s">
        <v>14</v>
      </c>
      <c r="U11" s="700">
        <f t="shared" si="1"/>
        <v>100</v>
      </c>
      <c r="V11" s="699" t="s">
        <v>14</v>
      </c>
      <c r="W11" s="700">
        <f t="shared" si="2"/>
        <v>100</v>
      </c>
      <c r="X11" s="701"/>
      <c r="Y11" s="3688"/>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66"/>
      <c r="Q12" s="1341">
        <f t="shared" si="6"/>
        <v>111</v>
      </c>
      <c r="R12" s="699" t="s">
        <v>14</v>
      </c>
      <c r="S12" s="700">
        <f t="shared" si="0"/>
        <v>100</v>
      </c>
      <c r="T12" s="699" t="s">
        <v>14</v>
      </c>
      <c r="U12" s="700">
        <f t="shared" si="1"/>
        <v>100</v>
      </c>
      <c r="V12" s="699" t="s">
        <v>14</v>
      </c>
      <c r="W12" s="700">
        <f t="shared" si="2"/>
        <v>100</v>
      </c>
      <c r="X12" s="701"/>
      <c r="Y12" s="3688"/>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66"/>
      <c r="Q13" s="1341">
        <f t="shared" si="6"/>
        <v>111</v>
      </c>
      <c r="R13" s="699" t="s">
        <v>14</v>
      </c>
      <c r="S13" s="700">
        <f t="shared" si="0"/>
        <v>100</v>
      </c>
      <c r="T13" s="699" t="s">
        <v>14</v>
      </c>
      <c r="U13" s="700">
        <f t="shared" si="1"/>
        <v>100</v>
      </c>
      <c r="V13" s="699" t="s">
        <v>14</v>
      </c>
      <c r="W13" s="700">
        <f t="shared" si="2"/>
        <v>100</v>
      </c>
      <c r="X13" s="701"/>
      <c r="Y13" s="3688"/>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59" t="s">
        <v>1691</v>
      </c>
      <c r="Q14" s="1350" t="str">
        <f t="shared" si="6"/>
        <v>交通便捷度</v>
      </c>
      <c r="R14" s="703" t="s">
        <v>14</v>
      </c>
      <c r="S14" s="704">
        <f t="shared" si="0"/>
        <v>100</v>
      </c>
      <c r="T14" s="703" t="s">
        <v>14</v>
      </c>
      <c r="U14" s="704">
        <f t="shared" si="1"/>
        <v>100</v>
      </c>
      <c r="V14" s="703" t="s">
        <v>14</v>
      </c>
      <c r="W14" s="704">
        <f t="shared" si="2"/>
        <v>100</v>
      </c>
      <c r="X14" s="1353"/>
      <c r="Y14" s="3759"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60"/>
      <c r="Q15" s="1350"/>
      <c r="R15" s="703"/>
      <c r="S15" s="704"/>
      <c r="T15" s="703"/>
      <c r="U15" s="704"/>
      <c r="V15" s="703"/>
      <c r="W15" s="704"/>
      <c r="X15" s="1353"/>
      <c r="Y15" s="3760"/>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60"/>
      <c r="Q16" s="1350" t="str">
        <f>B16</f>
        <v>公共配套设施</v>
      </c>
      <c r="R16" s="703" t="s">
        <v>14</v>
      </c>
      <c r="S16" s="704">
        <f>F16</f>
        <v>100</v>
      </c>
      <c r="T16" s="703" t="s">
        <v>14</v>
      </c>
      <c r="U16" s="704">
        <f>H16</f>
        <v>100</v>
      </c>
      <c r="V16" s="703" t="s">
        <v>14</v>
      </c>
      <c r="W16" s="704">
        <f>J16</f>
        <v>100</v>
      </c>
      <c r="X16" s="1353"/>
      <c r="Y16" s="3760"/>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60"/>
      <c r="Q17" s="1350"/>
      <c r="R17" s="703"/>
      <c r="S17" s="704"/>
      <c r="T17" s="703"/>
      <c r="U17" s="704"/>
      <c r="V17" s="703"/>
      <c r="W17" s="704"/>
      <c r="X17" s="1353"/>
      <c r="Y17" s="3760"/>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60"/>
      <c r="Q18" s="1350" t="str">
        <f>B18</f>
        <v>基础设施水平</v>
      </c>
      <c r="R18" s="703" t="s">
        <v>14</v>
      </c>
      <c r="S18" s="704">
        <f>F18</f>
        <v>100</v>
      </c>
      <c r="T18" s="703" t="s">
        <v>14</v>
      </c>
      <c r="U18" s="704">
        <f>H18</f>
        <v>100</v>
      </c>
      <c r="V18" s="703" t="s">
        <v>14</v>
      </c>
      <c r="W18" s="704">
        <f>J18</f>
        <v>100</v>
      </c>
      <c r="X18" s="1353"/>
      <c r="Y18" s="3760"/>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60"/>
      <c r="Q19" s="1350"/>
      <c r="R19" s="703"/>
      <c r="S19" s="704"/>
      <c r="T19" s="703"/>
      <c r="U19" s="704"/>
      <c r="V19" s="703"/>
      <c r="W19" s="704"/>
      <c r="X19" s="1353"/>
      <c r="Y19" s="3760"/>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60"/>
      <c r="Q20" s="1350" t="str">
        <f>B20</f>
        <v>自然及人文环境</v>
      </c>
      <c r="R20" s="703" t="s">
        <v>14</v>
      </c>
      <c r="S20" s="704">
        <f>F20</f>
        <v>100</v>
      </c>
      <c r="T20" s="703" t="s">
        <v>14</v>
      </c>
      <c r="U20" s="704">
        <f>H20</f>
        <v>100</v>
      </c>
      <c r="V20" s="703" t="s">
        <v>14</v>
      </c>
      <c r="W20" s="704">
        <f>J20</f>
        <v>100</v>
      </c>
      <c r="X20" s="1353"/>
      <c r="Y20" s="3760"/>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60"/>
      <c r="Q21" s="1350"/>
      <c r="R21" s="703"/>
      <c r="S21" s="704"/>
      <c r="T21" s="703"/>
      <c r="U21" s="704"/>
      <c r="V21" s="703"/>
      <c r="W21" s="704"/>
      <c r="X21" s="1353"/>
      <c r="Y21" s="3760"/>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60"/>
      <c r="Q22" s="1350" t="str">
        <f>B22</f>
        <v>楼层</v>
      </c>
      <c r="R22" s="703" t="s">
        <v>14</v>
      </c>
      <c r="S22" s="704">
        <f>F22</f>
        <v>100</v>
      </c>
      <c r="T22" s="703" t="s">
        <v>14</v>
      </c>
      <c r="U22" s="704">
        <f>H22</f>
        <v>100</v>
      </c>
      <c r="V22" s="703" t="s">
        <v>14</v>
      </c>
      <c r="W22" s="704">
        <f>J22</f>
        <v>100</v>
      </c>
      <c r="X22" s="1353"/>
      <c r="Y22" s="3760"/>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60"/>
      <c r="Q23" s="1350">
        <f>B23</f>
        <v>111</v>
      </c>
      <c r="R23" s="703" t="s">
        <v>14</v>
      </c>
      <c r="S23" s="704">
        <f>F23</f>
        <v>100</v>
      </c>
      <c r="T23" s="703" t="s">
        <v>14</v>
      </c>
      <c r="U23" s="704">
        <f>H23</f>
        <v>100</v>
      </c>
      <c r="V23" s="703" t="s">
        <v>14</v>
      </c>
      <c r="W23" s="704">
        <f>J23</f>
        <v>100</v>
      </c>
      <c r="X23" s="1353"/>
      <c r="Y23" s="3760"/>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60"/>
      <c r="Q24" s="1350">
        <f t="shared" ref="Q24:Q36" si="11">B24</f>
        <v>111</v>
      </c>
      <c r="R24" s="703" t="s">
        <v>14</v>
      </c>
      <c r="S24" s="704">
        <f>F24</f>
        <v>100</v>
      </c>
      <c r="T24" s="703" t="s">
        <v>14</v>
      </c>
      <c r="U24" s="704">
        <f>H24</f>
        <v>100</v>
      </c>
      <c r="V24" s="703" t="s">
        <v>14</v>
      </c>
      <c r="W24" s="704">
        <f>J24</f>
        <v>100</v>
      </c>
      <c r="X24" s="1353"/>
      <c r="Y24" s="3760"/>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60"/>
      <c r="Q25" s="1341">
        <f t="shared" si="11"/>
        <v>111</v>
      </c>
      <c r="R25" s="699" t="s">
        <v>14</v>
      </c>
      <c r="S25" s="700">
        <f>F25</f>
        <v>100</v>
      </c>
      <c r="T25" s="699" t="s">
        <v>14</v>
      </c>
      <c r="U25" s="700">
        <f>H25</f>
        <v>100</v>
      </c>
      <c r="V25" s="699" t="s">
        <v>14</v>
      </c>
      <c r="W25" s="700">
        <f>J25</f>
        <v>100</v>
      </c>
      <c r="X25" s="701"/>
      <c r="Y25" s="3760"/>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9"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64"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64"/>
      <c r="Q27" s="705" t="str">
        <f t="shared" si="11"/>
        <v>项目停车位配比</v>
      </c>
      <c r="R27" s="706" t="s">
        <v>14</v>
      </c>
      <c r="S27" s="707">
        <f t="shared" si="12"/>
        <v>100</v>
      </c>
      <c r="T27" s="706" t="s">
        <v>14</v>
      </c>
      <c r="U27" s="707">
        <f t="shared" si="13"/>
        <v>100</v>
      </c>
      <c r="V27" s="706" t="s">
        <v>14</v>
      </c>
      <c r="W27" s="707">
        <f t="shared" si="14"/>
        <v>100</v>
      </c>
      <c r="X27" s="708"/>
      <c r="Y27" s="3764"/>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64"/>
      <c r="Q28" s="1350" t="str">
        <f t="shared" si="11"/>
        <v>公共部分装修</v>
      </c>
      <c r="R28" s="703" t="s">
        <v>14</v>
      </c>
      <c r="S28" s="704">
        <f t="shared" si="12"/>
        <v>100</v>
      </c>
      <c r="T28" s="703" t="s">
        <v>14</v>
      </c>
      <c r="U28" s="704">
        <f t="shared" si="13"/>
        <v>100</v>
      </c>
      <c r="V28" s="703" t="s">
        <v>14</v>
      </c>
      <c r="W28" s="704">
        <f t="shared" si="14"/>
        <v>100</v>
      </c>
      <c r="X28" s="1353"/>
      <c r="Y28" s="3764"/>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64"/>
      <c r="Q29" s="1350" t="str">
        <f t="shared" si="11"/>
        <v>成新率</v>
      </c>
      <c r="R29" s="703" t="s">
        <v>14</v>
      </c>
      <c r="S29" s="704" t="e">
        <f t="shared" si="12"/>
        <v>#N/A</v>
      </c>
      <c r="T29" s="703" t="s">
        <v>14</v>
      </c>
      <c r="U29" s="704" t="e">
        <f t="shared" si="13"/>
        <v>#N/A</v>
      </c>
      <c r="V29" s="703" t="s">
        <v>14</v>
      </c>
      <c r="W29" s="704" t="e">
        <f t="shared" si="14"/>
        <v>#N/A</v>
      </c>
      <c r="X29" s="1353"/>
      <c r="Y29" s="3764"/>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64"/>
      <c r="Q30" s="1350" t="str">
        <f t="shared" si="11"/>
        <v>物业等级</v>
      </c>
      <c r="R30" s="703" t="s">
        <v>14</v>
      </c>
      <c r="S30" s="704">
        <f t="shared" si="12"/>
        <v>100</v>
      </c>
      <c r="T30" s="703" t="s">
        <v>14</v>
      </c>
      <c r="U30" s="704">
        <f t="shared" si="13"/>
        <v>100</v>
      </c>
      <c r="V30" s="703" t="s">
        <v>14</v>
      </c>
      <c r="W30" s="704">
        <f t="shared" si="14"/>
        <v>100</v>
      </c>
      <c r="X30" s="1353"/>
      <c r="Y30" s="3764"/>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64"/>
      <c r="Q31" s="1341" t="str">
        <f t="shared" si="11"/>
        <v>停车位面积</v>
      </c>
      <c r="R31" s="699" t="s">
        <v>14</v>
      </c>
      <c r="S31" s="700" t="e">
        <f t="shared" si="12"/>
        <v>#N/A</v>
      </c>
      <c r="T31" s="699" t="s">
        <v>14</v>
      </c>
      <c r="U31" s="700" t="e">
        <f t="shared" si="13"/>
        <v>#N/A</v>
      </c>
      <c r="V31" s="699" t="s">
        <v>14</v>
      </c>
      <c r="W31" s="700" t="e">
        <f t="shared" si="14"/>
        <v>#N/A</v>
      </c>
      <c r="X31" s="701"/>
      <c r="Y31" s="3764"/>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64" t="s">
        <v>1696</v>
      </c>
      <c r="Q32" s="1350" t="str">
        <f t="shared" si="11"/>
        <v>车位类型</v>
      </c>
      <c r="R32" s="703" t="s">
        <v>14</v>
      </c>
      <c r="S32" s="704">
        <f t="shared" si="12"/>
        <v>100</v>
      </c>
      <c r="T32" s="703" t="s">
        <v>14</v>
      </c>
      <c r="U32" s="704">
        <f t="shared" si="13"/>
        <v>100</v>
      </c>
      <c r="V32" s="703" t="s">
        <v>14</v>
      </c>
      <c r="W32" s="704">
        <f t="shared" si="14"/>
        <v>100</v>
      </c>
      <c r="X32" s="1353"/>
      <c r="Y32" s="3764"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64"/>
      <c r="Q33" s="1350" t="str">
        <f t="shared" si="11"/>
        <v>是否直接入户</v>
      </c>
      <c r="R33" s="703" t="s">
        <v>14</v>
      </c>
      <c r="S33" s="704">
        <f t="shared" si="12"/>
        <v>100</v>
      </c>
      <c r="T33" s="703" t="s">
        <v>14</v>
      </c>
      <c r="U33" s="704">
        <f t="shared" si="13"/>
        <v>100</v>
      </c>
      <c r="V33" s="703" t="s">
        <v>14</v>
      </c>
      <c r="W33" s="704">
        <f t="shared" si="14"/>
        <v>100</v>
      </c>
      <c r="X33" s="1353"/>
      <c r="Y33" s="3764"/>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64"/>
      <c r="Q34" s="1350">
        <f t="shared" si="11"/>
        <v>111</v>
      </c>
      <c r="R34" s="703" t="s">
        <v>14</v>
      </c>
      <c r="S34" s="704">
        <f t="shared" si="12"/>
        <v>100</v>
      </c>
      <c r="T34" s="703" t="s">
        <v>14</v>
      </c>
      <c r="U34" s="704">
        <f t="shared" si="13"/>
        <v>100</v>
      </c>
      <c r="V34" s="703" t="s">
        <v>14</v>
      </c>
      <c r="W34" s="704">
        <f t="shared" si="14"/>
        <v>100</v>
      </c>
      <c r="X34" s="1353"/>
      <c r="Y34" s="3764"/>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64"/>
      <c r="Q35" s="705">
        <f t="shared" si="11"/>
        <v>111</v>
      </c>
      <c r="R35" s="706" t="s">
        <v>14</v>
      </c>
      <c r="S35" s="707">
        <f t="shared" si="12"/>
        <v>100</v>
      </c>
      <c r="T35" s="706" t="s">
        <v>14</v>
      </c>
      <c r="U35" s="707">
        <f t="shared" si="13"/>
        <v>100</v>
      </c>
      <c r="V35" s="706" t="s">
        <v>14</v>
      </c>
      <c r="W35" s="707">
        <f t="shared" si="14"/>
        <v>100</v>
      </c>
      <c r="X35" s="708"/>
      <c r="Y35" s="3764"/>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64"/>
      <c r="Q36" s="1350">
        <f t="shared" si="11"/>
        <v>111</v>
      </c>
      <c r="R36" s="703" t="s">
        <v>14</v>
      </c>
      <c r="S36" s="704">
        <f t="shared" si="12"/>
        <v>100</v>
      </c>
      <c r="T36" s="703" t="s">
        <v>14</v>
      </c>
      <c r="U36" s="704">
        <f t="shared" si="13"/>
        <v>100</v>
      </c>
      <c r="V36" s="703" t="s">
        <v>14</v>
      </c>
      <c r="W36" s="704">
        <f t="shared" si="14"/>
        <v>100</v>
      </c>
      <c r="X36" s="1353"/>
      <c r="Y36" s="3764"/>
      <c r="Z36" s="1354">
        <f t="shared" si="15"/>
        <v>111</v>
      </c>
      <c r="AA36" s="1351">
        <f t="shared" si="3"/>
        <v>1</v>
      </c>
      <c r="AB36" s="1351">
        <f t="shared" si="4"/>
        <v>1</v>
      </c>
      <c r="AC36" s="1351">
        <f t="shared" si="5"/>
        <v>1</v>
      </c>
    </row>
    <row r="37" spans="1:29" ht="15">
      <c r="A37" s="429" t="s">
        <v>1844</v>
      </c>
      <c r="B37" s="1971" t="s">
        <v>3351</v>
      </c>
      <c r="C37" s="1152" t="s">
        <v>0</v>
      </c>
      <c r="D37" s="1153"/>
      <c r="E37" s="1154"/>
      <c r="F37" s="1155"/>
      <c r="G37" s="1156"/>
      <c r="H37" s="1157"/>
      <c r="I37" s="1154"/>
      <c r="J37" s="1157"/>
      <c r="K37" s="567"/>
      <c r="L37" s="2718"/>
      <c r="M37" s="2719"/>
      <c r="N37" s="2710"/>
      <c r="O37" s="2719"/>
      <c r="P37" s="3766" t="str">
        <f>A37</f>
        <v>成交单价</v>
      </c>
      <c r="Q37" s="3766"/>
      <c r="R37" s="3767">
        <f>E37</f>
        <v>0</v>
      </c>
      <c r="S37" s="3767"/>
      <c r="T37" s="3767">
        <f>G37</f>
        <v>0</v>
      </c>
      <c r="U37" s="3767"/>
      <c r="V37" s="3767">
        <f>I37</f>
        <v>0</v>
      </c>
      <c r="W37" s="3767"/>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8"/>
      <c r="M38" s="2719"/>
      <c r="N38" s="2719"/>
      <c r="O38" s="2719"/>
      <c r="P38" s="3766" t="str">
        <f>A38</f>
        <v>比较价值（元/平方米）</v>
      </c>
      <c r="Q38" s="3766"/>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79" t="str">
        <f>A39</f>
        <v>估价对象XX用房的比较价值（楼面单价，元/平方米）</v>
      </c>
      <c r="Q39" s="3780"/>
      <c r="R39" s="3830" t="e">
        <f>IF(F1="售价",ROUND(IF(D38="简单平均",AVERAGE(R38:W38),R38*F38+T38*H38+V38*J38),0),ROUND(IF(D38="简单平均",AVERAGE(R38:V38),R38*F38+T38*H38+V38*J38),1))</f>
        <v>#DIV/0!</v>
      </c>
      <c r="S39" s="3830"/>
      <c r="T39" s="3830"/>
      <c r="U39" s="3830"/>
      <c r="V39" s="3830"/>
      <c r="W39" s="3830"/>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41" t="s">
        <v>1770</v>
      </c>
      <c r="D4" s="3742"/>
      <c r="E4" s="3743" t="s">
        <v>1771</v>
      </c>
      <c r="F4" s="3744"/>
      <c r="G4" s="3741" t="s">
        <v>1772</v>
      </c>
      <c r="H4" s="3742"/>
      <c r="I4" s="3741" t="s">
        <v>1773</v>
      </c>
      <c r="J4" s="3742"/>
      <c r="K4" s="558" t="s">
        <v>1774</v>
      </c>
      <c r="L4" s="2709"/>
      <c r="M4" s="2710"/>
      <c r="N4" s="2710"/>
      <c r="O4" s="2710"/>
      <c r="P4" s="3775" t="s">
        <v>1775</v>
      </c>
      <c r="Q4" s="3776"/>
      <c r="R4" s="3772" t="s">
        <v>1771</v>
      </c>
      <c r="S4" s="3773"/>
      <c r="T4" s="3772" t="s">
        <v>1772</v>
      </c>
      <c r="U4" s="3773"/>
      <c r="V4" s="3754" t="s">
        <v>1773</v>
      </c>
      <c r="W4" s="3754"/>
      <c r="X4" s="1353"/>
      <c r="Y4" s="3772" t="s">
        <v>1775</v>
      </c>
      <c r="Z4" s="3773"/>
      <c r="AA4" s="3771" t="s">
        <v>1771</v>
      </c>
      <c r="AB4" s="3720" t="s">
        <v>1772</v>
      </c>
      <c r="AC4" s="3771" t="s">
        <v>1773</v>
      </c>
    </row>
    <row r="5" spans="1:29" ht="15">
      <c r="A5" s="357"/>
      <c r="B5" s="358"/>
      <c r="C5" s="3828" t="s">
        <v>1673</v>
      </c>
      <c r="D5" s="3731"/>
      <c r="E5" s="3827" t="s">
        <v>1674</v>
      </c>
      <c r="F5" s="3729"/>
      <c r="G5" s="3828" t="s">
        <v>1675</v>
      </c>
      <c r="H5" s="3731"/>
      <c r="I5" s="3828" t="s">
        <v>1676</v>
      </c>
      <c r="J5" s="3731"/>
      <c r="K5" s="558"/>
      <c r="L5" s="2709"/>
      <c r="M5" s="2710"/>
      <c r="N5" s="2710"/>
      <c r="O5" s="2710"/>
      <c r="P5" s="3777"/>
      <c r="Q5" s="3748"/>
      <c r="R5" s="3726"/>
      <c r="S5" s="3727"/>
      <c r="T5" s="3726"/>
      <c r="U5" s="3727"/>
      <c r="V5" s="3754"/>
      <c r="W5" s="3754"/>
      <c r="X5" s="1353"/>
      <c r="Y5" s="3726"/>
      <c r="Z5" s="3727"/>
      <c r="AA5" s="3720"/>
      <c r="AB5" s="3720"/>
      <c r="AC5" s="3720"/>
    </row>
    <row r="6" spans="1:29" ht="15.75" thickBot="1">
      <c r="A6" s="359"/>
      <c r="B6" s="360"/>
      <c r="C6" s="3736" t="s">
        <v>1677</v>
      </c>
      <c r="D6" s="3733"/>
      <c r="E6" s="3774" t="s">
        <v>1677</v>
      </c>
      <c r="F6" s="3735"/>
      <c r="G6" s="3736" t="s">
        <v>1677</v>
      </c>
      <c r="H6" s="3733"/>
      <c r="I6" s="3736" t="s">
        <v>1677</v>
      </c>
      <c r="J6" s="3733"/>
      <c r="K6" s="558" t="s">
        <v>1678</v>
      </c>
      <c r="L6" s="2709"/>
      <c r="M6" s="2710"/>
      <c r="N6" s="2710"/>
      <c r="O6" s="2710"/>
      <c r="P6" s="3778"/>
      <c r="Q6" s="3750"/>
      <c r="R6" s="3726"/>
      <c r="S6" s="3727"/>
      <c r="T6" s="3751"/>
      <c r="U6" s="3752"/>
      <c r="V6" s="3754"/>
      <c r="W6" s="3754"/>
      <c r="X6" s="1353"/>
      <c r="Y6" s="3751"/>
      <c r="Z6" s="3752"/>
      <c r="AA6" s="3721"/>
      <c r="AB6" s="3721"/>
      <c r="AC6" s="3721"/>
    </row>
    <row r="7" spans="1:29" s="107" customFormat="1" ht="15.75" thickBot="1">
      <c r="A7" s="361" t="s">
        <v>1679</v>
      </c>
      <c r="B7" s="362"/>
      <c r="C7" s="363">
        <f>'数据-取费表'!B2</f>
        <v>45896</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22" t="s">
        <v>1680</v>
      </c>
      <c r="Q7" s="3756"/>
      <c r="R7" s="699" t="s">
        <v>14</v>
      </c>
      <c r="S7" s="700">
        <f t="shared" ref="S7:S14" si="0">F7</f>
        <v>0</v>
      </c>
      <c r="T7" s="699" t="s">
        <v>14</v>
      </c>
      <c r="U7" s="700">
        <f t="shared" ref="U7:U14" si="1">H7</f>
        <v>0</v>
      </c>
      <c r="V7" s="699" t="s">
        <v>14</v>
      </c>
      <c r="W7" s="700">
        <f t="shared" ref="W7:W14" si="2">J7</f>
        <v>0</v>
      </c>
      <c r="X7" s="701"/>
      <c r="Y7" s="3722" t="s">
        <v>1680</v>
      </c>
      <c r="Z7" s="3723"/>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22" t="s">
        <v>1683</v>
      </c>
      <c r="Q8" s="3723"/>
      <c r="R8" s="699" t="s">
        <v>14</v>
      </c>
      <c r="S8" s="700">
        <f t="shared" si="0"/>
        <v>100</v>
      </c>
      <c r="T8" s="699" t="s">
        <v>14</v>
      </c>
      <c r="U8" s="700">
        <f t="shared" si="1"/>
        <v>100</v>
      </c>
      <c r="V8" s="699" t="s">
        <v>14</v>
      </c>
      <c r="W8" s="700">
        <f t="shared" si="2"/>
        <v>100</v>
      </c>
      <c r="X8" s="701"/>
      <c r="Y8" s="3722" t="s">
        <v>1683</v>
      </c>
      <c r="Z8" s="3723"/>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66" t="s">
        <v>1686</v>
      </c>
      <c r="Q9" s="1341" t="str">
        <f t="shared" ref="Q9:Q14" si="6">B9</f>
        <v>用途</v>
      </c>
      <c r="R9" s="699" t="s">
        <v>14</v>
      </c>
      <c r="S9" s="700">
        <f t="shared" si="0"/>
        <v>100</v>
      </c>
      <c r="T9" s="699" t="s">
        <v>14</v>
      </c>
      <c r="U9" s="700">
        <f t="shared" si="1"/>
        <v>100</v>
      </c>
      <c r="V9" s="699" t="s">
        <v>14</v>
      </c>
      <c r="W9" s="700">
        <f t="shared" si="2"/>
        <v>100</v>
      </c>
      <c r="X9" s="701"/>
      <c r="Y9" s="3688"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66"/>
      <c r="Q10" s="1341" t="str">
        <f t="shared" si="6"/>
        <v>土地使用年限（年）</v>
      </c>
      <c r="R10" s="699" t="s">
        <v>14</v>
      </c>
      <c r="S10" s="700">
        <f t="shared" si="0"/>
        <v>100</v>
      </c>
      <c r="T10" s="699" t="s">
        <v>14</v>
      </c>
      <c r="U10" s="700">
        <f t="shared" si="1"/>
        <v>100</v>
      </c>
      <c r="V10" s="699" t="s">
        <v>14</v>
      </c>
      <c r="W10" s="700">
        <f t="shared" si="2"/>
        <v>100</v>
      </c>
      <c r="X10" s="701"/>
      <c r="Y10" s="3688"/>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66"/>
      <c r="Q11" s="1341">
        <f t="shared" si="6"/>
        <v>111</v>
      </c>
      <c r="R11" s="699" t="s">
        <v>14</v>
      </c>
      <c r="S11" s="700">
        <f t="shared" si="0"/>
        <v>100</v>
      </c>
      <c r="T11" s="699" t="s">
        <v>14</v>
      </c>
      <c r="U11" s="700">
        <f t="shared" si="1"/>
        <v>100</v>
      </c>
      <c r="V11" s="699" t="s">
        <v>14</v>
      </c>
      <c r="W11" s="700">
        <f t="shared" si="2"/>
        <v>100</v>
      </c>
      <c r="X11" s="701"/>
      <c r="Y11" s="3688"/>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66"/>
      <c r="Q12" s="1341">
        <f t="shared" si="6"/>
        <v>111</v>
      </c>
      <c r="R12" s="699" t="s">
        <v>14</v>
      </c>
      <c r="S12" s="700">
        <f t="shared" si="0"/>
        <v>100</v>
      </c>
      <c r="T12" s="699" t="s">
        <v>14</v>
      </c>
      <c r="U12" s="700">
        <f t="shared" si="1"/>
        <v>100</v>
      </c>
      <c r="V12" s="699" t="s">
        <v>14</v>
      </c>
      <c r="W12" s="700">
        <f t="shared" si="2"/>
        <v>100</v>
      </c>
      <c r="X12" s="701"/>
      <c r="Y12" s="3688"/>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66"/>
      <c r="Q13" s="1341">
        <f t="shared" si="6"/>
        <v>111</v>
      </c>
      <c r="R13" s="699" t="s">
        <v>14</v>
      </c>
      <c r="S13" s="700">
        <f t="shared" si="0"/>
        <v>100</v>
      </c>
      <c r="T13" s="699" t="s">
        <v>14</v>
      </c>
      <c r="U13" s="700">
        <f t="shared" si="1"/>
        <v>100</v>
      </c>
      <c r="V13" s="699" t="s">
        <v>14</v>
      </c>
      <c r="W13" s="700">
        <f t="shared" si="2"/>
        <v>100</v>
      </c>
      <c r="X13" s="701"/>
      <c r="Y13" s="3688"/>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59" t="s">
        <v>1691</v>
      </c>
      <c r="Q14" s="1350" t="str">
        <f t="shared" si="6"/>
        <v>交通便捷度</v>
      </c>
      <c r="R14" s="703" t="s">
        <v>14</v>
      </c>
      <c r="S14" s="704">
        <f t="shared" si="0"/>
        <v>100</v>
      </c>
      <c r="T14" s="703" t="s">
        <v>14</v>
      </c>
      <c r="U14" s="704">
        <f t="shared" si="1"/>
        <v>100</v>
      </c>
      <c r="V14" s="703" t="s">
        <v>14</v>
      </c>
      <c r="W14" s="704">
        <f t="shared" si="2"/>
        <v>100</v>
      </c>
      <c r="X14" s="1353"/>
      <c r="Y14" s="3759"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60"/>
      <c r="Q15" s="1350"/>
      <c r="R15" s="703"/>
      <c r="S15" s="704"/>
      <c r="T15" s="703"/>
      <c r="U15" s="704"/>
      <c r="V15" s="703"/>
      <c r="W15" s="704"/>
      <c r="X15" s="1353"/>
      <c r="Y15" s="3760"/>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60"/>
      <c r="Q16" s="1350" t="str">
        <f>B16</f>
        <v>公共配套设施</v>
      </c>
      <c r="R16" s="703" t="s">
        <v>14</v>
      </c>
      <c r="S16" s="704">
        <f>F16</f>
        <v>100</v>
      </c>
      <c r="T16" s="703" t="s">
        <v>14</v>
      </c>
      <c r="U16" s="704">
        <f>H16</f>
        <v>100</v>
      </c>
      <c r="V16" s="703" t="s">
        <v>14</v>
      </c>
      <c r="W16" s="704">
        <f>J16</f>
        <v>100</v>
      </c>
      <c r="X16" s="1353"/>
      <c r="Y16" s="3760"/>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60"/>
      <c r="Q17" s="1350"/>
      <c r="R17" s="703"/>
      <c r="S17" s="704"/>
      <c r="T17" s="703"/>
      <c r="U17" s="704"/>
      <c r="V17" s="703"/>
      <c r="W17" s="704"/>
      <c r="X17" s="1353"/>
      <c r="Y17" s="3760"/>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60"/>
      <c r="Q18" s="1350" t="str">
        <f>B18</f>
        <v>基础设施水平</v>
      </c>
      <c r="R18" s="703" t="s">
        <v>14</v>
      </c>
      <c r="S18" s="704">
        <f>F18</f>
        <v>100</v>
      </c>
      <c r="T18" s="703" t="s">
        <v>14</v>
      </c>
      <c r="U18" s="704">
        <f>H18</f>
        <v>100</v>
      </c>
      <c r="V18" s="703" t="s">
        <v>14</v>
      </c>
      <c r="W18" s="704">
        <f>J18</f>
        <v>100</v>
      </c>
      <c r="X18" s="1353"/>
      <c r="Y18" s="3760"/>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60"/>
      <c r="Q19" s="1350"/>
      <c r="R19" s="703"/>
      <c r="S19" s="704"/>
      <c r="T19" s="703"/>
      <c r="U19" s="704"/>
      <c r="V19" s="703"/>
      <c r="W19" s="704"/>
      <c r="X19" s="1353"/>
      <c r="Y19" s="3760"/>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60"/>
      <c r="Q20" s="1350" t="str">
        <f>B20</f>
        <v>自然及人文环境</v>
      </c>
      <c r="R20" s="703" t="s">
        <v>14</v>
      </c>
      <c r="S20" s="704">
        <f>F20</f>
        <v>100</v>
      </c>
      <c r="T20" s="703" t="s">
        <v>14</v>
      </c>
      <c r="U20" s="704">
        <f>H20</f>
        <v>100</v>
      </c>
      <c r="V20" s="703" t="s">
        <v>14</v>
      </c>
      <c r="W20" s="704">
        <f>J20</f>
        <v>100</v>
      </c>
      <c r="X20" s="1353"/>
      <c r="Y20" s="3760"/>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60"/>
      <c r="Q21" s="1350"/>
      <c r="R21" s="703"/>
      <c r="S21" s="704"/>
      <c r="T21" s="703"/>
      <c r="U21" s="704"/>
      <c r="V21" s="703"/>
      <c r="W21" s="704"/>
      <c r="X21" s="1353"/>
      <c r="Y21" s="3760"/>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60"/>
      <c r="Q22" s="1350" t="str">
        <f>B22</f>
        <v>楼层</v>
      </c>
      <c r="R22" s="703" t="s">
        <v>14</v>
      </c>
      <c r="S22" s="704">
        <f>F22</f>
        <v>100</v>
      </c>
      <c r="T22" s="703" t="s">
        <v>14</v>
      </c>
      <c r="U22" s="704">
        <f>H22</f>
        <v>100</v>
      </c>
      <c r="V22" s="703" t="s">
        <v>14</v>
      </c>
      <c r="W22" s="704">
        <f>J22</f>
        <v>100</v>
      </c>
      <c r="X22" s="1353"/>
      <c r="Y22" s="3760"/>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60"/>
      <c r="Q23" s="1350">
        <f>B23</f>
        <v>111</v>
      </c>
      <c r="R23" s="703" t="s">
        <v>14</v>
      </c>
      <c r="S23" s="704">
        <f>F23</f>
        <v>100</v>
      </c>
      <c r="T23" s="703" t="s">
        <v>14</v>
      </c>
      <c r="U23" s="704">
        <f>H23</f>
        <v>100</v>
      </c>
      <c r="V23" s="703" t="s">
        <v>14</v>
      </c>
      <c r="W23" s="704">
        <f>J23</f>
        <v>100</v>
      </c>
      <c r="X23" s="1353"/>
      <c r="Y23" s="3760"/>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60"/>
      <c r="Q24" s="1350">
        <f t="shared" ref="Q24:Q34" si="11">B24</f>
        <v>111</v>
      </c>
      <c r="R24" s="703" t="s">
        <v>14</v>
      </c>
      <c r="S24" s="704">
        <f>F24</f>
        <v>100</v>
      </c>
      <c r="T24" s="703" t="s">
        <v>14</v>
      </c>
      <c r="U24" s="704">
        <f>H24</f>
        <v>100</v>
      </c>
      <c r="V24" s="703" t="s">
        <v>14</v>
      </c>
      <c r="W24" s="704">
        <f>J24</f>
        <v>100</v>
      </c>
      <c r="X24" s="1353"/>
      <c r="Y24" s="3760"/>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60"/>
      <c r="Q25" s="1341">
        <f t="shared" si="11"/>
        <v>111</v>
      </c>
      <c r="R25" s="699" t="s">
        <v>14</v>
      </c>
      <c r="S25" s="700">
        <f>F25</f>
        <v>100</v>
      </c>
      <c r="T25" s="699" t="s">
        <v>14</v>
      </c>
      <c r="U25" s="700">
        <f>H25</f>
        <v>100</v>
      </c>
      <c r="V25" s="699" t="s">
        <v>14</v>
      </c>
      <c r="W25" s="700">
        <f>J25</f>
        <v>100</v>
      </c>
      <c r="X25" s="701"/>
      <c r="Y25" s="3760"/>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9"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64"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64"/>
      <c r="Q27" s="705" t="str">
        <f t="shared" si="11"/>
        <v>成新率</v>
      </c>
      <c r="R27" s="706" t="s">
        <v>14</v>
      </c>
      <c r="S27" s="707" t="e">
        <f t="shared" si="12"/>
        <v>#N/A</v>
      </c>
      <c r="T27" s="706" t="s">
        <v>14</v>
      </c>
      <c r="U27" s="707" t="e">
        <f t="shared" si="13"/>
        <v>#N/A</v>
      </c>
      <c r="V27" s="706" t="s">
        <v>14</v>
      </c>
      <c r="W27" s="707" t="e">
        <f t="shared" si="14"/>
        <v>#N/A</v>
      </c>
      <c r="X27" s="708"/>
      <c r="Y27" s="3764"/>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64"/>
      <c r="Q28" s="1350" t="str">
        <f t="shared" si="11"/>
        <v>物业等级</v>
      </c>
      <c r="R28" s="703" t="s">
        <v>14</v>
      </c>
      <c r="S28" s="704">
        <f t="shared" si="12"/>
        <v>100</v>
      </c>
      <c r="T28" s="703" t="s">
        <v>14</v>
      </c>
      <c r="U28" s="704">
        <f t="shared" si="13"/>
        <v>100</v>
      </c>
      <c r="V28" s="703" t="s">
        <v>14</v>
      </c>
      <c r="W28" s="704">
        <f t="shared" si="14"/>
        <v>100</v>
      </c>
      <c r="X28" s="1353"/>
      <c r="Y28" s="3764"/>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64"/>
      <c r="Q29" s="1350" t="str">
        <f t="shared" si="11"/>
        <v>有无电梯</v>
      </c>
      <c r="R29" s="703" t="s">
        <v>14</v>
      </c>
      <c r="S29" s="704">
        <f t="shared" si="12"/>
        <v>100</v>
      </c>
      <c r="T29" s="703" t="s">
        <v>14</v>
      </c>
      <c r="U29" s="704">
        <f t="shared" si="13"/>
        <v>100</v>
      </c>
      <c r="V29" s="703" t="s">
        <v>14</v>
      </c>
      <c r="W29" s="704">
        <f t="shared" si="14"/>
        <v>100</v>
      </c>
      <c r="X29" s="1353"/>
      <c r="Y29" s="3764"/>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64"/>
      <c r="Q30" s="1350" t="str">
        <f t="shared" si="11"/>
        <v>建筑面积</v>
      </c>
      <c r="R30" s="703" t="s">
        <v>14</v>
      </c>
      <c r="S30" s="704" t="e">
        <f t="shared" si="12"/>
        <v>#N/A</v>
      </c>
      <c r="T30" s="703" t="s">
        <v>14</v>
      </c>
      <c r="U30" s="704" t="e">
        <f t="shared" si="13"/>
        <v>#N/A</v>
      </c>
      <c r="V30" s="703" t="s">
        <v>14</v>
      </c>
      <c r="W30" s="704" t="e">
        <f t="shared" si="14"/>
        <v>#N/A</v>
      </c>
      <c r="X30" s="1353"/>
      <c r="Y30" s="3764"/>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64"/>
      <c r="Q31" s="1341" t="str">
        <f t="shared" si="11"/>
        <v>是否封闭</v>
      </c>
      <c r="R31" s="699" t="s">
        <v>14</v>
      </c>
      <c r="S31" s="700">
        <f t="shared" si="12"/>
        <v>100</v>
      </c>
      <c r="T31" s="699" t="s">
        <v>14</v>
      </c>
      <c r="U31" s="700">
        <f t="shared" si="13"/>
        <v>100</v>
      </c>
      <c r="V31" s="699" t="s">
        <v>14</v>
      </c>
      <c r="W31" s="700">
        <f t="shared" si="14"/>
        <v>100</v>
      </c>
      <c r="X31" s="701"/>
      <c r="Y31" s="3764"/>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64" t="s">
        <v>1696</v>
      </c>
      <c r="Q32" s="1350">
        <f t="shared" si="11"/>
        <v>111</v>
      </c>
      <c r="R32" s="703" t="s">
        <v>14</v>
      </c>
      <c r="S32" s="704">
        <f t="shared" si="12"/>
        <v>100</v>
      </c>
      <c r="T32" s="703" t="s">
        <v>14</v>
      </c>
      <c r="U32" s="704">
        <f t="shared" si="13"/>
        <v>100</v>
      </c>
      <c r="V32" s="703" t="s">
        <v>14</v>
      </c>
      <c r="W32" s="704">
        <f t="shared" si="14"/>
        <v>100</v>
      </c>
      <c r="X32" s="1353"/>
      <c r="Y32" s="3764"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64"/>
      <c r="Q33" s="1350">
        <f t="shared" si="11"/>
        <v>111</v>
      </c>
      <c r="R33" s="703" t="s">
        <v>14</v>
      </c>
      <c r="S33" s="704">
        <f t="shared" si="12"/>
        <v>100</v>
      </c>
      <c r="T33" s="703" t="s">
        <v>14</v>
      </c>
      <c r="U33" s="704">
        <f t="shared" si="13"/>
        <v>100</v>
      </c>
      <c r="V33" s="703" t="s">
        <v>14</v>
      </c>
      <c r="W33" s="704">
        <f t="shared" si="14"/>
        <v>100</v>
      </c>
      <c r="X33" s="1353"/>
      <c r="Y33" s="3764"/>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64"/>
      <c r="Q34" s="1350">
        <f t="shared" si="11"/>
        <v>111</v>
      </c>
      <c r="R34" s="703" t="s">
        <v>14</v>
      </c>
      <c r="S34" s="704">
        <f t="shared" si="12"/>
        <v>100</v>
      </c>
      <c r="T34" s="703" t="s">
        <v>14</v>
      </c>
      <c r="U34" s="704">
        <f t="shared" si="13"/>
        <v>100</v>
      </c>
      <c r="V34" s="703" t="s">
        <v>14</v>
      </c>
      <c r="W34" s="704">
        <f t="shared" si="14"/>
        <v>100</v>
      </c>
      <c r="X34" s="1353"/>
      <c r="Y34" s="3764"/>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66" t="str">
        <f>A35</f>
        <v>成交单价（元/平方米）</v>
      </c>
      <c r="Q35" s="3766"/>
      <c r="R35" s="3767">
        <f>E35</f>
        <v>0</v>
      </c>
      <c r="S35" s="3767"/>
      <c r="T35" s="3767">
        <f>G35</f>
        <v>0</v>
      </c>
      <c r="U35" s="3767"/>
      <c r="V35" s="3767">
        <f>I35</f>
        <v>0</v>
      </c>
      <c r="W35" s="3767"/>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8"/>
      <c r="M36" s="2719"/>
      <c r="N36" s="2710"/>
      <c r="O36" s="2719"/>
      <c r="P36" s="3766" t="str">
        <f>A36</f>
        <v>比较价值（元/平方米）</v>
      </c>
      <c r="Q36" s="3766"/>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79" t="str">
        <f>A37</f>
        <v>估价对象XX用房的比较价值（楼面单价，元/平方米）</v>
      </c>
      <c r="Q37" s="3780"/>
      <c r="R37" s="3830" t="e">
        <f>IF(F1="售价",ROUND(IF(D36="简单平均",AVERAGE(R36:W36),R36*F36+T36*H36+V36*J36),0),ROUND(IF(D36="简单平均",AVERAGE(R36:V36),R36*F36+T36*H36+V36*J36),1))</f>
        <v>#DIV/0!</v>
      </c>
      <c r="S37" s="3830"/>
      <c r="T37" s="3830"/>
      <c r="U37" s="3830"/>
      <c r="V37" s="3830"/>
      <c r="W37" s="3830"/>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41" t="s">
        <v>1770</v>
      </c>
      <c r="D4" s="3742"/>
      <c r="E4" s="3743" t="s">
        <v>1771</v>
      </c>
      <c r="F4" s="3744"/>
      <c r="G4" s="3741" t="s">
        <v>1772</v>
      </c>
      <c r="H4" s="3742"/>
      <c r="I4" s="3741" t="s">
        <v>1773</v>
      </c>
      <c r="J4" s="3742"/>
      <c r="K4" s="558" t="s">
        <v>1774</v>
      </c>
      <c r="L4" s="2709"/>
      <c r="M4" s="2710"/>
      <c r="N4" s="2710"/>
      <c r="O4" s="2710"/>
      <c r="P4" s="3775" t="s">
        <v>1775</v>
      </c>
      <c r="Q4" s="3776"/>
      <c r="R4" s="3772" t="s">
        <v>1771</v>
      </c>
      <c r="S4" s="3773"/>
      <c r="T4" s="3772" t="s">
        <v>1772</v>
      </c>
      <c r="U4" s="3773"/>
      <c r="V4" s="3754" t="s">
        <v>1773</v>
      </c>
      <c r="W4" s="3754"/>
      <c r="X4" s="1353"/>
      <c r="Y4" s="3772" t="s">
        <v>1775</v>
      </c>
      <c r="Z4" s="3773"/>
      <c r="AA4" s="3771" t="s">
        <v>1771</v>
      </c>
      <c r="AB4" s="3720" t="s">
        <v>1772</v>
      </c>
      <c r="AC4" s="3771" t="s">
        <v>1773</v>
      </c>
    </row>
    <row r="5" spans="1:30" ht="15">
      <c r="A5" s="357"/>
      <c r="B5" s="358"/>
      <c r="C5" s="3828" t="s">
        <v>1673</v>
      </c>
      <c r="D5" s="3731"/>
      <c r="E5" s="3827" t="s">
        <v>1674</v>
      </c>
      <c r="F5" s="3729"/>
      <c r="G5" s="3828" t="s">
        <v>1675</v>
      </c>
      <c r="H5" s="3731"/>
      <c r="I5" s="3828" t="s">
        <v>1676</v>
      </c>
      <c r="J5" s="3731"/>
      <c r="K5" s="558"/>
      <c r="L5" s="2709"/>
      <c r="M5" s="2710"/>
      <c r="N5" s="2710"/>
      <c r="O5" s="2710"/>
      <c r="P5" s="3777"/>
      <c r="Q5" s="3748"/>
      <c r="R5" s="3726"/>
      <c r="S5" s="3727"/>
      <c r="T5" s="3726"/>
      <c r="U5" s="3727"/>
      <c r="V5" s="3754"/>
      <c r="W5" s="3754"/>
      <c r="X5" s="1353"/>
      <c r="Y5" s="3726"/>
      <c r="Z5" s="3727"/>
      <c r="AA5" s="3720"/>
      <c r="AB5" s="3720"/>
      <c r="AC5" s="3720"/>
    </row>
    <row r="6" spans="1:30" ht="15.75" thickBot="1">
      <c r="A6" s="359"/>
      <c r="B6" s="360"/>
      <c r="C6" s="3736" t="s">
        <v>1677</v>
      </c>
      <c r="D6" s="3733"/>
      <c r="E6" s="3774" t="s">
        <v>1677</v>
      </c>
      <c r="F6" s="3735"/>
      <c r="G6" s="3736" t="s">
        <v>1677</v>
      </c>
      <c r="H6" s="3733"/>
      <c r="I6" s="3736" t="s">
        <v>1677</v>
      </c>
      <c r="J6" s="3733"/>
      <c r="K6" s="558" t="s">
        <v>1678</v>
      </c>
      <c r="L6" s="2709"/>
      <c r="M6" s="2710"/>
      <c r="N6" s="2710"/>
      <c r="O6" s="2710"/>
      <c r="P6" s="3778"/>
      <c r="Q6" s="3750"/>
      <c r="R6" s="3726"/>
      <c r="S6" s="3727"/>
      <c r="T6" s="3751"/>
      <c r="U6" s="3752"/>
      <c r="V6" s="3754"/>
      <c r="W6" s="3754"/>
      <c r="X6" s="1353"/>
      <c r="Y6" s="3751"/>
      <c r="Z6" s="3752"/>
      <c r="AA6" s="3721"/>
      <c r="AB6" s="3721"/>
      <c r="AC6" s="3721"/>
    </row>
    <row r="7" spans="1:30" s="107" customFormat="1" ht="15.75" thickBot="1">
      <c r="A7" s="361" t="s">
        <v>1679</v>
      </c>
      <c r="B7" s="362"/>
      <c r="C7" s="363">
        <f>'数据-取费表'!B2</f>
        <v>45896</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22" t="s">
        <v>1680</v>
      </c>
      <c r="Q7" s="3756"/>
      <c r="R7" s="699" t="s">
        <v>14</v>
      </c>
      <c r="S7" s="700">
        <f t="shared" ref="S7:S15" si="0">F7</f>
        <v>0</v>
      </c>
      <c r="T7" s="699" t="s">
        <v>14</v>
      </c>
      <c r="U7" s="700">
        <f t="shared" ref="U7:U15" si="1">H7</f>
        <v>0</v>
      </c>
      <c r="V7" s="699" t="s">
        <v>14</v>
      </c>
      <c r="W7" s="700">
        <f t="shared" ref="W7:W15" si="2">J7</f>
        <v>0</v>
      </c>
      <c r="X7" s="701"/>
      <c r="Y7" s="3722" t="s">
        <v>1680</v>
      </c>
      <c r="Z7" s="3723"/>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22" t="s">
        <v>1683</v>
      </c>
      <c r="Q8" s="3723"/>
      <c r="R8" s="699" t="s">
        <v>14</v>
      </c>
      <c r="S8" s="700">
        <f t="shared" si="0"/>
        <v>0</v>
      </c>
      <c r="T8" s="699" t="s">
        <v>14</v>
      </c>
      <c r="U8" s="700">
        <f t="shared" si="1"/>
        <v>0</v>
      </c>
      <c r="V8" s="699" t="s">
        <v>14</v>
      </c>
      <c r="W8" s="700">
        <f t="shared" si="2"/>
        <v>0</v>
      </c>
      <c r="X8" s="701"/>
      <c r="Y8" s="3722" t="s">
        <v>1683</v>
      </c>
      <c r="Z8" s="3723"/>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66" t="s">
        <v>1686</v>
      </c>
      <c r="Q9" s="1341" t="str">
        <f t="shared" ref="Q9:Q15" si="6">B9</f>
        <v>用途</v>
      </c>
      <c r="R9" s="699" t="s">
        <v>14</v>
      </c>
      <c r="S9" s="700">
        <f t="shared" si="0"/>
        <v>100</v>
      </c>
      <c r="T9" s="699" t="s">
        <v>14</v>
      </c>
      <c r="U9" s="700">
        <f t="shared" si="1"/>
        <v>100</v>
      </c>
      <c r="V9" s="699" t="s">
        <v>14</v>
      </c>
      <c r="W9" s="700">
        <f t="shared" si="2"/>
        <v>100</v>
      </c>
      <c r="X9" s="701"/>
      <c r="Y9" s="3688"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158</v>
      </c>
      <c r="G10" s="413"/>
      <c r="H10" s="126">
        <f>ROUND(100/'数据-取费表'!G16,0)</f>
        <v>158</v>
      </c>
      <c r="I10" s="413"/>
      <c r="J10" s="126">
        <f>ROUND(100/'数据-取费表'!G16,0)</f>
        <v>158</v>
      </c>
      <c r="K10" s="619"/>
      <c r="L10" s="2713"/>
      <c r="M10" s="2714"/>
      <c r="N10" s="2714"/>
      <c r="O10" s="2767"/>
      <c r="P10" s="3766"/>
      <c r="Q10" s="1341" t="str">
        <f t="shared" si="6"/>
        <v>土地使用年限（年）</v>
      </c>
      <c r="R10" s="699" t="s">
        <v>14</v>
      </c>
      <c r="S10" s="700">
        <f t="shared" si="0"/>
        <v>158</v>
      </c>
      <c r="T10" s="699" t="s">
        <v>14</v>
      </c>
      <c r="U10" s="700">
        <f t="shared" si="1"/>
        <v>158</v>
      </c>
      <c r="V10" s="699" t="s">
        <v>14</v>
      </c>
      <c r="W10" s="700">
        <f t="shared" si="2"/>
        <v>158</v>
      </c>
      <c r="X10" s="701"/>
      <c r="Y10" s="3688"/>
      <c r="Z10" s="52" t="str">
        <f t="shared" si="7"/>
        <v>土地使用年限（年）</v>
      </c>
      <c r="AA10" s="702">
        <f t="shared" si="3"/>
        <v>0.63291139240506333</v>
      </c>
      <c r="AB10" s="702">
        <f t="shared" si="4"/>
        <v>0.63291139240506333</v>
      </c>
      <c r="AC10" s="702">
        <f t="shared" si="5"/>
        <v>0.63291139240506333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66"/>
      <c r="Q11" s="1341" t="str">
        <f t="shared" si="6"/>
        <v>容积率</v>
      </c>
      <c r="R11" s="699" t="s">
        <v>14</v>
      </c>
      <c r="S11" s="700" t="e">
        <f t="shared" si="0"/>
        <v>#N/A</v>
      </c>
      <c r="T11" s="699" t="s">
        <v>14</v>
      </c>
      <c r="U11" s="700" t="e">
        <f t="shared" si="1"/>
        <v>#N/A</v>
      </c>
      <c r="V11" s="699" t="s">
        <v>14</v>
      </c>
      <c r="W11" s="700" t="e">
        <f t="shared" si="2"/>
        <v>#N/A</v>
      </c>
      <c r="X11" s="701"/>
      <c r="Y11" s="3688"/>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66"/>
      <c r="Q12" s="1341" t="str">
        <f t="shared" si="6"/>
        <v>配建</v>
      </c>
      <c r="R12" s="699" t="s">
        <v>14</v>
      </c>
      <c r="S12" s="700">
        <f t="shared" si="0"/>
        <v>100</v>
      </c>
      <c r="T12" s="699" t="s">
        <v>14</v>
      </c>
      <c r="U12" s="700">
        <f t="shared" si="1"/>
        <v>100</v>
      </c>
      <c r="V12" s="699" t="s">
        <v>14</v>
      </c>
      <c r="W12" s="700">
        <f t="shared" si="2"/>
        <v>100</v>
      </c>
      <c r="X12" s="701"/>
      <c r="Y12" s="3688"/>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66"/>
      <c r="Q13" s="1341">
        <f t="shared" si="6"/>
        <v>111</v>
      </c>
      <c r="R13" s="699" t="s">
        <v>14</v>
      </c>
      <c r="S13" s="700">
        <f t="shared" si="0"/>
        <v>100</v>
      </c>
      <c r="T13" s="699" t="s">
        <v>14</v>
      </c>
      <c r="U13" s="700">
        <f t="shared" si="1"/>
        <v>100</v>
      </c>
      <c r="V13" s="699" t="s">
        <v>14</v>
      </c>
      <c r="W13" s="700">
        <f t="shared" si="2"/>
        <v>100</v>
      </c>
      <c r="X13" s="701"/>
      <c r="Y13" s="3688"/>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66"/>
      <c r="Q14" s="1341">
        <f t="shared" si="6"/>
        <v>111</v>
      </c>
      <c r="R14" s="699" t="s">
        <v>14</v>
      </c>
      <c r="S14" s="700">
        <f t="shared" si="0"/>
        <v>100</v>
      </c>
      <c r="T14" s="699" t="s">
        <v>14</v>
      </c>
      <c r="U14" s="700">
        <f t="shared" si="1"/>
        <v>100</v>
      </c>
      <c r="V14" s="699" t="s">
        <v>14</v>
      </c>
      <c r="W14" s="700">
        <f t="shared" si="2"/>
        <v>100</v>
      </c>
      <c r="X14" s="701"/>
      <c r="Y14" s="3688"/>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59" t="s">
        <v>1691</v>
      </c>
      <c r="Q15" s="1350" t="str">
        <f t="shared" si="6"/>
        <v>居住社区成熟度</v>
      </c>
      <c r="R15" s="703" t="s">
        <v>14</v>
      </c>
      <c r="S15" s="704">
        <f t="shared" si="0"/>
        <v>100</v>
      </c>
      <c r="T15" s="703" t="s">
        <v>14</v>
      </c>
      <c r="U15" s="704">
        <f t="shared" si="1"/>
        <v>100</v>
      </c>
      <c r="V15" s="703" t="s">
        <v>14</v>
      </c>
      <c r="W15" s="704">
        <f t="shared" si="2"/>
        <v>100</v>
      </c>
      <c r="X15" s="1353"/>
      <c r="Y15" s="3759"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60"/>
      <c r="Q16" s="1350"/>
      <c r="R16" s="703"/>
      <c r="S16" s="704"/>
      <c r="T16" s="703"/>
      <c r="U16" s="704"/>
      <c r="V16" s="703"/>
      <c r="W16" s="704"/>
      <c r="X16" s="1353"/>
      <c r="Y16" s="3760"/>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60"/>
      <c r="Q17" s="1350" t="str">
        <f>B17</f>
        <v>商业繁华度</v>
      </c>
      <c r="R17" s="703" t="s">
        <v>14</v>
      </c>
      <c r="S17" s="704">
        <f>F17</f>
        <v>100</v>
      </c>
      <c r="T17" s="703" t="s">
        <v>14</v>
      </c>
      <c r="U17" s="704">
        <f>H17</f>
        <v>100</v>
      </c>
      <c r="V17" s="703" t="s">
        <v>14</v>
      </c>
      <c r="W17" s="704">
        <f>J17</f>
        <v>100</v>
      </c>
      <c r="X17" s="1353"/>
      <c r="Y17" s="3760"/>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60"/>
      <c r="Q18" s="1350"/>
      <c r="R18" s="703"/>
      <c r="S18" s="704"/>
      <c r="T18" s="703"/>
      <c r="U18" s="704"/>
      <c r="V18" s="703"/>
      <c r="W18" s="704"/>
      <c r="X18" s="1353"/>
      <c r="Y18" s="3760"/>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60"/>
      <c r="Q19" s="1350" t="str">
        <f>B19</f>
        <v>办公集聚程度</v>
      </c>
      <c r="R19" s="703" t="s">
        <v>14</v>
      </c>
      <c r="S19" s="704">
        <f>F19</f>
        <v>100</v>
      </c>
      <c r="T19" s="703" t="s">
        <v>14</v>
      </c>
      <c r="U19" s="704">
        <f>H19</f>
        <v>100</v>
      </c>
      <c r="V19" s="703" t="s">
        <v>14</v>
      </c>
      <c r="W19" s="704">
        <f>J19</f>
        <v>100</v>
      </c>
      <c r="X19" s="1353"/>
      <c r="Y19" s="3760"/>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60"/>
      <c r="Q20" s="1350"/>
      <c r="R20" s="703"/>
      <c r="S20" s="704"/>
      <c r="T20" s="703"/>
      <c r="U20" s="704"/>
      <c r="V20" s="703"/>
      <c r="W20" s="704"/>
      <c r="X20" s="1353"/>
      <c r="Y20" s="3760"/>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60"/>
      <c r="Q21" s="1350" t="str">
        <f>B21</f>
        <v>交通便捷度</v>
      </c>
      <c r="R21" s="703" t="s">
        <v>14</v>
      </c>
      <c r="S21" s="704">
        <f>F21</f>
        <v>100</v>
      </c>
      <c r="T21" s="703" t="s">
        <v>14</v>
      </c>
      <c r="U21" s="704">
        <f>H21</f>
        <v>100</v>
      </c>
      <c r="V21" s="703" t="s">
        <v>14</v>
      </c>
      <c r="W21" s="704">
        <f>J21</f>
        <v>100</v>
      </c>
      <c r="X21" s="1353"/>
      <c r="Y21" s="3760"/>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60"/>
      <c r="Q22" s="1350"/>
      <c r="R22" s="703"/>
      <c r="S22" s="704"/>
      <c r="T22" s="703"/>
      <c r="U22" s="704"/>
      <c r="V22" s="703"/>
      <c r="W22" s="704"/>
      <c r="X22" s="1353"/>
      <c r="Y22" s="3760"/>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60"/>
      <c r="Q23" s="1350" t="str">
        <f t="shared" ref="Q23:Q37" si="8">B23</f>
        <v>区域土地利用方向</v>
      </c>
      <c r="R23" s="703" t="s">
        <v>14</v>
      </c>
      <c r="S23" s="704">
        <f>F23</f>
        <v>100</v>
      </c>
      <c r="T23" s="703" t="s">
        <v>14</v>
      </c>
      <c r="U23" s="704">
        <f>H23</f>
        <v>100</v>
      </c>
      <c r="V23" s="703" t="s">
        <v>14</v>
      </c>
      <c r="W23" s="704">
        <f>J23</f>
        <v>100</v>
      </c>
      <c r="X23" s="1353"/>
      <c r="Y23" s="3760"/>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60"/>
      <c r="Q24" s="1350"/>
      <c r="R24" s="703"/>
      <c r="S24" s="704"/>
      <c r="T24" s="703"/>
      <c r="U24" s="704"/>
      <c r="V24" s="703"/>
      <c r="W24" s="704"/>
      <c r="X24" s="1353"/>
      <c r="Y24" s="3760"/>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60"/>
      <c r="Q25" s="1350" t="str">
        <f t="shared" si="8"/>
        <v>自然及人文环境状况</v>
      </c>
      <c r="R25" s="703" t="s">
        <v>14</v>
      </c>
      <c r="S25" s="704">
        <f>F25</f>
        <v>100</v>
      </c>
      <c r="T25" s="703" t="s">
        <v>14</v>
      </c>
      <c r="U25" s="704">
        <f>H25</f>
        <v>100</v>
      </c>
      <c r="V25" s="703" t="s">
        <v>14</v>
      </c>
      <c r="W25" s="704">
        <f>J25</f>
        <v>100</v>
      </c>
      <c r="X25" s="1353"/>
      <c r="Y25" s="3760"/>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60"/>
      <c r="Q26" s="1350"/>
      <c r="R26" s="703"/>
      <c r="S26" s="704"/>
      <c r="T26" s="703"/>
      <c r="U26" s="704"/>
      <c r="V26" s="703"/>
      <c r="W26" s="704"/>
      <c r="X26" s="1353"/>
      <c r="Y26" s="3760"/>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60"/>
      <c r="Q27" s="1341" t="str">
        <f t="shared" si="8"/>
        <v>公共配套设施</v>
      </c>
      <c r="R27" s="699" t="s">
        <v>14</v>
      </c>
      <c r="S27" s="700">
        <f>F27</f>
        <v>100</v>
      </c>
      <c r="T27" s="699" t="s">
        <v>14</v>
      </c>
      <c r="U27" s="700">
        <f>H27</f>
        <v>100</v>
      </c>
      <c r="V27" s="699" t="s">
        <v>14</v>
      </c>
      <c r="W27" s="700">
        <f>J27</f>
        <v>100</v>
      </c>
      <c r="X27" s="701"/>
      <c r="Y27" s="3760"/>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60"/>
      <c r="Q28" s="1341"/>
      <c r="R28" s="699"/>
      <c r="S28" s="700"/>
      <c r="T28" s="699"/>
      <c r="U28" s="700"/>
      <c r="V28" s="699"/>
      <c r="W28" s="700"/>
      <c r="X28" s="701"/>
      <c r="Y28" s="3760"/>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60"/>
      <c r="Q29" s="1341" t="str">
        <f t="shared" ref="Q29" si="9">B29</f>
        <v>基础设施水平</v>
      </c>
      <c r="R29" s="699" t="s">
        <v>14</v>
      </c>
      <c r="S29" s="700">
        <f>F29</f>
        <v>100</v>
      </c>
      <c r="T29" s="699" t="s">
        <v>14</v>
      </c>
      <c r="U29" s="700">
        <f>H29</f>
        <v>100</v>
      </c>
      <c r="V29" s="699" t="s">
        <v>14</v>
      </c>
      <c r="W29" s="700">
        <f>J29</f>
        <v>100</v>
      </c>
      <c r="X29" s="701"/>
      <c r="Y29" s="3760"/>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60"/>
      <c r="Q30" s="1341"/>
      <c r="R30" s="699"/>
      <c r="S30" s="700"/>
      <c r="T30" s="699"/>
      <c r="U30" s="700"/>
      <c r="V30" s="699"/>
      <c r="W30" s="700"/>
      <c r="X30" s="701"/>
      <c r="Y30" s="3760"/>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6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60"/>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60"/>
      <c r="Q32" s="1350" t="str">
        <f t="shared" si="8"/>
        <v>毗邻道路的类型与等级</v>
      </c>
      <c r="R32" s="703" t="s">
        <v>14</v>
      </c>
      <c r="S32" s="704">
        <f t="shared" si="10"/>
        <v>100</v>
      </c>
      <c r="T32" s="703" t="s">
        <v>14</v>
      </c>
      <c r="U32" s="704">
        <f t="shared" si="11"/>
        <v>100</v>
      </c>
      <c r="V32" s="703" t="s">
        <v>14</v>
      </c>
      <c r="W32" s="704">
        <f t="shared" si="12"/>
        <v>100</v>
      </c>
      <c r="X32" s="1353"/>
      <c r="Y32" s="3760"/>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60"/>
      <c r="Q33" s="1350"/>
      <c r="R33" s="703"/>
      <c r="S33" s="704"/>
      <c r="T33" s="703"/>
      <c r="U33" s="704"/>
      <c r="V33" s="703"/>
      <c r="W33" s="704"/>
      <c r="X33" s="1353"/>
      <c r="Y33" s="3760"/>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60"/>
      <c r="Q34" s="1350" t="str">
        <f t="shared" si="8"/>
        <v>土地级别</v>
      </c>
      <c r="R34" s="703" t="s">
        <v>14</v>
      </c>
      <c r="S34" s="704">
        <f t="shared" si="10"/>
        <v>100</v>
      </c>
      <c r="T34" s="703" t="s">
        <v>14</v>
      </c>
      <c r="U34" s="704">
        <f t="shared" si="11"/>
        <v>100</v>
      </c>
      <c r="V34" s="703" t="s">
        <v>14</v>
      </c>
      <c r="W34" s="704">
        <f t="shared" si="12"/>
        <v>100</v>
      </c>
      <c r="X34" s="1353"/>
      <c r="Y34" s="3760"/>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60"/>
      <c r="Q35" s="1350">
        <f t="shared" si="8"/>
        <v>111</v>
      </c>
      <c r="R35" s="703" t="s">
        <v>14</v>
      </c>
      <c r="S35" s="704">
        <f t="shared" si="10"/>
        <v>100</v>
      </c>
      <c r="T35" s="703" t="s">
        <v>14</v>
      </c>
      <c r="U35" s="704">
        <f t="shared" si="11"/>
        <v>100</v>
      </c>
      <c r="V35" s="703" t="s">
        <v>14</v>
      </c>
      <c r="W35" s="704">
        <f t="shared" si="12"/>
        <v>100</v>
      </c>
      <c r="X35" s="1353"/>
      <c r="Y35" s="3760"/>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9" t="s">
        <v>1696</v>
      </c>
      <c r="Q36" s="1350">
        <f t="shared" si="8"/>
        <v>111</v>
      </c>
      <c r="R36" s="703" t="s">
        <v>14</v>
      </c>
      <c r="S36" s="704">
        <f t="shared" si="10"/>
        <v>100</v>
      </c>
      <c r="T36" s="703" t="s">
        <v>14</v>
      </c>
      <c r="U36" s="704">
        <f t="shared" si="11"/>
        <v>100</v>
      </c>
      <c r="V36" s="703" t="s">
        <v>14</v>
      </c>
      <c r="W36" s="704">
        <f t="shared" si="12"/>
        <v>100</v>
      </c>
      <c r="X36" s="1353"/>
      <c r="Y36" s="3764"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64"/>
      <c r="Q37" s="1350">
        <f t="shared" si="8"/>
        <v>111</v>
      </c>
      <c r="R37" s="706" t="s">
        <v>14</v>
      </c>
      <c r="S37" s="707">
        <f t="shared" si="10"/>
        <v>100</v>
      </c>
      <c r="T37" s="706" t="s">
        <v>14</v>
      </c>
      <c r="U37" s="707">
        <f t="shared" si="11"/>
        <v>100</v>
      </c>
      <c r="V37" s="706" t="s">
        <v>14</v>
      </c>
      <c r="W37" s="707">
        <f t="shared" si="12"/>
        <v>100</v>
      </c>
      <c r="X37" s="708"/>
      <c r="Y37" s="3764"/>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64"/>
      <c r="Q38" s="1350" t="str">
        <f>B38</f>
        <v>宗地面积</v>
      </c>
      <c r="R38" s="703" t="s">
        <v>14</v>
      </c>
      <c r="S38" s="704" t="e">
        <f t="shared" si="10"/>
        <v>#N/A</v>
      </c>
      <c r="T38" s="703" t="s">
        <v>14</v>
      </c>
      <c r="U38" s="704" t="e">
        <f t="shared" si="11"/>
        <v>#N/A</v>
      </c>
      <c r="V38" s="703" t="s">
        <v>14</v>
      </c>
      <c r="W38" s="704" t="e">
        <f t="shared" si="12"/>
        <v>#N/A</v>
      </c>
      <c r="X38" s="1353"/>
      <c r="Y38" s="3764"/>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64"/>
      <c r="Q39" s="1350" t="str">
        <f t="shared" ref="Q39:Q45" si="14">B39</f>
        <v>宗地形状</v>
      </c>
      <c r="R39" s="703" t="s">
        <v>14</v>
      </c>
      <c r="S39" s="704">
        <f t="shared" si="10"/>
        <v>100</v>
      </c>
      <c r="T39" s="703" t="s">
        <v>14</v>
      </c>
      <c r="U39" s="704">
        <f t="shared" si="11"/>
        <v>100</v>
      </c>
      <c r="V39" s="703" t="s">
        <v>14</v>
      </c>
      <c r="W39" s="704">
        <f t="shared" si="12"/>
        <v>100</v>
      </c>
      <c r="X39" s="1353"/>
      <c r="Y39" s="3764"/>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64"/>
      <c r="Q40" s="1350" t="str">
        <f t="shared" si="14"/>
        <v>临街宽度及深度</v>
      </c>
      <c r="R40" s="703" t="s">
        <v>14</v>
      </c>
      <c r="S40" s="704">
        <f t="shared" si="10"/>
        <v>100</v>
      </c>
      <c r="T40" s="703" t="s">
        <v>14</v>
      </c>
      <c r="U40" s="704">
        <f t="shared" si="11"/>
        <v>100</v>
      </c>
      <c r="V40" s="703" t="s">
        <v>14</v>
      </c>
      <c r="W40" s="704">
        <f t="shared" si="12"/>
        <v>100</v>
      </c>
      <c r="X40" s="1353"/>
      <c r="Y40" s="3764"/>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64"/>
      <c r="Q41" s="1350" t="str">
        <f t="shared" si="14"/>
        <v>宗地开发程度</v>
      </c>
      <c r="R41" s="699" t="s">
        <v>14</v>
      </c>
      <c r="S41" s="700">
        <f t="shared" si="10"/>
        <v>100</v>
      </c>
      <c r="T41" s="699" t="s">
        <v>14</v>
      </c>
      <c r="U41" s="700">
        <f t="shared" si="11"/>
        <v>100</v>
      </c>
      <c r="V41" s="699" t="s">
        <v>14</v>
      </c>
      <c r="W41" s="700">
        <f t="shared" si="12"/>
        <v>100</v>
      </c>
      <c r="X41" s="701"/>
      <c r="Y41" s="3764"/>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64" t="s">
        <v>1696</v>
      </c>
      <c r="Q42" s="1350" t="str">
        <f t="shared" si="14"/>
        <v>工程地质条件</v>
      </c>
      <c r="R42" s="703" t="s">
        <v>14</v>
      </c>
      <c r="S42" s="704">
        <f t="shared" si="10"/>
        <v>100</v>
      </c>
      <c r="T42" s="703" t="s">
        <v>14</v>
      </c>
      <c r="U42" s="704">
        <f t="shared" si="11"/>
        <v>100</v>
      </c>
      <c r="V42" s="703" t="s">
        <v>14</v>
      </c>
      <c r="W42" s="704">
        <f t="shared" si="12"/>
        <v>100</v>
      </c>
      <c r="X42" s="1353"/>
      <c r="Y42" s="3764"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64"/>
      <c r="Q43" s="1350">
        <f t="shared" si="14"/>
        <v>111</v>
      </c>
      <c r="R43" s="703" t="s">
        <v>14</v>
      </c>
      <c r="S43" s="704">
        <f t="shared" si="10"/>
        <v>100</v>
      </c>
      <c r="T43" s="703" t="s">
        <v>14</v>
      </c>
      <c r="U43" s="704">
        <f t="shared" si="11"/>
        <v>100</v>
      </c>
      <c r="V43" s="703" t="s">
        <v>14</v>
      </c>
      <c r="W43" s="704">
        <f t="shared" si="12"/>
        <v>100</v>
      </c>
      <c r="X43" s="1353"/>
      <c r="Y43" s="3764"/>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64"/>
      <c r="Q44" s="1350">
        <f t="shared" si="14"/>
        <v>111</v>
      </c>
      <c r="R44" s="703" t="s">
        <v>14</v>
      </c>
      <c r="S44" s="704">
        <f t="shared" si="10"/>
        <v>100</v>
      </c>
      <c r="T44" s="703" t="s">
        <v>14</v>
      </c>
      <c r="U44" s="704">
        <f t="shared" si="11"/>
        <v>100</v>
      </c>
      <c r="V44" s="703" t="s">
        <v>14</v>
      </c>
      <c r="W44" s="704">
        <f t="shared" si="12"/>
        <v>100</v>
      </c>
      <c r="X44" s="1353"/>
      <c r="Y44" s="3764"/>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64"/>
      <c r="Q45" s="1350">
        <f t="shared" si="14"/>
        <v>111</v>
      </c>
      <c r="R45" s="706" t="s">
        <v>14</v>
      </c>
      <c r="S45" s="707">
        <f t="shared" si="10"/>
        <v>100</v>
      </c>
      <c r="T45" s="706" t="s">
        <v>14</v>
      </c>
      <c r="U45" s="707">
        <f t="shared" si="11"/>
        <v>100</v>
      </c>
      <c r="V45" s="706" t="s">
        <v>14</v>
      </c>
      <c r="W45" s="707">
        <f t="shared" si="12"/>
        <v>100</v>
      </c>
      <c r="X45" s="708"/>
      <c r="Y45" s="3764"/>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66" t="str">
        <f>A46</f>
        <v>成交单价</v>
      </c>
      <c r="Q46" s="3766"/>
      <c r="R46" s="3754">
        <f>E46</f>
        <v>0</v>
      </c>
      <c r="S46" s="3754"/>
      <c r="T46" s="3754">
        <f>G46</f>
        <v>0</v>
      </c>
      <c r="U46" s="3754"/>
      <c r="V46" s="3754">
        <f>I46</f>
        <v>0</v>
      </c>
      <c r="W46" s="3754"/>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8"/>
      <c r="M47" s="2719"/>
      <c r="N47" s="2719"/>
      <c r="O47" s="2719"/>
      <c r="P47" s="3766" t="str">
        <f>A47</f>
        <v>比较价值（元/平方米）</v>
      </c>
      <c r="Q47" s="3766"/>
      <c r="R47" s="3831" t="e">
        <f>ROUND(PRODUCT(R46,AA7:AA45),0)</f>
        <v>#DIV/0!</v>
      </c>
      <c r="S47" s="3831"/>
      <c r="T47" s="3831" t="e">
        <f>ROUND(PRODUCT(T46,AB7:AB45),0)</f>
        <v>#DIV/0!</v>
      </c>
      <c r="U47" s="3831"/>
      <c r="V47" s="3831" t="e">
        <f>ROUND(PRODUCT(V46,AC7:AC45),0)</f>
        <v>#DIV/0!</v>
      </c>
      <c r="W47" s="3831"/>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79" t="str">
        <f>A48</f>
        <v>估价对象XX用房的比较价值（楼面单价，元/平方米）</v>
      </c>
      <c r="Q48" s="3780"/>
      <c r="R48" s="3832" t="e">
        <f>ROUND(IF(D47="简单平均",AVERAGE(R47:W47),R47*F47+T47*H47+V47*J47),0)</f>
        <v>#DIV/0!</v>
      </c>
      <c r="S48" s="3832"/>
      <c r="T48" s="3832"/>
      <c r="U48" s="3832"/>
      <c r="V48" s="3832"/>
      <c r="W48" s="3832"/>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41" t="s">
        <v>1887</v>
      </c>
      <c r="H55" s="3833"/>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2678.5</v>
      </c>
      <c r="F56" s="884" t="e">
        <f t="shared" ref="F56:F64" si="15">ROUND(B56*E56/10000,0)</f>
        <v>#DIV/0!</v>
      </c>
      <c r="G56" s="3737"/>
      <c r="H56" s="376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v>
      </c>
      <c r="D57" s="943">
        <v>0.25</v>
      </c>
      <c r="E57" s="641"/>
      <c r="F57" s="884" t="e">
        <f t="shared" si="15"/>
        <v>#DIV/0!</v>
      </c>
      <c r="G57" s="2999"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v>
      </c>
      <c r="D58" s="943">
        <v>0.25</v>
      </c>
      <c r="E58" s="641"/>
      <c r="F58" s="884" t="e">
        <f t="shared" si="15"/>
        <v>#DIV/0!</v>
      </c>
      <c r="G58" s="3000"/>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v>
      </c>
      <c r="D59" s="943">
        <v>0.25</v>
      </c>
      <c r="E59" s="641"/>
      <c r="F59" s="884" t="e">
        <f t="shared" si="15"/>
        <v>#DIV/0!</v>
      </c>
      <c r="G59" s="3000"/>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2678.5</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2025-8-1</v>
      </c>
      <c r="D67" s="690">
        <f>EDATE(C67,-3)</f>
        <v>45778</v>
      </c>
      <c r="E67" s="690">
        <f>EDATE(D67,-3)</f>
        <v>45689</v>
      </c>
      <c r="F67" s="690">
        <f t="shared" ref="F67:O67" si="18">EDATE(E67,-3)</f>
        <v>45597</v>
      </c>
      <c r="G67" s="690">
        <f t="shared" si="18"/>
        <v>45505</v>
      </c>
      <c r="H67" s="690">
        <f t="shared" si="18"/>
        <v>45413</v>
      </c>
      <c r="I67" s="690">
        <f t="shared" si="18"/>
        <v>45323</v>
      </c>
      <c r="J67" s="690">
        <f t="shared" si="18"/>
        <v>45231</v>
      </c>
      <c r="K67" s="690">
        <f t="shared" si="18"/>
        <v>45139</v>
      </c>
      <c r="L67" s="690">
        <f t="shared" si="18"/>
        <v>45047</v>
      </c>
      <c r="M67" s="690">
        <f t="shared" si="18"/>
        <v>44958</v>
      </c>
      <c r="N67" s="690">
        <f t="shared" si="18"/>
        <v>44866</v>
      </c>
      <c r="O67" s="690">
        <f t="shared" si="18"/>
        <v>44774</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41" t="s">
        <v>1770</v>
      </c>
      <c r="D4" s="3742"/>
      <c r="E4" s="3743" t="s">
        <v>1771</v>
      </c>
      <c r="F4" s="3744"/>
      <c r="G4" s="3741" t="s">
        <v>1772</v>
      </c>
      <c r="H4" s="3742"/>
      <c r="I4" s="3741" t="s">
        <v>1773</v>
      </c>
      <c r="J4" s="3742"/>
      <c r="K4" s="558" t="s">
        <v>1774</v>
      </c>
      <c r="L4" s="2709"/>
      <c r="M4" s="2710"/>
      <c r="N4" s="2710"/>
      <c r="O4" s="2710"/>
      <c r="P4" s="3775" t="s">
        <v>1775</v>
      </c>
      <c r="Q4" s="3776"/>
      <c r="R4" s="3772" t="s">
        <v>1771</v>
      </c>
      <c r="S4" s="3773"/>
      <c r="T4" s="3772" t="s">
        <v>1772</v>
      </c>
      <c r="U4" s="3773"/>
      <c r="V4" s="3754" t="s">
        <v>1773</v>
      </c>
      <c r="W4" s="3754"/>
      <c r="X4" s="1353"/>
      <c r="Y4" s="3772" t="s">
        <v>1775</v>
      </c>
      <c r="Z4" s="3773"/>
      <c r="AA4" s="3771" t="s">
        <v>1771</v>
      </c>
      <c r="AB4" s="3720" t="s">
        <v>1772</v>
      </c>
      <c r="AC4" s="3771" t="s">
        <v>1773</v>
      </c>
    </row>
    <row r="5" spans="1:29" ht="15">
      <c r="A5" s="357"/>
      <c r="B5" s="358"/>
      <c r="C5" s="3828" t="s">
        <v>1673</v>
      </c>
      <c r="D5" s="3731"/>
      <c r="E5" s="3827" t="s">
        <v>1674</v>
      </c>
      <c r="F5" s="3729"/>
      <c r="G5" s="3828" t="s">
        <v>1675</v>
      </c>
      <c r="H5" s="3731"/>
      <c r="I5" s="3828" t="s">
        <v>1676</v>
      </c>
      <c r="J5" s="3731"/>
      <c r="K5" s="558"/>
      <c r="L5" s="2709"/>
      <c r="M5" s="2710"/>
      <c r="N5" s="2710"/>
      <c r="O5" s="2710"/>
      <c r="P5" s="3777"/>
      <c r="Q5" s="3748"/>
      <c r="R5" s="3726"/>
      <c r="S5" s="3727"/>
      <c r="T5" s="3726"/>
      <c r="U5" s="3727"/>
      <c r="V5" s="3754"/>
      <c r="W5" s="3754"/>
      <c r="X5" s="1353"/>
      <c r="Y5" s="3726"/>
      <c r="Z5" s="3727"/>
      <c r="AA5" s="3720"/>
      <c r="AB5" s="3720"/>
      <c r="AC5" s="3720"/>
    </row>
    <row r="6" spans="1:29" ht="15.75" thickBot="1">
      <c r="A6" s="359"/>
      <c r="B6" s="360"/>
      <c r="C6" s="3834" t="s">
        <v>1919</v>
      </c>
      <c r="D6" s="3835"/>
      <c r="E6" s="3836" t="s">
        <v>1919</v>
      </c>
      <c r="F6" s="3837"/>
      <c r="G6" s="3834" t="s">
        <v>1919</v>
      </c>
      <c r="H6" s="3835"/>
      <c r="I6" s="3834" t="s">
        <v>1919</v>
      </c>
      <c r="J6" s="3835"/>
      <c r="K6" s="558" t="s">
        <v>1678</v>
      </c>
      <c r="L6" s="2709"/>
      <c r="M6" s="2710"/>
      <c r="N6" s="2710"/>
      <c r="O6" s="2710"/>
      <c r="P6" s="3778"/>
      <c r="Q6" s="3750"/>
      <c r="R6" s="3726"/>
      <c r="S6" s="3727"/>
      <c r="T6" s="3751"/>
      <c r="U6" s="3752"/>
      <c r="V6" s="3754"/>
      <c r="W6" s="3754"/>
      <c r="X6" s="1353"/>
      <c r="Y6" s="3751"/>
      <c r="Z6" s="3752"/>
      <c r="AA6" s="3721"/>
      <c r="AB6" s="3721"/>
      <c r="AC6" s="3721"/>
    </row>
    <row r="7" spans="1:29" s="107" customFormat="1" ht="15.75" thickBot="1">
      <c r="A7" s="361" t="s">
        <v>1679</v>
      </c>
      <c r="B7" s="362"/>
      <c r="C7" s="363">
        <f>'数据-取费表'!B2</f>
        <v>45896</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22" t="s">
        <v>1680</v>
      </c>
      <c r="Q7" s="3756"/>
      <c r="R7" s="699" t="s">
        <v>14</v>
      </c>
      <c r="S7" s="700">
        <f t="shared" ref="S7:S15" si="0">F7</f>
        <v>0</v>
      </c>
      <c r="T7" s="699" t="s">
        <v>14</v>
      </c>
      <c r="U7" s="700">
        <f t="shared" ref="U7:U15" si="1">H7</f>
        <v>0</v>
      </c>
      <c r="V7" s="699" t="s">
        <v>14</v>
      </c>
      <c r="W7" s="700">
        <f t="shared" ref="W7:W15" si="2">J7</f>
        <v>0</v>
      </c>
      <c r="X7" s="701"/>
      <c r="Y7" s="3722" t="s">
        <v>1680</v>
      </c>
      <c r="Z7" s="3723"/>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22" t="s">
        <v>1683</v>
      </c>
      <c r="Q8" s="3723"/>
      <c r="R8" s="699" t="s">
        <v>14</v>
      </c>
      <c r="S8" s="700">
        <f t="shared" si="0"/>
        <v>0</v>
      </c>
      <c r="T8" s="699" t="s">
        <v>14</v>
      </c>
      <c r="U8" s="700">
        <f t="shared" si="1"/>
        <v>0</v>
      </c>
      <c r="V8" s="699" t="s">
        <v>14</v>
      </c>
      <c r="W8" s="700">
        <f t="shared" si="2"/>
        <v>0</v>
      </c>
      <c r="X8" s="701"/>
      <c r="Y8" s="3722" t="s">
        <v>1683</v>
      </c>
      <c r="Z8" s="3723"/>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66" t="s">
        <v>1686</v>
      </c>
      <c r="Q9" s="1341" t="str">
        <f t="shared" ref="Q9:Q15" si="6">B9</f>
        <v>用途</v>
      </c>
      <c r="R9" s="699" t="s">
        <v>14</v>
      </c>
      <c r="S9" s="700">
        <f t="shared" si="0"/>
        <v>100</v>
      </c>
      <c r="T9" s="699" t="s">
        <v>14</v>
      </c>
      <c r="U9" s="700">
        <f t="shared" si="1"/>
        <v>100</v>
      </c>
      <c r="V9" s="699" t="s">
        <v>14</v>
      </c>
      <c r="W9" s="700">
        <f t="shared" si="2"/>
        <v>100</v>
      </c>
      <c r="X9" s="701"/>
      <c r="Y9" s="3688"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158</v>
      </c>
      <c r="G10" s="382"/>
      <c r="H10" s="126">
        <f>ROUND(100/'数据-取费表'!G16,0)</f>
        <v>158</v>
      </c>
      <c r="I10" s="382"/>
      <c r="J10" s="126">
        <f>ROUND(100/'数据-取费表'!G16,0)</f>
        <v>158</v>
      </c>
      <c r="K10" s="619"/>
      <c r="L10" s="2713"/>
      <c r="M10" s="2714"/>
      <c r="N10" s="2714"/>
      <c r="O10" s="2767"/>
      <c r="P10" s="3766"/>
      <c r="Q10" s="1341" t="str">
        <f t="shared" si="6"/>
        <v>土地使用年限（年）</v>
      </c>
      <c r="R10" s="699" t="s">
        <v>14</v>
      </c>
      <c r="S10" s="700">
        <f t="shared" si="0"/>
        <v>158</v>
      </c>
      <c r="T10" s="699" t="s">
        <v>14</v>
      </c>
      <c r="U10" s="700">
        <f t="shared" si="1"/>
        <v>158</v>
      </c>
      <c r="V10" s="699" t="s">
        <v>14</v>
      </c>
      <c r="W10" s="700">
        <f t="shared" si="2"/>
        <v>158</v>
      </c>
      <c r="X10" s="701"/>
      <c r="Y10" s="3688"/>
      <c r="Z10" s="52" t="str">
        <f t="shared" si="7"/>
        <v>土地使用年限（年）</v>
      </c>
      <c r="AA10" s="702">
        <f t="shared" si="3"/>
        <v>0.63291139240506333</v>
      </c>
      <c r="AB10" s="702">
        <f t="shared" si="4"/>
        <v>0.63291139240506333</v>
      </c>
      <c r="AC10" s="702">
        <f t="shared" si="5"/>
        <v>0.63291139240506333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66"/>
      <c r="Q11" s="1341" t="str">
        <f t="shared" si="6"/>
        <v>容积率</v>
      </c>
      <c r="R11" s="699" t="s">
        <v>14</v>
      </c>
      <c r="S11" s="700" t="e">
        <f t="shared" si="0"/>
        <v>#N/A</v>
      </c>
      <c r="T11" s="699" t="s">
        <v>14</v>
      </c>
      <c r="U11" s="700" t="e">
        <f t="shared" si="1"/>
        <v>#N/A</v>
      </c>
      <c r="V11" s="699" t="s">
        <v>14</v>
      </c>
      <c r="W11" s="700" t="e">
        <f t="shared" si="2"/>
        <v>#N/A</v>
      </c>
      <c r="X11" s="701"/>
      <c r="Y11" s="3688"/>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66"/>
      <c r="Q12" s="1341">
        <f t="shared" si="6"/>
        <v>111</v>
      </c>
      <c r="R12" s="699" t="s">
        <v>14</v>
      </c>
      <c r="S12" s="700">
        <f t="shared" si="0"/>
        <v>100</v>
      </c>
      <c r="T12" s="699" t="s">
        <v>14</v>
      </c>
      <c r="U12" s="700">
        <f t="shared" si="1"/>
        <v>100</v>
      </c>
      <c r="V12" s="699" t="s">
        <v>14</v>
      </c>
      <c r="W12" s="700">
        <f t="shared" si="2"/>
        <v>100</v>
      </c>
      <c r="X12" s="701"/>
      <c r="Y12" s="3688"/>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66"/>
      <c r="Q13" s="1341">
        <f t="shared" si="6"/>
        <v>111</v>
      </c>
      <c r="R13" s="699" t="s">
        <v>14</v>
      </c>
      <c r="S13" s="700">
        <f t="shared" si="0"/>
        <v>100</v>
      </c>
      <c r="T13" s="699" t="s">
        <v>14</v>
      </c>
      <c r="U13" s="700">
        <f t="shared" si="1"/>
        <v>100</v>
      </c>
      <c r="V13" s="699" t="s">
        <v>14</v>
      </c>
      <c r="W13" s="700">
        <f t="shared" si="2"/>
        <v>100</v>
      </c>
      <c r="X13" s="701"/>
      <c r="Y13" s="3688"/>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66"/>
      <c r="Q14" s="1341">
        <f t="shared" si="6"/>
        <v>111</v>
      </c>
      <c r="R14" s="699" t="s">
        <v>14</v>
      </c>
      <c r="S14" s="700">
        <f t="shared" si="0"/>
        <v>100</v>
      </c>
      <c r="T14" s="699" t="s">
        <v>14</v>
      </c>
      <c r="U14" s="700">
        <f t="shared" si="1"/>
        <v>100</v>
      </c>
      <c r="V14" s="699" t="s">
        <v>14</v>
      </c>
      <c r="W14" s="700">
        <f t="shared" si="2"/>
        <v>100</v>
      </c>
      <c r="X14" s="701"/>
      <c r="Y14" s="3688"/>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59" t="s">
        <v>1691</v>
      </c>
      <c r="Q15" s="1350" t="str">
        <f t="shared" si="6"/>
        <v>产业集聚程度</v>
      </c>
      <c r="R15" s="703" t="s">
        <v>14</v>
      </c>
      <c r="S15" s="704">
        <f t="shared" si="0"/>
        <v>100</v>
      </c>
      <c r="T15" s="703" t="s">
        <v>14</v>
      </c>
      <c r="U15" s="704">
        <f t="shared" si="1"/>
        <v>100</v>
      </c>
      <c r="V15" s="703" t="s">
        <v>14</v>
      </c>
      <c r="W15" s="704">
        <f t="shared" si="2"/>
        <v>100</v>
      </c>
      <c r="X15" s="1353"/>
      <c r="Y15" s="3759"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60"/>
      <c r="Q16" s="1350"/>
      <c r="R16" s="703"/>
      <c r="S16" s="704"/>
      <c r="T16" s="703"/>
      <c r="U16" s="704"/>
      <c r="V16" s="703"/>
      <c r="W16" s="704"/>
      <c r="X16" s="1353"/>
      <c r="Y16" s="3760"/>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60"/>
      <c r="Q17" s="1350" t="str">
        <f>B17</f>
        <v>交通便捷度</v>
      </c>
      <c r="R17" s="703" t="s">
        <v>14</v>
      </c>
      <c r="S17" s="704">
        <f>F17</f>
        <v>100</v>
      </c>
      <c r="T17" s="703" t="s">
        <v>14</v>
      </c>
      <c r="U17" s="704">
        <f>H17</f>
        <v>100</v>
      </c>
      <c r="V17" s="703" t="s">
        <v>14</v>
      </c>
      <c r="W17" s="704">
        <f>J17</f>
        <v>100</v>
      </c>
      <c r="X17" s="1353"/>
      <c r="Y17" s="3760"/>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60"/>
      <c r="Q18" s="1350"/>
      <c r="R18" s="703"/>
      <c r="S18" s="704"/>
      <c r="T18" s="703"/>
      <c r="U18" s="704"/>
      <c r="V18" s="703"/>
      <c r="W18" s="704"/>
      <c r="X18" s="1353"/>
      <c r="Y18" s="3760"/>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60"/>
      <c r="Q19" s="1350" t="str">
        <f t="shared" ref="Q19:Q33" si="8">B19</f>
        <v>区域土地利用方向</v>
      </c>
      <c r="R19" s="703" t="s">
        <v>14</v>
      </c>
      <c r="S19" s="704">
        <f>F19</f>
        <v>100</v>
      </c>
      <c r="T19" s="703" t="s">
        <v>14</v>
      </c>
      <c r="U19" s="704">
        <f>H19</f>
        <v>100</v>
      </c>
      <c r="V19" s="703" t="s">
        <v>14</v>
      </c>
      <c r="W19" s="704">
        <f>J19</f>
        <v>100</v>
      </c>
      <c r="X19" s="1353"/>
      <c r="Y19" s="3760"/>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60"/>
      <c r="Q20" s="1350"/>
      <c r="R20" s="703"/>
      <c r="S20" s="704"/>
      <c r="T20" s="703"/>
      <c r="U20" s="704"/>
      <c r="V20" s="703"/>
      <c r="W20" s="704"/>
      <c r="X20" s="1353"/>
      <c r="Y20" s="3760"/>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60"/>
      <c r="Q21" s="1350" t="str">
        <f t="shared" si="8"/>
        <v>环境状况</v>
      </c>
      <c r="R21" s="703" t="s">
        <v>14</v>
      </c>
      <c r="S21" s="704">
        <f>F21</f>
        <v>100</v>
      </c>
      <c r="T21" s="703" t="s">
        <v>14</v>
      </c>
      <c r="U21" s="704">
        <f>H21</f>
        <v>100</v>
      </c>
      <c r="V21" s="703" t="s">
        <v>14</v>
      </c>
      <c r="W21" s="704">
        <f>J21</f>
        <v>100</v>
      </c>
      <c r="X21" s="1353"/>
      <c r="Y21" s="3760"/>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60"/>
      <c r="Q22" s="1350"/>
      <c r="R22" s="703"/>
      <c r="S22" s="704"/>
      <c r="T22" s="703"/>
      <c r="U22" s="704"/>
      <c r="V22" s="703"/>
      <c r="W22" s="704"/>
      <c r="X22" s="1353"/>
      <c r="Y22" s="3760"/>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60"/>
      <c r="Q23" s="1341" t="str">
        <f t="shared" si="8"/>
        <v>公共配套设施</v>
      </c>
      <c r="R23" s="699" t="s">
        <v>14</v>
      </c>
      <c r="S23" s="700">
        <f>F23</f>
        <v>100</v>
      </c>
      <c r="T23" s="699" t="s">
        <v>14</v>
      </c>
      <c r="U23" s="700">
        <f>H23</f>
        <v>100</v>
      </c>
      <c r="V23" s="699" t="s">
        <v>14</v>
      </c>
      <c r="W23" s="700">
        <f>J23</f>
        <v>100</v>
      </c>
      <c r="X23" s="701"/>
      <c r="Y23" s="3760"/>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60"/>
      <c r="Q24" s="1341"/>
      <c r="R24" s="699"/>
      <c r="S24" s="700"/>
      <c r="T24" s="699"/>
      <c r="U24" s="700"/>
      <c r="V24" s="699"/>
      <c r="W24" s="700"/>
      <c r="X24" s="701"/>
      <c r="Y24" s="3760"/>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60"/>
      <c r="Q25" s="1341" t="str">
        <f t="shared" ref="Q25" si="9">B25</f>
        <v>基础设施水平</v>
      </c>
      <c r="R25" s="699" t="s">
        <v>14</v>
      </c>
      <c r="S25" s="700">
        <f>F25</f>
        <v>100</v>
      </c>
      <c r="T25" s="699" t="s">
        <v>14</v>
      </c>
      <c r="U25" s="700">
        <f>H25</f>
        <v>100</v>
      </c>
      <c r="V25" s="699" t="s">
        <v>14</v>
      </c>
      <c r="W25" s="700">
        <f>J25</f>
        <v>100</v>
      </c>
      <c r="X25" s="701"/>
      <c r="Y25" s="3760"/>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60"/>
      <c r="Q26" s="1341"/>
      <c r="R26" s="699"/>
      <c r="S26" s="700"/>
      <c r="T26" s="699"/>
      <c r="U26" s="700"/>
      <c r="V26" s="699"/>
      <c r="W26" s="700"/>
      <c r="X26" s="701"/>
      <c r="Y26" s="3760"/>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6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60"/>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60"/>
      <c r="Q28" s="1350" t="str">
        <f t="shared" si="8"/>
        <v>毗邻道路的类型与等级</v>
      </c>
      <c r="R28" s="703" t="s">
        <v>14</v>
      </c>
      <c r="S28" s="704">
        <f t="shared" si="10"/>
        <v>100</v>
      </c>
      <c r="T28" s="703" t="s">
        <v>14</v>
      </c>
      <c r="U28" s="704">
        <f t="shared" si="11"/>
        <v>100</v>
      </c>
      <c r="V28" s="703" t="s">
        <v>14</v>
      </c>
      <c r="W28" s="704">
        <f t="shared" si="12"/>
        <v>100</v>
      </c>
      <c r="X28" s="1353"/>
      <c r="Y28" s="3760"/>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60"/>
      <c r="Q29" s="1350"/>
      <c r="R29" s="703"/>
      <c r="S29" s="704"/>
      <c r="T29" s="703"/>
      <c r="U29" s="704"/>
      <c r="V29" s="703"/>
      <c r="W29" s="704"/>
      <c r="X29" s="1353"/>
      <c r="Y29" s="3760"/>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60"/>
      <c r="Q30" s="1350" t="str">
        <f t="shared" si="8"/>
        <v>土地级别</v>
      </c>
      <c r="R30" s="703" t="s">
        <v>14</v>
      </c>
      <c r="S30" s="704">
        <f t="shared" si="10"/>
        <v>100</v>
      </c>
      <c r="T30" s="703" t="s">
        <v>14</v>
      </c>
      <c r="U30" s="704">
        <f t="shared" si="11"/>
        <v>100</v>
      </c>
      <c r="V30" s="703" t="s">
        <v>14</v>
      </c>
      <c r="W30" s="704">
        <f t="shared" si="12"/>
        <v>100</v>
      </c>
      <c r="X30" s="1353"/>
      <c r="Y30" s="3760"/>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60"/>
      <c r="Q31" s="1350">
        <f t="shared" si="8"/>
        <v>111</v>
      </c>
      <c r="R31" s="703" t="s">
        <v>14</v>
      </c>
      <c r="S31" s="704">
        <f t="shared" si="10"/>
        <v>100</v>
      </c>
      <c r="T31" s="703" t="s">
        <v>14</v>
      </c>
      <c r="U31" s="704">
        <f t="shared" si="11"/>
        <v>100</v>
      </c>
      <c r="V31" s="703" t="s">
        <v>14</v>
      </c>
      <c r="W31" s="704">
        <f t="shared" si="12"/>
        <v>100</v>
      </c>
      <c r="X31" s="1353"/>
      <c r="Y31" s="3760"/>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9" t="s">
        <v>1696</v>
      </c>
      <c r="Q32" s="1350">
        <f t="shared" si="8"/>
        <v>111</v>
      </c>
      <c r="R32" s="703" t="s">
        <v>14</v>
      </c>
      <c r="S32" s="704">
        <f t="shared" si="10"/>
        <v>100</v>
      </c>
      <c r="T32" s="703" t="s">
        <v>14</v>
      </c>
      <c r="U32" s="704">
        <f t="shared" si="11"/>
        <v>100</v>
      </c>
      <c r="V32" s="703" t="s">
        <v>14</v>
      </c>
      <c r="W32" s="704">
        <f t="shared" si="12"/>
        <v>100</v>
      </c>
      <c r="X32" s="1353"/>
      <c r="Y32" s="3764"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64"/>
      <c r="Q33" s="1350">
        <f t="shared" si="8"/>
        <v>111</v>
      </c>
      <c r="R33" s="706" t="s">
        <v>14</v>
      </c>
      <c r="S33" s="707">
        <f t="shared" si="10"/>
        <v>100</v>
      </c>
      <c r="T33" s="706" t="s">
        <v>14</v>
      </c>
      <c r="U33" s="707">
        <f t="shared" si="11"/>
        <v>100</v>
      </c>
      <c r="V33" s="706" t="s">
        <v>14</v>
      </c>
      <c r="W33" s="707">
        <f t="shared" si="12"/>
        <v>100</v>
      </c>
      <c r="X33" s="708"/>
      <c r="Y33" s="3764"/>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64"/>
      <c r="Q34" s="1350" t="str">
        <f>B34</f>
        <v>宗地面积</v>
      </c>
      <c r="R34" s="703" t="s">
        <v>14</v>
      </c>
      <c r="S34" s="704" t="e">
        <f t="shared" si="10"/>
        <v>#N/A</v>
      </c>
      <c r="T34" s="703" t="s">
        <v>14</v>
      </c>
      <c r="U34" s="704" t="e">
        <f t="shared" si="11"/>
        <v>#N/A</v>
      </c>
      <c r="V34" s="703" t="s">
        <v>14</v>
      </c>
      <c r="W34" s="704" t="e">
        <f t="shared" si="12"/>
        <v>#N/A</v>
      </c>
      <c r="X34" s="1353"/>
      <c r="Y34" s="3764"/>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64"/>
      <c r="Q35" s="1350" t="str">
        <f t="shared" ref="Q35:Q40" si="14">B35</f>
        <v>宗地形状</v>
      </c>
      <c r="R35" s="703" t="s">
        <v>14</v>
      </c>
      <c r="S35" s="704">
        <f t="shared" si="10"/>
        <v>100</v>
      </c>
      <c r="T35" s="703" t="s">
        <v>14</v>
      </c>
      <c r="U35" s="704">
        <f t="shared" si="11"/>
        <v>100</v>
      </c>
      <c r="V35" s="703" t="s">
        <v>14</v>
      </c>
      <c r="W35" s="704">
        <f t="shared" si="12"/>
        <v>100</v>
      </c>
      <c r="X35" s="1353"/>
      <c r="Y35" s="3764"/>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64"/>
      <c r="Q36" s="1350" t="str">
        <f t="shared" si="14"/>
        <v>宗地开发程度</v>
      </c>
      <c r="R36" s="699" t="s">
        <v>14</v>
      </c>
      <c r="S36" s="700">
        <f t="shared" si="10"/>
        <v>100</v>
      </c>
      <c r="T36" s="699" t="s">
        <v>14</v>
      </c>
      <c r="U36" s="700">
        <f t="shared" si="11"/>
        <v>100</v>
      </c>
      <c r="V36" s="699" t="s">
        <v>14</v>
      </c>
      <c r="W36" s="700">
        <f t="shared" si="12"/>
        <v>100</v>
      </c>
      <c r="X36" s="701"/>
      <c r="Y36" s="3764"/>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64" t="s">
        <v>1696</v>
      </c>
      <c r="Q37" s="1350" t="str">
        <f t="shared" si="14"/>
        <v>工程地质条件</v>
      </c>
      <c r="R37" s="703" t="s">
        <v>14</v>
      </c>
      <c r="S37" s="704">
        <f t="shared" si="10"/>
        <v>100</v>
      </c>
      <c r="T37" s="703" t="s">
        <v>14</v>
      </c>
      <c r="U37" s="704">
        <f t="shared" si="11"/>
        <v>100</v>
      </c>
      <c r="V37" s="703" t="s">
        <v>14</v>
      </c>
      <c r="W37" s="704">
        <f t="shared" si="12"/>
        <v>100</v>
      </c>
      <c r="X37" s="1353"/>
      <c r="Y37" s="3764"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64"/>
      <c r="Q38" s="1350">
        <f t="shared" si="14"/>
        <v>111</v>
      </c>
      <c r="R38" s="703" t="s">
        <v>14</v>
      </c>
      <c r="S38" s="704">
        <f t="shared" si="10"/>
        <v>100</v>
      </c>
      <c r="T38" s="703" t="s">
        <v>14</v>
      </c>
      <c r="U38" s="704">
        <f t="shared" si="11"/>
        <v>100</v>
      </c>
      <c r="V38" s="703" t="s">
        <v>14</v>
      </c>
      <c r="W38" s="704">
        <f t="shared" si="12"/>
        <v>100</v>
      </c>
      <c r="X38" s="1353"/>
      <c r="Y38" s="3764"/>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64"/>
      <c r="Q39" s="1350">
        <f t="shared" si="14"/>
        <v>111</v>
      </c>
      <c r="R39" s="703" t="s">
        <v>14</v>
      </c>
      <c r="S39" s="704">
        <f t="shared" si="10"/>
        <v>100</v>
      </c>
      <c r="T39" s="703" t="s">
        <v>14</v>
      </c>
      <c r="U39" s="704">
        <f t="shared" si="11"/>
        <v>100</v>
      </c>
      <c r="V39" s="703" t="s">
        <v>14</v>
      </c>
      <c r="W39" s="704">
        <f t="shared" si="12"/>
        <v>100</v>
      </c>
      <c r="X39" s="1353"/>
      <c r="Y39" s="3764"/>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64"/>
      <c r="Q40" s="1350">
        <f t="shared" si="14"/>
        <v>111</v>
      </c>
      <c r="R40" s="706" t="s">
        <v>14</v>
      </c>
      <c r="S40" s="707">
        <f t="shared" si="10"/>
        <v>100</v>
      </c>
      <c r="T40" s="706" t="s">
        <v>14</v>
      </c>
      <c r="U40" s="707">
        <f t="shared" si="11"/>
        <v>100</v>
      </c>
      <c r="V40" s="706" t="s">
        <v>14</v>
      </c>
      <c r="W40" s="707">
        <f t="shared" si="12"/>
        <v>100</v>
      </c>
      <c r="X40" s="708"/>
      <c r="Y40" s="3764"/>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66" t="str">
        <f>A41</f>
        <v>成交单价</v>
      </c>
      <c r="Q41" s="3766"/>
      <c r="R41" s="3754">
        <f>E41</f>
        <v>0</v>
      </c>
      <c r="S41" s="3754"/>
      <c r="T41" s="3754">
        <f>G41</f>
        <v>0</v>
      </c>
      <c r="U41" s="3754"/>
      <c r="V41" s="3754">
        <f>I41</f>
        <v>0</v>
      </c>
      <c r="W41" s="3754"/>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66" t="str">
        <f>A42</f>
        <v>比较价值（元/平方米）</v>
      </c>
      <c r="Q42" s="3766"/>
      <c r="R42" s="3831" t="e">
        <f>ROUND(PRODUCT(R41,AA7:AA40),0)</f>
        <v>#DIV/0!</v>
      </c>
      <c r="S42" s="3831"/>
      <c r="T42" s="3831" t="e">
        <f>ROUND(PRODUCT(T41,AB7:AB40),0)</f>
        <v>#DIV/0!</v>
      </c>
      <c r="U42" s="3831"/>
      <c r="V42" s="3831" t="e">
        <f>ROUND(PRODUCT(V41,AC7:AC40),0)</f>
        <v>#DIV/0!</v>
      </c>
      <c r="W42" s="3831"/>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79" t="str">
        <f>A43</f>
        <v>估价对象XX用房的比较价值（楼面单价，元/平方米）</v>
      </c>
      <c r="Q43" s="3780"/>
      <c r="R43" s="3832" t="e">
        <f>ROUND(IF(D42="简单平均",AVERAGE(R42:W42),R42*F42+T42*H42+V42*J42),0)</f>
        <v>#DIV/0!</v>
      </c>
      <c r="S43" s="3832"/>
      <c r="T43" s="3832"/>
      <c r="U43" s="3832"/>
      <c r="V43" s="3832"/>
      <c r="W43" s="3832"/>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41" t="s">
        <v>1887</v>
      </c>
      <c r="H50" s="3833"/>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2678.5</v>
      </c>
      <c r="F51" s="638" t="e">
        <f t="shared" ref="F51:F60" si="15">ROUND(B51*E51/10000,0)</f>
        <v>#DIV/0!</v>
      </c>
      <c r="G51" s="3737"/>
      <c r="H51" s="376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v>
      </c>
      <c r="D52" s="943">
        <v>0.25</v>
      </c>
      <c r="E52" s="641"/>
      <c r="F52" s="638" t="e">
        <f t="shared" si="15"/>
        <v>#DIV/0!</v>
      </c>
      <c r="G52" s="2999"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v>
      </c>
      <c r="D53" s="943">
        <v>0.25</v>
      </c>
      <c r="E53" s="641"/>
      <c r="F53" s="638" t="e">
        <f t="shared" si="15"/>
        <v>#DIV/0!</v>
      </c>
      <c r="G53" s="3000"/>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v>
      </c>
      <c r="D54" s="943">
        <v>0.25</v>
      </c>
      <c r="E54" s="641"/>
      <c r="F54" s="638" t="e">
        <f t="shared" si="15"/>
        <v>#DIV/0!</v>
      </c>
      <c r="G54" s="3000"/>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2025-8-1</v>
      </c>
      <c r="D63" s="690">
        <f>EDATE(C63,-3)</f>
        <v>45778</v>
      </c>
      <c r="E63" s="690">
        <f>EDATE(D63,-3)</f>
        <v>45689</v>
      </c>
      <c r="F63" s="690">
        <f t="shared" ref="F63:O63" si="18">EDATE(E63,-3)</f>
        <v>45597</v>
      </c>
      <c r="G63" s="690">
        <f t="shared" si="18"/>
        <v>45505</v>
      </c>
      <c r="H63" s="690">
        <f t="shared" si="18"/>
        <v>45413</v>
      </c>
      <c r="I63" s="690">
        <f t="shared" si="18"/>
        <v>45323</v>
      </c>
      <c r="J63" s="690">
        <f t="shared" si="18"/>
        <v>45231</v>
      </c>
      <c r="K63" s="690">
        <f t="shared" si="18"/>
        <v>45139</v>
      </c>
      <c r="L63" s="690">
        <f t="shared" si="18"/>
        <v>45047</v>
      </c>
      <c r="M63" s="690">
        <f t="shared" si="18"/>
        <v>44958</v>
      </c>
      <c r="N63" s="690">
        <f t="shared" si="18"/>
        <v>44866</v>
      </c>
      <c r="O63" s="690">
        <f t="shared" si="18"/>
        <v>44774</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1" t="s">
        <v>2084</v>
      </c>
      <c r="D1" s="3842"/>
      <c r="E1" s="3842"/>
      <c r="F1" s="3842"/>
      <c r="G1" s="3842"/>
      <c r="H1" s="3842"/>
      <c r="I1" s="3842"/>
      <c r="J1" s="3842"/>
      <c r="K1" s="3842"/>
      <c r="L1" s="3842"/>
      <c r="M1" s="3842"/>
      <c r="N1" s="3842"/>
      <c r="O1" s="3842"/>
      <c r="P1" s="3842"/>
      <c r="Q1" s="3842"/>
      <c r="R1" s="3842"/>
      <c r="S1" s="3843"/>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300</v>
      </c>
      <c r="F3" s="656">
        <v>500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98</v>
      </c>
      <c r="D4" s="987">
        <v>100</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36">
      <c r="A5" s="992"/>
      <c r="B5" s="3516" t="s">
        <v>3526</v>
      </c>
      <c r="C5" s="3521" t="s">
        <v>3528</v>
      </c>
      <c r="D5" s="993"/>
      <c r="E5" s="3522" t="s">
        <v>3531</v>
      </c>
      <c r="F5" s="1310" t="s">
        <v>3532</v>
      </c>
      <c r="G5" s="3523" t="s">
        <v>3534</v>
      </c>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4" t="s">
        <v>3535</v>
      </c>
      <c r="C7" s="3525" t="s">
        <v>3536</v>
      </c>
      <c r="D7" s="3526" t="s">
        <v>3538</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8">D8-$T7</f>
        <v>40</v>
      </c>
      <c r="F8" s="1314">
        <f t="shared" si="8"/>
        <v>10</v>
      </c>
      <c r="G8" s="1314">
        <f t="shared" si="8"/>
        <v>-20</v>
      </c>
      <c r="H8" s="1314">
        <f t="shared" si="8"/>
        <v>-50</v>
      </c>
      <c r="I8" s="1314">
        <f t="shared" si="8"/>
        <v>-80</v>
      </c>
      <c r="J8" s="1314">
        <f t="shared" si="8"/>
        <v>-110</v>
      </c>
      <c r="K8" s="1314">
        <f t="shared" si="8"/>
        <v>-140</v>
      </c>
      <c r="L8" s="1314">
        <f t="shared" si="8"/>
        <v>-170</v>
      </c>
      <c r="M8" s="1314">
        <f t="shared" si="8"/>
        <v>-200</v>
      </c>
      <c r="N8" s="1314">
        <f t="shared" si="8"/>
        <v>-230</v>
      </c>
      <c r="O8" s="1314">
        <f t="shared" si="8"/>
        <v>-260</v>
      </c>
      <c r="P8" s="1314">
        <f t="shared" si="8"/>
        <v>-290</v>
      </c>
      <c r="Q8" s="1314">
        <f t="shared" si="8"/>
        <v>-320</v>
      </c>
      <c r="R8" s="1314">
        <f t="shared" si="8"/>
        <v>-350</v>
      </c>
      <c r="S8" s="1314">
        <f t="shared" si="8"/>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地下1-1层</v>
      </c>
      <c r="E17" s="1008" t="str">
        <f>'比较法-商业'!E92</f>
        <v>2层</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140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0</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t="e">
        <f ca="1">ROUND(B20*10000/B22,0)</f>
        <v>#DIV/0!</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0</v>
      </c>
      <c r="C22" s="3838" t="s">
        <v>27</v>
      </c>
      <c r="D22" s="3839"/>
      <c r="E22" s="3839"/>
      <c r="F22" s="3839"/>
      <c r="G22" s="3839"/>
      <c r="H22" s="3839"/>
      <c r="I22" s="3839"/>
      <c r="J22" s="3839"/>
      <c r="K22" s="3839"/>
      <c r="L22" s="3839"/>
      <c r="M22" s="3839"/>
      <c r="N22" s="3839"/>
      <c r="O22" s="3839"/>
      <c r="P22" s="3839"/>
      <c r="Q22" s="3840"/>
      <c r="R22" s="661"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f>项目!Q4</f>
        <v>0</v>
      </c>
      <c r="B24" s="663">
        <f>项目!S4</f>
        <v>0</v>
      </c>
      <c r="C24" s="2804">
        <v>1</v>
      </c>
      <c r="D24" s="2805" t="s">
        <v>3527</v>
      </c>
      <c r="E24" s="2804">
        <v>1</v>
      </c>
      <c r="F24" s="2805" t="s">
        <v>3537</v>
      </c>
      <c r="G24" s="2804">
        <v>1</v>
      </c>
      <c r="H24" s="2805"/>
      <c r="I24" s="2804">
        <v>1</v>
      </c>
      <c r="J24" s="2805"/>
      <c r="K24" s="2804">
        <v>1</v>
      </c>
      <c r="L24" s="2805"/>
      <c r="M24" s="2804">
        <v>1</v>
      </c>
      <c r="N24" s="2805"/>
      <c r="O24" s="2804">
        <v>1</v>
      </c>
      <c r="P24" s="2805"/>
      <c r="Q24" s="2804">
        <v>1</v>
      </c>
      <c r="R24" s="666">
        <f ca="1">结果表!G20</f>
        <v>19160</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f>项目!Q2</f>
        <v>0</v>
      </c>
      <c r="B25" s="54">
        <f>项目!S2</f>
        <v>0</v>
      </c>
      <c r="C25" s="21">
        <f>IF(B25="",1,(LOOKUP(B25,$3:$3,$4:$4)-LOOKUP($B$24,$3:$3,$4:$4)+100)/100)</f>
        <v>1</v>
      </c>
      <c r="D25" s="665" t="s">
        <v>3533</v>
      </c>
      <c r="E25" s="21">
        <f>(SUMIF($5:$5,D25,$6:$6)-SUMIF($5:$5,$D$24,$6:$6)+100)/100</f>
        <v>0.6</v>
      </c>
      <c r="F25" s="2805" t="s">
        <v>3537</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11496</v>
      </c>
      <c r="S25" s="315">
        <f t="shared" ca="1" si="11"/>
        <v>0</v>
      </c>
    </row>
    <row r="26" spans="1:45">
      <c r="A26" s="149">
        <f>项目!Q3</f>
        <v>0</v>
      </c>
      <c r="B26" s="54">
        <f>项目!S3</f>
        <v>0</v>
      </c>
      <c r="C26" s="21">
        <f t="shared" ref="C26:C89" si="12">IF(B26="",1,(LOOKUP(B26,$3:$3,$4:$4)-LOOKUP($B$24,$3:$3,$4:$4)+100)/100)</f>
        <v>1</v>
      </c>
      <c r="D26" s="665" t="s">
        <v>3530</v>
      </c>
      <c r="E26" s="21">
        <f t="shared" ref="E26:E89" si="13">(SUMIF($5:$5,D26,$6:$6)-SUMIF($5:$5,$D$24,$6:$6)+100)/100</f>
        <v>0.8</v>
      </c>
      <c r="F26" s="2805" t="s">
        <v>3537</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15328</v>
      </c>
      <c r="S26" s="315">
        <f t="shared" ca="1" si="11"/>
        <v>0</v>
      </c>
    </row>
    <row r="27" spans="1:45">
      <c r="A27" s="149">
        <f>项目!Q5</f>
        <v>0</v>
      </c>
      <c r="B27" s="54">
        <f>项目!S5</f>
        <v>0</v>
      </c>
      <c r="C27" s="21">
        <f t="shared" si="12"/>
        <v>1</v>
      </c>
      <c r="D27" s="665" t="s">
        <v>3530</v>
      </c>
      <c r="E27" s="21">
        <f t="shared" si="13"/>
        <v>0.8</v>
      </c>
      <c r="F27" s="2805" t="s">
        <v>3537</v>
      </c>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15328</v>
      </c>
      <c r="S27" s="315">
        <f t="shared" ca="1" si="11"/>
        <v>0</v>
      </c>
    </row>
    <row r="28" spans="1:45">
      <c r="A28" s="149">
        <f>项目!Q6</f>
        <v>0</v>
      </c>
      <c r="B28" s="54">
        <f>项目!S6</f>
        <v>0</v>
      </c>
      <c r="C28" s="21">
        <f t="shared" si="12"/>
        <v>1</v>
      </c>
      <c r="D28" s="665" t="s">
        <v>3530</v>
      </c>
      <c r="E28" s="21">
        <f t="shared" si="13"/>
        <v>0.8</v>
      </c>
      <c r="F28" s="2805" t="s">
        <v>3537</v>
      </c>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15328</v>
      </c>
      <c r="S28" s="315">
        <f t="shared" ca="1" si="11"/>
        <v>0</v>
      </c>
    </row>
    <row r="29" spans="1:45">
      <c r="A29" s="149">
        <f>项目!Q7</f>
        <v>0</v>
      </c>
      <c r="B29" s="54">
        <f>项目!S7</f>
        <v>0</v>
      </c>
      <c r="C29" s="21">
        <f t="shared" si="12"/>
        <v>1</v>
      </c>
      <c r="D29" s="665" t="s">
        <v>3529</v>
      </c>
      <c r="E29" s="21">
        <f t="shared" si="13"/>
        <v>0.7</v>
      </c>
      <c r="F29" s="2805" t="s">
        <v>3537</v>
      </c>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13412</v>
      </c>
      <c r="S29" s="315">
        <f t="shared" ca="1" si="11"/>
        <v>0</v>
      </c>
    </row>
    <row r="30" spans="1:45">
      <c r="A30" s="149">
        <f>项目!Q8</f>
        <v>0</v>
      </c>
      <c r="B30" s="54">
        <f>项目!S8</f>
        <v>0</v>
      </c>
      <c r="C30" s="21">
        <f t="shared" si="12"/>
        <v>1</v>
      </c>
      <c r="D30" s="665" t="s">
        <v>3530</v>
      </c>
      <c r="E30" s="21">
        <f t="shared" si="13"/>
        <v>0.8</v>
      </c>
      <c r="F30" s="2805" t="s">
        <v>3537</v>
      </c>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15328</v>
      </c>
      <c r="S30" s="315">
        <f t="shared" ca="1" si="11"/>
        <v>0</v>
      </c>
    </row>
    <row r="31" spans="1:45">
      <c r="A31" s="149">
        <f>项目!Q9</f>
        <v>0</v>
      </c>
      <c r="B31" s="54">
        <f>项目!S9</f>
        <v>0</v>
      </c>
      <c r="C31" s="21">
        <f t="shared" si="12"/>
        <v>1</v>
      </c>
      <c r="D31" s="665" t="s">
        <v>3529</v>
      </c>
      <c r="E31" s="21">
        <f t="shared" si="13"/>
        <v>0.7</v>
      </c>
      <c r="F31" s="2805" t="s">
        <v>3537</v>
      </c>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13412</v>
      </c>
      <c r="S31" s="315">
        <f t="shared" ca="1" si="11"/>
        <v>0</v>
      </c>
    </row>
    <row r="32" spans="1:45">
      <c r="A32" s="149"/>
      <c r="B32" s="54"/>
      <c r="C32" s="21">
        <f t="shared" si="12"/>
        <v>1</v>
      </c>
      <c r="D32" s="665"/>
      <c r="E32" s="21">
        <f t="shared" si="13"/>
        <v>0</v>
      </c>
      <c r="F32" s="665"/>
      <c r="G32" s="21">
        <f t="shared" si="14"/>
        <v>0.3</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0</v>
      </c>
      <c r="F33" s="665"/>
      <c r="G33" s="21">
        <f t="shared" si="14"/>
        <v>0.3</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0</v>
      </c>
      <c r="F34" s="665"/>
      <c r="G34" s="21">
        <f t="shared" si="14"/>
        <v>0.3</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0</v>
      </c>
      <c r="F35" s="665"/>
      <c r="G35" s="21">
        <f t="shared" si="14"/>
        <v>0.3</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0</v>
      </c>
      <c r="F36" s="665"/>
      <c r="G36" s="21">
        <f t="shared" si="14"/>
        <v>0.3</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0</v>
      </c>
      <c r="F37" s="665"/>
      <c r="G37" s="21">
        <f t="shared" si="14"/>
        <v>0.3</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0</v>
      </c>
      <c r="F38" s="665"/>
      <c r="G38" s="21">
        <f t="shared" si="14"/>
        <v>0.3</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0</v>
      </c>
      <c r="F39" s="665"/>
      <c r="G39" s="21">
        <f t="shared" si="14"/>
        <v>0.3</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0</v>
      </c>
      <c r="F40" s="665"/>
      <c r="G40" s="21">
        <f t="shared" si="14"/>
        <v>0.3</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0</v>
      </c>
      <c r="F41" s="665"/>
      <c r="G41" s="21">
        <f t="shared" si="14"/>
        <v>0.3</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0</v>
      </c>
      <c r="F42" s="665"/>
      <c r="G42" s="21">
        <f t="shared" si="14"/>
        <v>0.3</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0</v>
      </c>
      <c r="F43" s="665"/>
      <c r="G43" s="21">
        <f t="shared" si="14"/>
        <v>0.3</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0</v>
      </c>
      <c r="F44" s="665"/>
      <c r="G44" s="21">
        <f t="shared" si="14"/>
        <v>0.3</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0</v>
      </c>
      <c r="F45" s="665"/>
      <c r="G45" s="21">
        <f t="shared" si="14"/>
        <v>0.3</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0</v>
      </c>
      <c r="F46" s="665"/>
      <c r="G46" s="21">
        <f t="shared" si="14"/>
        <v>0.3</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0</v>
      </c>
      <c r="F47" s="665"/>
      <c r="G47" s="21">
        <f t="shared" si="14"/>
        <v>0.3</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0</v>
      </c>
      <c r="F48" s="665"/>
      <c r="G48" s="21">
        <f t="shared" si="14"/>
        <v>0.3</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0</v>
      </c>
      <c r="F49" s="665"/>
      <c r="G49" s="21">
        <f t="shared" si="14"/>
        <v>0.3</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0</v>
      </c>
      <c r="F50" s="665"/>
      <c r="G50" s="21">
        <f t="shared" si="14"/>
        <v>0.3</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0</v>
      </c>
      <c r="F51" s="665"/>
      <c r="G51" s="21">
        <f t="shared" si="14"/>
        <v>0.3</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0</v>
      </c>
      <c r="F52" s="665"/>
      <c r="G52" s="21">
        <f t="shared" si="14"/>
        <v>0.3</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0</v>
      </c>
      <c r="F53" s="665"/>
      <c r="G53" s="21">
        <f t="shared" si="14"/>
        <v>0.3</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0</v>
      </c>
      <c r="F54" s="665"/>
      <c r="G54" s="21">
        <f t="shared" si="14"/>
        <v>0.3</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0</v>
      </c>
      <c r="F55" s="665"/>
      <c r="G55" s="21">
        <f t="shared" si="14"/>
        <v>0.3</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0</v>
      </c>
      <c r="F56" s="665"/>
      <c r="G56" s="21">
        <f t="shared" si="14"/>
        <v>0.3</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0</v>
      </c>
      <c r="F57" s="665"/>
      <c r="G57" s="21">
        <f t="shared" si="14"/>
        <v>0.3</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0</v>
      </c>
      <c r="F58" s="665"/>
      <c r="G58" s="21">
        <f t="shared" si="14"/>
        <v>0.3</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0</v>
      </c>
      <c r="F59" s="665"/>
      <c r="G59" s="21">
        <f t="shared" si="14"/>
        <v>0.3</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0</v>
      </c>
      <c r="F60" s="665"/>
      <c r="G60" s="21">
        <f t="shared" si="14"/>
        <v>0.3</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0</v>
      </c>
      <c r="F61" s="665"/>
      <c r="G61" s="21">
        <f t="shared" si="14"/>
        <v>0.3</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0</v>
      </c>
      <c r="F62" s="665"/>
      <c r="G62" s="21">
        <f t="shared" si="14"/>
        <v>0.3</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0</v>
      </c>
      <c r="F63" s="665"/>
      <c r="G63" s="21">
        <f t="shared" si="14"/>
        <v>0.3</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0</v>
      </c>
      <c r="F64" s="665"/>
      <c r="G64" s="21">
        <f t="shared" si="14"/>
        <v>0.3</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0</v>
      </c>
      <c r="F65" s="665"/>
      <c r="G65" s="21">
        <f t="shared" si="14"/>
        <v>0.3</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0</v>
      </c>
      <c r="F66" s="665"/>
      <c r="G66" s="21">
        <f t="shared" si="14"/>
        <v>0.3</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0</v>
      </c>
      <c r="F67" s="665"/>
      <c r="G67" s="21">
        <f t="shared" si="14"/>
        <v>0.3</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0</v>
      </c>
      <c r="F68" s="665"/>
      <c r="G68" s="21">
        <f t="shared" si="14"/>
        <v>0.3</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0</v>
      </c>
      <c r="F69" s="665"/>
      <c r="G69" s="21">
        <f t="shared" si="14"/>
        <v>0.3</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0</v>
      </c>
      <c r="F70" s="665"/>
      <c r="G70" s="21">
        <f t="shared" si="14"/>
        <v>0.3</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0</v>
      </c>
      <c r="F71" s="665"/>
      <c r="G71" s="21">
        <f t="shared" si="14"/>
        <v>0.3</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0</v>
      </c>
      <c r="F72" s="665"/>
      <c r="G72" s="21">
        <f t="shared" si="14"/>
        <v>0.3</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0</v>
      </c>
      <c r="F73" s="665"/>
      <c r="G73" s="21">
        <f t="shared" si="14"/>
        <v>0.3</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0</v>
      </c>
      <c r="F74" s="665"/>
      <c r="G74" s="21">
        <f t="shared" si="14"/>
        <v>0.3</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0</v>
      </c>
      <c r="F75" s="665"/>
      <c r="G75" s="21">
        <f t="shared" si="14"/>
        <v>0.3</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0</v>
      </c>
      <c r="F76" s="665"/>
      <c r="G76" s="21">
        <f t="shared" si="14"/>
        <v>0.3</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0</v>
      </c>
      <c r="F77" s="665"/>
      <c r="G77" s="21">
        <f t="shared" si="14"/>
        <v>0.3</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0</v>
      </c>
      <c r="F78" s="665"/>
      <c r="G78" s="21">
        <f t="shared" si="14"/>
        <v>0.3</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0</v>
      </c>
      <c r="F79" s="665"/>
      <c r="G79" s="21">
        <f t="shared" si="14"/>
        <v>0.3</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0</v>
      </c>
      <c r="F80" s="665"/>
      <c r="G80" s="21">
        <f t="shared" si="14"/>
        <v>0.3</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0</v>
      </c>
      <c r="F81" s="665"/>
      <c r="G81" s="21">
        <f t="shared" si="14"/>
        <v>0.3</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0</v>
      </c>
      <c r="F82" s="665"/>
      <c r="G82" s="21">
        <f t="shared" si="14"/>
        <v>0.3</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0</v>
      </c>
      <c r="F83" s="665"/>
      <c r="G83" s="21">
        <f t="shared" si="14"/>
        <v>0.3</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0</v>
      </c>
      <c r="F84" s="665"/>
      <c r="G84" s="21">
        <f t="shared" si="14"/>
        <v>0.3</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0</v>
      </c>
      <c r="F85" s="665"/>
      <c r="G85" s="21">
        <f t="shared" si="14"/>
        <v>0.3</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0</v>
      </c>
      <c r="F86" s="665"/>
      <c r="G86" s="21">
        <f t="shared" si="14"/>
        <v>0.3</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0</v>
      </c>
      <c r="F87" s="665"/>
      <c r="G87" s="21">
        <f t="shared" si="14"/>
        <v>0.3</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0</v>
      </c>
      <c r="F88" s="665"/>
      <c r="G88" s="21">
        <f t="shared" si="14"/>
        <v>0.3</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0</v>
      </c>
      <c r="F89" s="665"/>
      <c r="G89" s="21">
        <f t="shared" si="14"/>
        <v>0.3</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0</v>
      </c>
      <c r="F90" s="665"/>
      <c r="G90" s="21">
        <f t="shared" ref="G90:G153" si="25">(SUMIF($7:$7,F90,$8:$8)-SUMIF($7:$7,$F$24,$8:$8)+100)/100</f>
        <v>0.3</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0</v>
      </c>
      <c r="F91" s="665"/>
      <c r="G91" s="21">
        <f t="shared" si="25"/>
        <v>0.3</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0</v>
      </c>
      <c r="F92" s="665"/>
      <c r="G92" s="21">
        <f t="shared" si="25"/>
        <v>0.3</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0</v>
      </c>
      <c r="F93" s="665"/>
      <c r="G93" s="21">
        <f t="shared" si="25"/>
        <v>0.3</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0</v>
      </c>
      <c r="F94" s="665"/>
      <c r="G94" s="21">
        <f t="shared" si="25"/>
        <v>0.3</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0</v>
      </c>
      <c r="F95" s="665"/>
      <c r="G95" s="21">
        <f t="shared" si="25"/>
        <v>0.3</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0</v>
      </c>
      <c r="F96" s="665"/>
      <c r="G96" s="21">
        <f t="shared" si="25"/>
        <v>0.3</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0</v>
      </c>
      <c r="F97" s="665"/>
      <c r="G97" s="21">
        <f t="shared" si="25"/>
        <v>0.3</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0</v>
      </c>
      <c r="F98" s="665"/>
      <c r="G98" s="21">
        <f t="shared" si="25"/>
        <v>0.3</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0</v>
      </c>
      <c r="F99" s="665"/>
      <c r="G99" s="21">
        <f t="shared" si="25"/>
        <v>0.3</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0</v>
      </c>
      <c r="F100" s="665"/>
      <c r="G100" s="21">
        <f t="shared" si="25"/>
        <v>0.3</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0</v>
      </c>
      <c r="F101" s="665"/>
      <c r="G101" s="21">
        <f t="shared" si="25"/>
        <v>0.3</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0</v>
      </c>
      <c r="F102" s="665"/>
      <c r="G102" s="21">
        <f t="shared" si="25"/>
        <v>0.3</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0</v>
      </c>
      <c r="F103" s="665"/>
      <c r="G103" s="21">
        <f t="shared" si="25"/>
        <v>0.3</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0</v>
      </c>
      <c r="F104" s="665"/>
      <c r="G104" s="21">
        <f t="shared" si="25"/>
        <v>0.3</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0</v>
      </c>
      <c r="F105" s="665"/>
      <c r="G105" s="21">
        <f t="shared" si="25"/>
        <v>0.3</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0</v>
      </c>
      <c r="F106" s="665"/>
      <c r="G106" s="21">
        <f t="shared" si="25"/>
        <v>0.3</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0</v>
      </c>
      <c r="F107" s="665"/>
      <c r="G107" s="21">
        <f t="shared" si="25"/>
        <v>0.3</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0</v>
      </c>
      <c r="F108" s="665"/>
      <c r="G108" s="21">
        <f t="shared" si="25"/>
        <v>0.3</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0</v>
      </c>
      <c r="F109" s="665"/>
      <c r="G109" s="21">
        <f t="shared" si="25"/>
        <v>0.3</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0</v>
      </c>
      <c r="F110" s="665"/>
      <c r="G110" s="21">
        <f t="shared" si="25"/>
        <v>0.3</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0</v>
      </c>
      <c r="F111" s="665"/>
      <c r="G111" s="21">
        <f t="shared" si="25"/>
        <v>0.3</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0</v>
      </c>
      <c r="F112" s="665"/>
      <c r="G112" s="21">
        <f t="shared" si="25"/>
        <v>0.3</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0</v>
      </c>
      <c r="F113" s="665"/>
      <c r="G113" s="21">
        <f t="shared" si="25"/>
        <v>0.3</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0</v>
      </c>
      <c r="F114" s="665"/>
      <c r="G114" s="21">
        <f t="shared" si="25"/>
        <v>0.3</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0</v>
      </c>
      <c r="F115" s="665"/>
      <c r="G115" s="21">
        <f t="shared" si="25"/>
        <v>0.3</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0</v>
      </c>
      <c r="F116" s="665"/>
      <c r="G116" s="21">
        <f t="shared" si="25"/>
        <v>0.3</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0</v>
      </c>
      <c r="F117" s="665"/>
      <c r="G117" s="21">
        <f t="shared" si="25"/>
        <v>0.3</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0</v>
      </c>
      <c r="F118" s="665"/>
      <c r="G118" s="21">
        <f t="shared" si="25"/>
        <v>0.3</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0</v>
      </c>
      <c r="F119" s="665"/>
      <c r="G119" s="21">
        <f t="shared" si="25"/>
        <v>0.3</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0</v>
      </c>
      <c r="F120" s="665"/>
      <c r="G120" s="21">
        <f t="shared" si="25"/>
        <v>0.3</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0</v>
      </c>
      <c r="F121" s="665"/>
      <c r="G121" s="21">
        <f t="shared" si="25"/>
        <v>0.3</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0</v>
      </c>
      <c r="F122" s="665"/>
      <c r="G122" s="21">
        <f t="shared" si="25"/>
        <v>0.3</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0</v>
      </c>
      <c r="F123" s="665"/>
      <c r="G123" s="21">
        <f t="shared" si="25"/>
        <v>0.3</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0</v>
      </c>
      <c r="F124" s="665"/>
      <c r="G124" s="21">
        <f t="shared" si="25"/>
        <v>0.3</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0</v>
      </c>
      <c r="F125" s="665"/>
      <c r="G125" s="21">
        <f t="shared" si="25"/>
        <v>0.3</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0</v>
      </c>
      <c r="F126" s="665"/>
      <c r="G126" s="21">
        <f t="shared" si="25"/>
        <v>0.3</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0</v>
      </c>
      <c r="F127" s="665"/>
      <c r="G127" s="21">
        <f t="shared" si="25"/>
        <v>0.3</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0</v>
      </c>
      <c r="F128" s="665"/>
      <c r="G128" s="21">
        <f t="shared" si="25"/>
        <v>0.3</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0</v>
      </c>
      <c r="F129" s="665"/>
      <c r="G129" s="21">
        <f t="shared" si="25"/>
        <v>0.3</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0</v>
      </c>
      <c r="F130" s="665"/>
      <c r="G130" s="21">
        <f t="shared" si="25"/>
        <v>0.3</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0</v>
      </c>
      <c r="F131" s="665"/>
      <c r="G131" s="21">
        <f t="shared" si="25"/>
        <v>0.3</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0</v>
      </c>
      <c r="F132" s="665"/>
      <c r="G132" s="21">
        <f t="shared" si="25"/>
        <v>0.3</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0</v>
      </c>
      <c r="F133" s="665"/>
      <c r="G133" s="21">
        <f t="shared" si="25"/>
        <v>0.3</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0</v>
      </c>
      <c r="F134" s="665"/>
      <c r="G134" s="21">
        <f t="shared" si="25"/>
        <v>0.3</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0</v>
      </c>
      <c r="F135" s="665"/>
      <c r="G135" s="21">
        <f t="shared" si="25"/>
        <v>0.3</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0</v>
      </c>
      <c r="F136" s="665"/>
      <c r="G136" s="21">
        <f t="shared" si="25"/>
        <v>0.3</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0</v>
      </c>
      <c r="F137" s="665"/>
      <c r="G137" s="21">
        <f t="shared" si="25"/>
        <v>0.3</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0</v>
      </c>
      <c r="F138" s="665"/>
      <c r="G138" s="21">
        <f t="shared" si="25"/>
        <v>0.3</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0</v>
      </c>
      <c r="F139" s="665"/>
      <c r="G139" s="21">
        <f t="shared" si="25"/>
        <v>0.3</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0</v>
      </c>
      <c r="F140" s="665"/>
      <c r="G140" s="21">
        <f t="shared" si="25"/>
        <v>0.3</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0</v>
      </c>
      <c r="F141" s="665"/>
      <c r="G141" s="21">
        <f t="shared" si="25"/>
        <v>0.3</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0</v>
      </c>
      <c r="F142" s="665"/>
      <c r="G142" s="21">
        <f t="shared" si="25"/>
        <v>0.3</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0</v>
      </c>
      <c r="F143" s="665"/>
      <c r="G143" s="21">
        <f t="shared" si="25"/>
        <v>0.3</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0</v>
      </c>
      <c r="F144" s="665"/>
      <c r="G144" s="21">
        <f t="shared" si="25"/>
        <v>0.3</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0</v>
      </c>
      <c r="F145" s="665"/>
      <c r="G145" s="21">
        <f t="shared" si="25"/>
        <v>0.3</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0</v>
      </c>
      <c r="F146" s="665"/>
      <c r="G146" s="21">
        <f t="shared" si="25"/>
        <v>0.3</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0</v>
      </c>
      <c r="F147" s="665"/>
      <c r="G147" s="21">
        <f t="shared" si="25"/>
        <v>0.3</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0</v>
      </c>
      <c r="F148" s="665"/>
      <c r="G148" s="21">
        <f t="shared" si="25"/>
        <v>0.3</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0</v>
      </c>
      <c r="F149" s="665"/>
      <c r="G149" s="21">
        <f t="shared" si="25"/>
        <v>0.3</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0</v>
      </c>
      <c r="F150" s="665"/>
      <c r="G150" s="21">
        <f t="shared" si="25"/>
        <v>0.3</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0</v>
      </c>
      <c r="F151" s="665"/>
      <c r="G151" s="21">
        <f t="shared" si="25"/>
        <v>0.3</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0</v>
      </c>
      <c r="F152" s="665"/>
      <c r="G152" s="21">
        <f t="shared" si="25"/>
        <v>0.3</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0</v>
      </c>
      <c r="F153" s="665"/>
      <c r="G153" s="21">
        <f t="shared" si="25"/>
        <v>0.3</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0</v>
      </c>
      <c r="F154" s="665"/>
      <c r="G154" s="21">
        <f t="shared" ref="G154:G217" si="35">(SUMIF($7:$7,F154,$8:$8)-SUMIF($7:$7,$F$24,$8:$8)+100)/100</f>
        <v>0.3</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0</v>
      </c>
      <c r="F155" s="665"/>
      <c r="G155" s="21">
        <f t="shared" si="35"/>
        <v>0.3</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0</v>
      </c>
      <c r="F156" s="665"/>
      <c r="G156" s="21">
        <f t="shared" si="35"/>
        <v>0.3</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0</v>
      </c>
      <c r="F157" s="665"/>
      <c r="G157" s="21">
        <f t="shared" si="35"/>
        <v>0.3</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0</v>
      </c>
      <c r="F158" s="665"/>
      <c r="G158" s="21">
        <f t="shared" si="35"/>
        <v>0.3</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0</v>
      </c>
      <c r="F159" s="665"/>
      <c r="G159" s="21">
        <f t="shared" si="35"/>
        <v>0.3</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0</v>
      </c>
      <c r="F160" s="665"/>
      <c r="G160" s="21">
        <f t="shared" si="35"/>
        <v>0.3</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0</v>
      </c>
      <c r="F161" s="665"/>
      <c r="G161" s="21">
        <f t="shared" si="35"/>
        <v>0.3</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0</v>
      </c>
      <c r="F162" s="665"/>
      <c r="G162" s="21">
        <f t="shared" si="35"/>
        <v>0.3</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0</v>
      </c>
      <c r="F163" s="665"/>
      <c r="G163" s="21">
        <f t="shared" si="35"/>
        <v>0.3</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0</v>
      </c>
      <c r="F164" s="665"/>
      <c r="G164" s="21">
        <f t="shared" si="35"/>
        <v>0.3</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0</v>
      </c>
      <c r="F165" s="665"/>
      <c r="G165" s="21">
        <f t="shared" si="35"/>
        <v>0.3</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0</v>
      </c>
      <c r="F166" s="665"/>
      <c r="G166" s="21">
        <f t="shared" si="35"/>
        <v>0.3</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0</v>
      </c>
      <c r="F167" s="665"/>
      <c r="G167" s="21">
        <f t="shared" si="35"/>
        <v>0.3</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0</v>
      </c>
      <c r="F168" s="665"/>
      <c r="G168" s="21">
        <f t="shared" si="35"/>
        <v>0.3</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0</v>
      </c>
      <c r="F169" s="665"/>
      <c r="G169" s="21">
        <f t="shared" si="35"/>
        <v>0.3</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0</v>
      </c>
      <c r="F170" s="665"/>
      <c r="G170" s="21">
        <f t="shared" si="35"/>
        <v>0.3</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0</v>
      </c>
      <c r="F171" s="665"/>
      <c r="G171" s="21">
        <f t="shared" si="35"/>
        <v>0.3</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0</v>
      </c>
      <c r="F172" s="665"/>
      <c r="G172" s="21">
        <f t="shared" si="35"/>
        <v>0.3</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0</v>
      </c>
      <c r="F173" s="665"/>
      <c r="G173" s="21">
        <f t="shared" si="35"/>
        <v>0.3</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0</v>
      </c>
      <c r="F174" s="665"/>
      <c r="G174" s="21">
        <f t="shared" si="35"/>
        <v>0.3</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0</v>
      </c>
      <c r="F175" s="665"/>
      <c r="G175" s="21">
        <f t="shared" si="35"/>
        <v>0.3</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0</v>
      </c>
      <c r="F176" s="665"/>
      <c r="G176" s="21">
        <f t="shared" si="35"/>
        <v>0.3</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0</v>
      </c>
      <c r="F177" s="665"/>
      <c r="G177" s="21">
        <f t="shared" si="35"/>
        <v>0.3</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0</v>
      </c>
      <c r="F178" s="665"/>
      <c r="G178" s="21">
        <f t="shared" si="35"/>
        <v>0.3</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0</v>
      </c>
      <c r="F179" s="665"/>
      <c r="G179" s="21">
        <f t="shared" si="35"/>
        <v>0.3</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0</v>
      </c>
      <c r="F180" s="665"/>
      <c r="G180" s="21">
        <f t="shared" si="35"/>
        <v>0.3</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0</v>
      </c>
      <c r="F181" s="665"/>
      <c r="G181" s="21">
        <f t="shared" si="35"/>
        <v>0.3</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0</v>
      </c>
      <c r="F182" s="665"/>
      <c r="G182" s="21">
        <f t="shared" si="35"/>
        <v>0.3</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0</v>
      </c>
      <c r="F183" s="665"/>
      <c r="G183" s="21">
        <f t="shared" si="35"/>
        <v>0.3</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0</v>
      </c>
      <c r="F184" s="665"/>
      <c r="G184" s="21">
        <f t="shared" si="35"/>
        <v>0.3</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0</v>
      </c>
      <c r="F185" s="665"/>
      <c r="G185" s="21">
        <f t="shared" si="35"/>
        <v>0.3</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0</v>
      </c>
      <c r="F186" s="665"/>
      <c r="G186" s="21">
        <f t="shared" si="35"/>
        <v>0.3</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0</v>
      </c>
      <c r="F187" s="665"/>
      <c r="G187" s="21">
        <f t="shared" si="35"/>
        <v>0.3</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0</v>
      </c>
      <c r="F188" s="665"/>
      <c r="G188" s="21">
        <f t="shared" si="35"/>
        <v>0.3</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0</v>
      </c>
      <c r="F189" s="665"/>
      <c r="G189" s="21">
        <f t="shared" si="35"/>
        <v>0.3</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0</v>
      </c>
      <c r="F190" s="665"/>
      <c r="G190" s="21">
        <f t="shared" si="35"/>
        <v>0.3</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0</v>
      </c>
      <c r="F191" s="665"/>
      <c r="G191" s="21">
        <f t="shared" si="35"/>
        <v>0.3</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0</v>
      </c>
      <c r="F192" s="665"/>
      <c r="G192" s="21">
        <f t="shared" si="35"/>
        <v>0.3</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0</v>
      </c>
      <c r="F193" s="665"/>
      <c r="G193" s="21">
        <f t="shared" si="35"/>
        <v>0.3</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0</v>
      </c>
      <c r="F194" s="665"/>
      <c r="G194" s="21">
        <f t="shared" si="35"/>
        <v>0.3</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0</v>
      </c>
      <c r="F195" s="665"/>
      <c r="G195" s="21">
        <f t="shared" si="35"/>
        <v>0.3</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0</v>
      </c>
      <c r="F196" s="665"/>
      <c r="G196" s="21">
        <f t="shared" si="35"/>
        <v>0.3</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0</v>
      </c>
      <c r="F197" s="665"/>
      <c r="G197" s="21">
        <f t="shared" si="35"/>
        <v>0.3</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0</v>
      </c>
      <c r="F198" s="665"/>
      <c r="G198" s="21">
        <f t="shared" si="35"/>
        <v>0.3</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0</v>
      </c>
      <c r="F199" s="665"/>
      <c r="G199" s="21">
        <f t="shared" si="35"/>
        <v>0.3</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0</v>
      </c>
      <c r="F200" s="665"/>
      <c r="G200" s="21">
        <f t="shared" si="35"/>
        <v>0.3</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0</v>
      </c>
      <c r="F201" s="665"/>
      <c r="G201" s="21">
        <f t="shared" si="35"/>
        <v>0.3</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0</v>
      </c>
      <c r="F202" s="665"/>
      <c r="G202" s="21">
        <f t="shared" si="35"/>
        <v>0.3</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0</v>
      </c>
      <c r="F203" s="665"/>
      <c r="G203" s="21">
        <f t="shared" si="35"/>
        <v>0.3</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0</v>
      </c>
      <c r="F204" s="665"/>
      <c r="G204" s="21">
        <f t="shared" si="35"/>
        <v>0.3</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0</v>
      </c>
      <c r="F205" s="665"/>
      <c r="G205" s="21">
        <f t="shared" si="35"/>
        <v>0.3</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0</v>
      </c>
      <c r="F206" s="665"/>
      <c r="G206" s="21">
        <f t="shared" si="35"/>
        <v>0.3</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0</v>
      </c>
      <c r="F207" s="665"/>
      <c r="G207" s="21">
        <f t="shared" si="35"/>
        <v>0.3</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0</v>
      </c>
      <c r="F208" s="665"/>
      <c r="G208" s="21">
        <f t="shared" si="35"/>
        <v>0.3</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0</v>
      </c>
      <c r="F209" s="665"/>
      <c r="G209" s="21">
        <f t="shared" si="35"/>
        <v>0.3</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0</v>
      </c>
      <c r="F210" s="665"/>
      <c r="G210" s="21">
        <f t="shared" si="35"/>
        <v>0.3</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0</v>
      </c>
      <c r="F211" s="665"/>
      <c r="G211" s="21">
        <f t="shared" si="35"/>
        <v>0.3</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0</v>
      </c>
      <c r="F212" s="665"/>
      <c r="G212" s="21">
        <f t="shared" si="35"/>
        <v>0.3</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0</v>
      </c>
      <c r="F213" s="665"/>
      <c r="G213" s="21">
        <f t="shared" si="35"/>
        <v>0.3</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0</v>
      </c>
      <c r="F214" s="665"/>
      <c r="G214" s="21">
        <f t="shared" si="35"/>
        <v>0.3</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0</v>
      </c>
      <c r="F215" s="665"/>
      <c r="G215" s="21">
        <f t="shared" si="35"/>
        <v>0.3</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0</v>
      </c>
      <c r="F216" s="665"/>
      <c r="G216" s="21">
        <f t="shared" si="35"/>
        <v>0.3</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0</v>
      </c>
      <c r="F217" s="665"/>
      <c r="G217" s="21">
        <f t="shared" si="35"/>
        <v>0.3</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0</v>
      </c>
      <c r="F218" s="665"/>
      <c r="G218" s="21">
        <f t="shared" ref="G218:G281" si="45">(SUMIF($7:$7,F218,$8:$8)-SUMIF($7:$7,$F$24,$8:$8)+100)/100</f>
        <v>0.3</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0</v>
      </c>
      <c r="F219" s="665"/>
      <c r="G219" s="21">
        <f t="shared" si="45"/>
        <v>0.3</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0</v>
      </c>
      <c r="F220" s="665"/>
      <c r="G220" s="21">
        <f t="shared" si="45"/>
        <v>0.3</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0</v>
      </c>
      <c r="F221" s="665"/>
      <c r="G221" s="21">
        <f t="shared" si="45"/>
        <v>0.3</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0</v>
      </c>
      <c r="F222" s="665"/>
      <c r="G222" s="21">
        <f t="shared" si="45"/>
        <v>0.3</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0</v>
      </c>
      <c r="F223" s="665"/>
      <c r="G223" s="21">
        <f t="shared" si="45"/>
        <v>0.3</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0</v>
      </c>
      <c r="F224" s="665"/>
      <c r="G224" s="21">
        <f t="shared" si="45"/>
        <v>0.3</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0</v>
      </c>
      <c r="F225" s="665"/>
      <c r="G225" s="21">
        <f t="shared" si="45"/>
        <v>0.3</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0</v>
      </c>
      <c r="F226" s="665"/>
      <c r="G226" s="21">
        <f t="shared" si="45"/>
        <v>0.3</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0</v>
      </c>
      <c r="F227" s="665"/>
      <c r="G227" s="21">
        <f t="shared" si="45"/>
        <v>0.3</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0</v>
      </c>
      <c r="F228" s="665"/>
      <c r="G228" s="21">
        <f t="shared" si="45"/>
        <v>0.3</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0</v>
      </c>
      <c r="F229" s="665"/>
      <c r="G229" s="21">
        <f t="shared" si="45"/>
        <v>0.3</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0</v>
      </c>
      <c r="F230" s="665"/>
      <c r="G230" s="21">
        <f t="shared" si="45"/>
        <v>0.3</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0</v>
      </c>
      <c r="F231" s="665"/>
      <c r="G231" s="21">
        <f t="shared" si="45"/>
        <v>0.3</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0</v>
      </c>
      <c r="F232" s="665"/>
      <c r="G232" s="21">
        <f t="shared" si="45"/>
        <v>0.3</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0</v>
      </c>
      <c r="F233" s="665"/>
      <c r="G233" s="21">
        <f t="shared" si="45"/>
        <v>0.3</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0</v>
      </c>
      <c r="F234" s="665"/>
      <c r="G234" s="21">
        <f t="shared" si="45"/>
        <v>0.3</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0</v>
      </c>
      <c r="F235" s="665"/>
      <c r="G235" s="21">
        <f t="shared" si="45"/>
        <v>0.3</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0</v>
      </c>
      <c r="F236" s="665"/>
      <c r="G236" s="21">
        <f t="shared" si="45"/>
        <v>0.3</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0</v>
      </c>
      <c r="F237" s="665"/>
      <c r="G237" s="21">
        <f t="shared" si="45"/>
        <v>0.3</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0</v>
      </c>
      <c r="F238" s="665"/>
      <c r="G238" s="21">
        <f t="shared" si="45"/>
        <v>0.3</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0</v>
      </c>
      <c r="F239" s="665"/>
      <c r="G239" s="21">
        <f t="shared" si="45"/>
        <v>0.3</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0</v>
      </c>
      <c r="F240" s="665"/>
      <c r="G240" s="21">
        <f t="shared" si="45"/>
        <v>0.3</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0</v>
      </c>
      <c r="F241" s="665"/>
      <c r="G241" s="21">
        <f t="shared" si="45"/>
        <v>0.3</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0</v>
      </c>
      <c r="F242" s="665"/>
      <c r="G242" s="21">
        <f t="shared" si="45"/>
        <v>0.3</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0</v>
      </c>
      <c r="F243" s="665"/>
      <c r="G243" s="21">
        <f t="shared" si="45"/>
        <v>0.3</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0</v>
      </c>
      <c r="F244" s="665"/>
      <c r="G244" s="21">
        <f t="shared" si="45"/>
        <v>0.3</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0</v>
      </c>
      <c r="F245" s="665"/>
      <c r="G245" s="21">
        <f t="shared" si="45"/>
        <v>0.3</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0</v>
      </c>
      <c r="F246" s="665"/>
      <c r="G246" s="21">
        <f t="shared" si="45"/>
        <v>0.3</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0</v>
      </c>
      <c r="F247" s="665"/>
      <c r="G247" s="21">
        <f t="shared" si="45"/>
        <v>0.3</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0</v>
      </c>
      <c r="F248" s="665"/>
      <c r="G248" s="21">
        <f t="shared" si="45"/>
        <v>0.3</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0</v>
      </c>
      <c r="F249" s="665"/>
      <c r="G249" s="21">
        <f t="shared" si="45"/>
        <v>0.3</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0</v>
      </c>
      <c r="F250" s="665"/>
      <c r="G250" s="21">
        <f t="shared" si="45"/>
        <v>0.3</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0</v>
      </c>
      <c r="F251" s="665"/>
      <c r="G251" s="21">
        <f t="shared" si="45"/>
        <v>0.3</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0</v>
      </c>
      <c r="F252" s="665"/>
      <c r="G252" s="21">
        <f t="shared" si="45"/>
        <v>0.3</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0</v>
      </c>
      <c r="F253" s="665"/>
      <c r="G253" s="21">
        <f t="shared" si="45"/>
        <v>0.3</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0</v>
      </c>
      <c r="F254" s="665"/>
      <c r="G254" s="21">
        <f t="shared" si="45"/>
        <v>0.3</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0</v>
      </c>
      <c r="F255" s="665"/>
      <c r="G255" s="21">
        <f t="shared" si="45"/>
        <v>0.3</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0</v>
      </c>
      <c r="F256" s="665"/>
      <c r="G256" s="21">
        <f t="shared" si="45"/>
        <v>0.3</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0</v>
      </c>
      <c r="F257" s="665"/>
      <c r="G257" s="21">
        <f t="shared" si="45"/>
        <v>0.3</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0</v>
      </c>
      <c r="F258" s="665"/>
      <c r="G258" s="21">
        <f t="shared" si="45"/>
        <v>0.3</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0</v>
      </c>
      <c r="F259" s="665"/>
      <c r="G259" s="21">
        <f t="shared" si="45"/>
        <v>0.3</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0</v>
      </c>
      <c r="F260" s="665"/>
      <c r="G260" s="21">
        <f t="shared" si="45"/>
        <v>0.3</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0</v>
      </c>
      <c r="F261" s="665"/>
      <c r="G261" s="21">
        <f t="shared" si="45"/>
        <v>0.3</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0</v>
      </c>
      <c r="F262" s="665"/>
      <c r="G262" s="21">
        <f t="shared" si="45"/>
        <v>0.3</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0</v>
      </c>
      <c r="F263" s="665"/>
      <c r="G263" s="21">
        <f t="shared" si="45"/>
        <v>0.3</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0</v>
      </c>
      <c r="F264" s="665"/>
      <c r="G264" s="21">
        <f t="shared" si="45"/>
        <v>0.3</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0</v>
      </c>
      <c r="F265" s="665"/>
      <c r="G265" s="21">
        <f t="shared" si="45"/>
        <v>0.3</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0</v>
      </c>
      <c r="F266" s="665"/>
      <c r="G266" s="21">
        <f t="shared" si="45"/>
        <v>0.3</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0</v>
      </c>
      <c r="F267" s="665"/>
      <c r="G267" s="21">
        <f t="shared" si="45"/>
        <v>0.3</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0</v>
      </c>
      <c r="F268" s="665"/>
      <c r="G268" s="21">
        <f t="shared" si="45"/>
        <v>0.3</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0</v>
      </c>
      <c r="F269" s="665"/>
      <c r="G269" s="21">
        <f t="shared" si="45"/>
        <v>0.3</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0</v>
      </c>
      <c r="F270" s="665"/>
      <c r="G270" s="21">
        <f t="shared" si="45"/>
        <v>0.3</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0</v>
      </c>
      <c r="F271" s="665"/>
      <c r="G271" s="21">
        <f t="shared" si="45"/>
        <v>0.3</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0</v>
      </c>
      <c r="F272" s="665"/>
      <c r="G272" s="21">
        <f t="shared" si="45"/>
        <v>0.3</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0</v>
      </c>
      <c r="F273" s="665"/>
      <c r="G273" s="21">
        <f t="shared" si="45"/>
        <v>0.3</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0</v>
      </c>
      <c r="F274" s="665"/>
      <c r="G274" s="21">
        <f t="shared" si="45"/>
        <v>0.3</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0</v>
      </c>
      <c r="F275" s="665"/>
      <c r="G275" s="21">
        <f t="shared" si="45"/>
        <v>0.3</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0</v>
      </c>
      <c r="F276" s="665"/>
      <c r="G276" s="21">
        <f t="shared" si="45"/>
        <v>0.3</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0</v>
      </c>
      <c r="F277" s="665"/>
      <c r="G277" s="21">
        <f t="shared" si="45"/>
        <v>0.3</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0</v>
      </c>
      <c r="F278" s="665"/>
      <c r="G278" s="21">
        <f t="shared" si="45"/>
        <v>0.3</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0</v>
      </c>
      <c r="F279" s="665"/>
      <c r="G279" s="21">
        <f t="shared" si="45"/>
        <v>0.3</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0</v>
      </c>
      <c r="F280" s="665"/>
      <c r="G280" s="21">
        <f t="shared" si="45"/>
        <v>0.3</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0</v>
      </c>
      <c r="F281" s="665"/>
      <c r="G281" s="21">
        <f t="shared" si="45"/>
        <v>0.3</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0</v>
      </c>
      <c r="F282" s="665"/>
      <c r="G282" s="21">
        <f t="shared" ref="G282:G345" si="55">(SUMIF($7:$7,F282,$8:$8)-SUMIF($7:$7,$F$24,$8:$8)+100)/100</f>
        <v>0.3</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0</v>
      </c>
      <c r="F283" s="665"/>
      <c r="G283" s="21">
        <f t="shared" si="55"/>
        <v>0.3</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0</v>
      </c>
      <c r="F284" s="665"/>
      <c r="G284" s="21">
        <f t="shared" si="55"/>
        <v>0.3</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0</v>
      </c>
      <c r="F285" s="665"/>
      <c r="G285" s="21">
        <f t="shared" si="55"/>
        <v>0.3</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0</v>
      </c>
      <c r="F286" s="665"/>
      <c r="G286" s="21">
        <f t="shared" si="55"/>
        <v>0.3</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0</v>
      </c>
      <c r="F287" s="665"/>
      <c r="G287" s="21">
        <f t="shared" si="55"/>
        <v>0.3</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0</v>
      </c>
      <c r="F288" s="665"/>
      <c r="G288" s="21">
        <f t="shared" si="55"/>
        <v>0.3</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0</v>
      </c>
      <c r="F289" s="665"/>
      <c r="G289" s="21">
        <f t="shared" si="55"/>
        <v>0.3</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0</v>
      </c>
      <c r="F290" s="665"/>
      <c r="G290" s="21">
        <f t="shared" si="55"/>
        <v>0.3</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0</v>
      </c>
      <c r="F291" s="665"/>
      <c r="G291" s="21">
        <f t="shared" si="55"/>
        <v>0.3</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0</v>
      </c>
      <c r="F292" s="665"/>
      <c r="G292" s="21">
        <f t="shared" si="55"/>
        <v>0.3</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0</v>
      </c>
      <c r="F293" s="665"/>
      <c r="G293" s="21">
        <f t="shared" si="55"/>
        <v>0.3</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0</v>
      </c>
      <c r="F294" s="665"/>
      <c r="G294" s="21">
        <f t="shared" si="55"/>
        <v>0.3</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0</v>
      </c>
      <c r="F295" s="665"/>
      <c r="G295" s="21">
        <f t="shared" si="55"/>
        <v>0.3</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0</v>
      </c>
      <c r="F296" s="665"/>
      <c r="G296" s="21">
        <f t="shared" si="55"/>
        <v>0.3</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0</v>
      </c>
      <c r="F297" s="665"/>
      <c r="G297" s="21">
        <f t="shared" si="55"/>
        <v>0.3</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0</v>
      </c>
      <c r="F298" s="665"/>
      <c r="G298" s="21">
        <f t="shared" si="55"/>
        <v>0.3</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0</v>
      </c>
      <c r="F299" s="665"/>
      <c r="G299" s="21">
        <f t="shared" si="55"/>
        <v>0.3</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0</v>
      </c>
      <c r="F300" s="665"/>
      <c r="G300" s="21">
        <f t="shared" si="55"/>
        <v>0.3</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0</v>
      </c>
      <c r="F301" s="665"/>
      <c r="G301" s="21">
        <f t="shared" si="55"/>
        <v>0.3</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0</v>
      </c>
      <c r="F302" s="665"/>
      <c r="G302" s="21">
        <f t="shared" si="55"/>
        <v>0.3</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0</v>
      </c>
      <c r="F303" s="665"/>
      <c r="G303" s="21">
        <f t="shared" si="55"/>
        <v>0.3</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0</v>
      </c>
      <c r="F304" s="665"/>
      <c r="G304" s="21">
        <f t="shared" si="55"/>
        <v>0.3</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0</v>
      </c>
      <c r="F305" s="665"/>
      <c r="G305" s="21">
        <f t="shared" si="55"/>
        <v>0.3</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0</v>
      </c>
      <c r="F306" s="665"/>
      <c r="G306" s="21">
        <f t="shared" si="55"/>
        <v>0.3</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0</v>
      </c>
      <c r="F307" s="665"/>
      <c r="G307" s="21">
        <f t="shared" si="55"/>
        <v>0.3</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0</v>
      </c>
      <c r="F308" s="665"/>
      <c r="G308" s="21">
        <f t="shared" si="55"/>
        <v>0.3</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0</v>
      </c>
      <c r="F309" s="665"/>
      <c r="G309" s="21">
        <f t="shared" si="55"/>
        <v>0.3</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0</v>
      </c>
      <c r="F310" s="665"/>
      <c r="G310" s="21">
        <f t="shared" si="55"/>
        <v>0.3</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0</v>
      </c>
      <c r="F311" s="665"/>
      <c r="G311" s="21">
        <f t="shared" si="55"/>
        <v>0.3</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0</v>
      </c>
      <c r="F312" s="665"/>
      <c r="G312" s="21">
        <f t="shared" si="55"/>
        <v>0.3</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0</v>
      </c>
      <c r="F313" s="665"/>
      <c r="G313" s="21">
        <f t="shared" si="55"/>
        <v>0.3</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0</v>
      </c>
      <c r="F314" s="665"/>
      <c r="G314" s="21">
        <f t="shared" si="55"/>
        <v>0.3</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0</v>
      </c>
      <c r="F315" s="665"/>
      <c r="G315" s="21">
        <f t="shared" si="55"/>
        <v>0.3</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0</v>
      </c>
      <c r="F316" s="665"/>
      <c r="G316" s="21">
        <f t="shared" si="55"/>
        <v>0.3</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0</v>
      </c>
      <c r="F317" s="665"/>
      <c r="G317" s="21">
        <f t="shared" si="55"/>
        <v>0.3</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0</v>
      </c>
      <c r="F318" s="665"/>
      <c r="G318" s="21">
        <f t="shared" si="55"/>
        <v>0.3</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0</v>
      </c>
      <c r="F319" s="665"/>
      <c r="G319" s="21">
        <f t="shared" si="55"/>
        <v>0.3</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0</v>
      </c>
      <c r="F320" s="665"/>
      <c r="G320" s="21">
        <f t="shared" si="55"/>
        <v>0.3</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0</v>
      </c>
      <c r="F321" s="665"/>
      <c r="G321" s="21">
        <f t="shared" si="55"/>
        <v>0.3</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0</v>
      </c>
      <c r="F322" s="665"/>
      <c r="G322" s="21">
        <f t="shared" si="55"/>
        <v>0.3</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0</v>
      </c>
      <c r="F323" s="665"/>
      <c r="G323" s="21">
        <f t="shared" si="55"/>
        <v>0.3</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0</v>
      </c>
      <c r="F324" s="665"/>
      <c r="G324" s="21">
        <f t="shared" si="55"/>
        <v>0.3</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0</v>
      </c>
      <c r="F325" s="665"/>
      <c r="G325" s="21">
        <f t="shared" si="55"/>
        <v>0.3</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0</v>
      </c>
      <c r="F326" s="665"/>
      <c r="G326" s="21">
        <f t="shared" si="55"/>
        <v>0.3</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0</v>
      </c>
      <c r="F327" s="665"/>
      <c r="G327" s="21">
        <f t="shared" si="55"/>
        <v>0.3</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0</v>
      </c>
      <c r="F328" s="665"/>
      <c r="G328" s="21">
        <f t="shared" si="55"/>
        <v>0.3</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0</v>
      </c>
      <c r="F329" s="665"/>
      <c r="G329" s="21">
        <f t="shared" si="55"/>
        <v>0.3</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0</v>
      </c>
      <c r="F330" s="665"/>
      <c r="G330" s="21">
        <f t="shared" si="55"/>
        <v>0.3</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0</v>
      </c>
      <c r="F331" s="665"/>
      <c r="G331" s="21">
        <f t="shared" si="55"/>
        <v>0.3</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0</v>
      </c>
      <c r="F332" s="665"/>
      <c r="G332" s="21">
        <f t="shared" si="55"/>
        <v>0.3</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0</v>
      </c>
      <c r="F333" s="665"/>
      <c r="G333" s="21">
        <f t="shared" si="55"/>
        <v>0.3</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0</v>
      </c>
      <c r="F334" s="665"/>
      <c r="G334" s="21">
        <f t="shared" si="55"/>
        <v>0.3</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0</v>
      </c>
      <c r="F335" s="665"/>
      <c r="G335" s="21">
        <f t="shared" si="55"/>
        <v>0.3</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0</v>
      </c>
      <c r="F336" s="665"/>
      <c r="G336" s="21">
        <f t="shared" si="55"/>
        <v>0.3</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0</v>
      </c>
      <c r="F337" s="665"/>
      <c r="G337" s="21">
        <f t="shared" si="55"/>
        <v>0.3</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0</v>
      </c>
      <c r="F338" s="665"/>
      <c r="G338" s="21">
        <f t="shared" si="55"/>
        <v>0.3</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0</v>
      </c>
      <c r="F339" s="665"/>
      <c r="G339" s="21">
        <f t="shared" si="55"/>
        <v>0.3</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0</v>
      </c>
      <c r="F340" s="665"/>
      <c r="G340" s="21">
        <f t="shared" si="55"/>
        <v>0.3</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0</v>
      </c>
      <c r="F341" s="665"/>
      <c r="G341" s="21">
        <f t="shared" si="55"/>
        <v>0.3</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0</v>
      </c>
      <c r="F342" s="665"/>
      <c r="G342" s="21">
        <f t="shared" si="55"/>
        <v>0.3</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0</v>
      </c>
      <c r="F343" s="665"/>
      <c r="G343" s="21">
        <f t="shared" si="55"/>
        <v>0.3</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0</v>
      </c>
      <c r="F344" s="665"/>
      <c r="G344" s="21">
        <f t="shared" si="55"/>
        <v>0.3</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0</v>
      </c>
      <c r="F345" s="665"/>
      <c r="G345" s="21">
        <f t="shared" si="55"/>
        <v>0.3</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0</v>
      </c>
      <c r="F346" s="665"/>
      <c r="G346" s="21">
        <f t="shared" ref="G346:G409" si="66">(SUMIF($7:$7,F346,$8:$8)-SUMIF($7:$7,$F$24,$8:$8)+100)/100</f>
        <v>0.3</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0</v>
      </c>
      <c r="F347" s="665"/>
      <c r="G347" s="21">
        <f t="shared" si="66"/>
        <v>0.3</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0</v>
      </c>
      <c r="F348" s="665"/>
      <c r="G348" s="21">
        <f t="shared" si="66"/>
        <v>0.3</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0</v>
      </c>
      <c r="F349" s="665"/>
      <c r="G349" s="21">
        <f t="shared" si="66"/>
        <v>0.3</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0</v>
      </c>
      <c r="F350" s="665"/>
      <c r="G350" s="21">
        <f t="shared" si="66"/>
        <v>0.3</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0</v>
      </c>
      <c r="F351" s="665"/>
      <c r="G351" s="21">
        <f t="shared" si="66"/>
        <v>0.3</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0</v>
      </c>
      <c r="F352" s="665"/>
      <c r="G352" s="21">
        <f t="shared" si="66"/>
        <v>0.3</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0</v>
      </c>
      <c r="F353" s="665"/>
      <c r="G353" s="21">
        <f t="shared" si="66"/>
        <v>0.3</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0</v>
      </c>
      <c r="F354" s="665"/>
      <c r="G354" s="21">
        <f t="shared" si="66"/>
        <v>0.3</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0</v>
      </c>
      <c r="F355" s="665"/>
      <c r="G355" s="21">
        <f t="shared" si="66"/>
        <v>0.3</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0</v>
      </c>
      <c r="F356" s="665"/>
      <c r="G356" s="21">
        <f t="shared" si="66"/>
        <v>0.3</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0</v>
      </c>
      <c r="F357" s="665"/>
      <c r="G357" s="21">
        <f t="shared" si="66"/>
        <v>0.3</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0</v>
      </c>
      <c r="F358" s="665"/>
      <c r="G358" s="21">
        <f t="shared" si="66"/>
        <v>0.3</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0</v>
      </c>
      <c r="F359" s="665"/>
      <c r="G359" s="21">
        <f t="shared" si="66"/>
        <v>0.3</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0</v>
      </c>
      <c r="F360" s="665"/>
      <c r="G360" s="21">
        <f t="shared" si="66"/>
        <v>0.3</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0</v>
      </c>
      <c r="F361" s="665"/>
      <c r="G361" s="21">
        <f t="shared" si="66"/>
        <v>0.3</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0</v>
      </c>
      <c r="F362" s="665"/>
      <c r="G362" s="21">
        <f t="shared" si="66"/>
        <v>0.3</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0</v>
      </c>
      <c r="F363" s="665"/>
      <c r="G363" s="21">
        <f t="shared" si="66"/>
        <v>0.3</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0</v>
      </c>
      <c r="F364" s="665"/>
      <c r="G364" s="21">
        <f t="shared" si="66"/>
        <v>0.3</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0</v>
      </c>
      <c r="F365" s="665"/>
      <c r="G365" s="21">
        <f t="shared" si="66"/>
        <v>0.3</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0</v>
      </c>
      <c r="F366" s="665"/>
      <c r="G366" s="21">
        <f t="shared" si="66"/>
        <v>0.3</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0</v>
      </c>
      <c r="F367" s="665"/>
      <c r="G367" s="21">
        <f t="shared" si="66"/>
        <v>0.3</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0</v>
      </c>
      <c r="F368" s="665"/>
      <c r="G368" s="21">
        <f t="shared" si="66"/>
        <v>0.3</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0</v>
      </c>
      <c r="F369" s="665"/>
      <c r="G369" s="21">
        <f t="shared" si="66"/>
        <v>0.3</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0</v>
      </c>
      <c r="F370" s="665"/>
      <c r="G370" s="21">
        <f t="shared" si="66"/>
        <v>0.3</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0</v>
      </c>
      <c r="F371" s="665"/>
      <c r="G371" s="21">
        <f t="shared" si="66"/>
        <v>0.3</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0</v>
      </c>
      <c r="F372" s="665"/>
      <c r="G372" s="21">
        <f t="shared" si="66"/>
        <v>0.3</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0</v>
      </c>
      <c r="F373" s="665"/>
      <c r="G373" s="21">
        <f t="shared" si="66"/>
        <v>0.3</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0</v>
      </c>
      <c r="F374" s="665"/>
      <c r="G374" s="21">
        <f t="shared" si="66"/>
        <v>0.3</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0</v>
      </c>
      <c r="F375" s="665"/>
      <c r="G375" s="21">
        <f t="shared" si="66"/>
        <v>0.3</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0</v>
      </c>
      <c r="F376" s="665"/>
      <c r="G376" s="21">
        <f t="shared" si="66"/>
        <v>0.3</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0</v>
      </c>
      <c r="F377" s="665"/>
      <c r="G377" s="21">
        <f t="shared" si="66"/>
        <v>0.3</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0</v>
      </c>
      <c r="F378" s="665"/>
      <c r="G378" s="21">
        <f t="shared" si="66"/>
        <v>0.3</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0</v>
      </c>
      <c r="F379" s="665"/>
      <c r="G379" s="21">
        <f t="shared" si="66"/>
        <v>0.3</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0</v>
      </c>
      <c r="F380" s="665"/>
      <c r="G380" s="21">
        <f t="shared" si="66"/>
        <v>0.3</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0</v>
      </c>
      <c r="F381" s="665"/>
      <c r="G381" s="21">
        <f t="shared" si="66"/>
        <v>0.3</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0</v>
      </c>
      <c r="F382" s="665"/>
      <c r="G382" s="21">
        <f t="shared" si="66"/>
        <v>0.3</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0</v>
      </c>
      <c r="F383" s="665"/>
      <c r="G383" s="21">
        <f t="shared" si="66"/>
        <v>0.3</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0</v>
      </c>
      <c r="F384" s="665"/>
      <c r="G384" s="21">
        <f t="shared" si="66"/>
        <v>0.3</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0</v>
      </c>
      <c r="F385" s="665"/>
      <c r="G385" s="21">
        <f t="shared" si="66"/>
        <v>0.3</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0</v>
      </c>
      <c r="F386" s="665"/>
      <c r="G386" s="21">
        <f t="shared" si="66"/>
        <v>0.3</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0</v>
      </c>
      <c r="F387" s="665"/>
      <c r="G387" s="21">
        <f t="shared" si="66"/>
        <v>0.3</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0</v>
      </c>
      <c r="F388" s="665"/>
      <c r="G388" s="21">
        <f t="shared" si="66"/>
        <v>0.3</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0</v>
      </c>
      <c r="F389" s="665"/>
      <c r="G389" s="21">
        <f t="shared" si="66"/>
        <v>0.3</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0</v>
      </c>
      <c r="F390" s="665"/>
      <c r="G390" s="21">
        <f t="shared" si="66"/>
        <v>0.3</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0</v>
      </c>
      <c r="F391" s="665"/>
      <c r="G391" s="21">
        <f t="shared" si="66"/>
        <v>0.3</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0</v>
      </c>
      <c r="F392" s="665"/>
      <c r="G392" s="21">
        <f t="shared" si="66"/>
        <v>0.3</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0</v>
      </c>
      <c r="F393" s="665"/>
      <c r="G393" s="21">
        <f t="shared" si="66"/>
        <v>0.3</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0</v>
      </c>
      <c r="F394" s="665"/>
      <c r="G394" s="21">
        <f t="shared" si="66"/>
        <v>0.3</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0</v>
      </c>
      <c r="F395" s="665"/>
      <c r="G395" s="21">
        <f t="shared" si="66"/>
        <v>0.3</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0</v>
      </c>
      <c r="F396" s="665"/>
      <c r="G396" s="21">
        <f t="shared" si="66"/>
        <v>0.3</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0</v>
      </c>
      <c r="F397" s="665"/>
      <c r="G397" s="21">
        <f t="shared" si="66"/>
        <v>0.3</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0</v>
      </c>
      <c r="F398" s="665"/>
      <c r="G398" s="21">
        <f t="shared" si="66"/>
        <v>0.3</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0</v>
      </c>
      <c r="F399" s="665"/>
      <c r="G399" s="21">
        <f t="shared" si="66"/>
        <v>0.3</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0</v>
      </c>
      <c r="F400" s="665"/>
      <c r="G400" s="21">
        <f t="shared" si="66"/>
        <v>0.3</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0</v>
      </c>
      <c r="F401" s="665"/>
      <c r="G401" s="21">
        <f t="shared" si="66"/>
        <v>0.3</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0</v>
      </c>
      <c r="F402" s="665"/>
      <c r="G402" s="21">
        <f t="shared" si="66"/>
        <v>0.3</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0</v>
      </c>
      <c r="F403" s="665"/>
      <c r="G403" s="21">
        <f t="shared" si="66"/>
        <v>0.3</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0</v>
      </c>
      <c r="F404" s="665"/>
      <c r="G404" s="21">
        <f t="shared" si="66"/>
        <v>0.3</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0</v>
      </c>
      <c r="F405" s="665"/>
      <c r="G405" s="21">
        <f t="shared" si="66"/>
        <v>0.3</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0</v>
      </c>
      <c r="F406" s="665"/>
      <c r="G406" s="21">
        <f t="shared" si="66"/>
        <v>0.3</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0</v>
      </c>
      <c r="F407" s="665"/>
      <c r="G407" s="21">
        <f t="shared" si="66"/>
        <v>0.3</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0</v>
      </c>
      <c r="F408" s="665"/>
      <c r="G408" s="21">
        <f t="shared" si="66"/>
        <v>0.3</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0</v>
      </c>
      <c r="F409" s="665"/>
      <c r="G409" s="21">
        <f t="shared" si="66"/>
        <v>0.3</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0</v>
      </c>
      <c r="F410" s="665"/>
      <c r="G410" s="21">
        <f t="shared" ref="G410:G473" si="76">(SUMIF($7:$7,F410,$8:$8)-SUMIF($7:$7,$F$24,$8:$8)+100)/100</f>
        <v>0.3</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0</v>
      </c>
      <c r="F411" s="665"/>
      <c r="G411" s="21">
        <f t="shared" si="76"/>
        <v>0.3</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0</v>
      </c>
      <c r="F412" s="665"/>
      <c r="G412" s="21">
        <f t="shared" si="76"/>
        <v>0.3</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0</v>
      </c>
      <c r="F413" s="665"/>
      <c r="G413" s="21">
        <f t="shared" si="76"/>
        <v>0.3</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0</v>
      </c>
      <c r="F414" s="665"/>
      <c r="G414" s="21">
        <f t="shared" si="76"/>
        <v>0.3</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0</v>
      </c>
      <c r="F415" s="665"/>
      <c r="G415" s="21">
        <f t="shared" si="76"/>
        <v>0.3</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0</v>
      </c>
      <c r="F416" s="665"/>
      <c r="G416" s="21">
        <f t="shared" si="76"/>
        <v>0.3</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0</v>
      </c>
      <c r="F417" s="665"/>
      <c r="G417" s="21">
        <f t="shared" si="76"/>
        <v>0.3</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0</v>
      </c>
      <c r="F418" s="665"/>
      <c r="G418" s="21">
        <f t="shared" si="76"/>
        <v>0.3</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0</v>
      </c>
      <c r="F419" s="665"/>
      <c r="G419" s="21">
        <f t="shared" si="76"/>
        <v>0.3</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0</v>
      </c>
      <c r="F420" s="665"/>
      <c r="G420" s="21">
        <f t="shared" si="76"/>
        <v>0.3</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0</v>
      </c>
      <c r="F421" s="665"/>
      <c r="G421" s="21">
        <f t="shared" si="76"/>
        <v>0.3</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0</v>
      </c>
      <c r="F422" s="665"/>
      <c r="G422" s="21">
        <f t="shared" si="76"/>
        <v>0.3</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0</v>
      </c>
      <c r="F423" s="665"/>
      <c r="G423" s="21">
        <f t="shared" si="76"/>
        <v>0.3</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0</v>
      </c>
      <c r="F424" s="665"/>
      <c r="G424" s="21">
        <f t="shared" si="76"/>
        <v>0.3</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0</v>
      </c>
      <c r="F425" s="665"/>
      <c r="G425" s="21">
        <f t="shared" si="76"/>
        <v>0.3</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0</v>
      </c>
      <c r="F426" s="665"/>
      <c r="G426" s="21">
        <f t="shared" si="76"/>
        <v>0.3</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0</v>
      </c>
      <c r="F427" s="665"/>
      <c r="G427" s="21">
        <f t="shared" si="76"/>
        <v>0.3</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0</v>
      </c>
      <c r="F428" s="665"/>
      <c r="G428" s="21">
        <f t="shared" si="76"/>
        <v>0.3</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0</v>
      </c>
      <c r="F429" s="665"/>
      <c r="G429" s="21">
        <f t="shared" si="76"/>
        <v>0.3</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0</v>
      </c>
      <c r="F430" s="665"/>
      <c r="G430" s="21">
        <f t="shared" si="76"/>
        <v>0.3</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0</v>
      </c>
      <c r="F431" s="665"/>
      <c r="G431" s="21">
        <f t="shared" si="76"/>
        <v>0.3</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0</v>
      </c>
      <c r="F432" s="665"/>
      <c r="G432" s="21">
        <f t="shared" si="76"/>
        <v>0.3</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0</v>
      </c>
      <c r="F433" s="665"/>
      <c r="G433" s="21">
        <f t="shared" si="76"/>
        <v>0.3</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0</v>
      </c>
      <c r="F434" s="665"/>
      <c r="G434" s="21">
        <f t="shared" si="76"/>
        <v>0.3</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0</v>
      </c>
      <c r="F435" s="665"/>
      <c r="G435" s="21">
        <f t="shared" si="76"/>
        <v>0.3</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0</v>
      </c>
      <c r="F436" s="665"/>
      <c r="G436" s="21">
        <f t="shared" si="76"/>
        <v>0.3</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0</v>
      </c>
      <c r="F437" s="665"/>
      <c r="G437" s="21">
        <f t="shared" si="76"/>
        <v>0.3</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0</v>
      </c>
      <c r="F438" s="665"/>
      <c r="G438" s="21">
        <f t="shared" si="76"/>
        <v>0.3</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0</v>
      </c>
      <c r="F439" s="665"/>
      <c r="G439" s="21">
        <f t="shared" si="76"/>
        <v>0.3</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0</v>
      </c>
      <c r="F440" s="665"/>
      <c r="G440" s="21">
        <f t="shared" si="76"/>
        <v>0.3</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0</v>
      </c>
      <c r="F441" s="665"/>
      <c r="G441" s="21">
        <f t="shared" si="76"/>
        <v>0.3</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0</v>
      </c>
      <c r="F442" s="665"/>
      <c r="G442" s="21">
        <f t="shared" si="76"/>
        <v>0.3</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0</v>
      </c>
      <c r="F443" s="665"/>
      <c r="G443" s="21">
        <f t="shared" si="76"/>
        <v>0.3</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0</v>
      </c>
      <c r="F444" s="665"/>
      <c r="G444" s="21">
        <f t="shared" si="76"/>
        <v>0.3</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0</v>
      </c>
      <c r="F445" s="665"/>
      <c r="G445" s="21">
        <f t="shared" si="76"/>
        <v>0.3</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0</v>
      </c>
      <c r="F446" s="665"/>
      <c r="G446" s="21">
        <f t="shared" si="76"/>
        <v>0.3</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0</v>
      </c>
      <c r="F447" s="665"/>
      <c r="G447" s="21">
        <f t="shared" si="76"/>
        <v>0.3</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0</v>
      </c>
      <c r="F448" s="665"/>
      <c r="G448" s="21">
        <f t="shared" si="76"/>
        <v>0.3</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0</v>
      </c>
      <c r="F449" s="665"/>
      <c r="G449" s="21">
        <f t="shared" si="76"/>
        <v>0.3</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0</v>
      </c>
      <c r="F450" s="665"/>
      <c r="G450" s="21">
        <f t="shared" si="76"/>
        <v>0.3</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0</v>
      </c>
      <c r="F451" s="665"/>
      <c r="G451" s="21">
        <f t="shared" si="76"/>
        <v>0.3</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0</v>
      </c>
      <c r="F452" s="665"/>
      <c r="G452" s="21">
        <f t="shared" si="76"/>
        <v>0.3</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0</v>
      </c>
      <c r="F453" s="665"/>
      <c r="G453" s="21">
        <f t="shared" si="76"/>
        <v>0.3</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0</v>
      </c>
      <c r="F454" s="665"/>
      <c r="G454" s="21">
        <f t="shared" si="76"/>
        <v>0.3</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0</v>
      </c>
      <c r="F455" s="665"/>
      <c r="G455" s="21">
        <f t="shared" si="76"/>
        <v>0.3</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0</v>
      </c>
      <c r="F456" s="665"/>
      <c r="G456" s="21">
        <f t="shared" si="76"/>
        <v>0.3</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0</v>
      </c>
      <c r="F457" s="665"/>
      <c r="G457" s="21">
        <f t="shared" si="76"/>
        <v>0.3</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0</v>
      </c>
      <c r="F458" s="665"/>
      <c r="G458" s="21">
        <f t="shared" si="76"/>
        <v>0.3</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0</v>
      </c>
      <c r="F459" s="665"/>
      <c r="G459" s="21">
        <f t="shared" si="76"/>
        <v>0.3</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0</v>
      </c>
      <c r="F460" s="665"/>
      <c r="G460" s="21">
        <f t="shared" si="76"/>
        <v>0.3</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0</v>
      </c>
      <c r="F461" s="665"/>
      <c r="G461" s="21">
        <f t="shared" si="76"/>
        <v>0.3</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0</v>
      </c>
      <c r="F462" s="665"/>
      <c r="G462" s="21">
        <f t="shared" si="76"/>
        <v>0.3</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0</v>
      </c>
      <c r="F463" s="665"/>
      <c r="G463" s="21">
        <f t="shared" si="76"/>
        <v>0.3</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0</v>
      </c>
      <c r="F464" s="665"/>
      <c r="G464" s="21">
        <f t="shared" si="76"/>
        <v>0.3</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0</v>
      </c>
      <c r="F465" s="665"/>
      <c r="G465" s="21">
        <f t="shared" si="76"/>
        <v>0.3</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0</v>
      </c>
      <c r="F466" s="665"/>
      <c r="G466" s="21">
        <f t="shared" si="76"/>
        <v>0.3</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0</v>
      </c>
      <c r="F467" s="665"/>
      <c r="G467" s="21">
        <f t="shared" si="76"/>
        <v>0.3</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0</v>
      </c>
      <c r="F468" s="665"/>
      <c r="G468" s="21">
        <f t="shared" si="76"/>
        <v>0.3</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0</v>
      </c>
      <c r="F469" s="665"/>
      <c r="G469" s="21">
        <f t="shared" si="76"/>
        <v>0.3</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0</v>
      </c>
      <c r="F470" s="665"/>
      <c r="G470" s="21">
        <f t="shared" si="76"/>
        <v>0.3</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0</v>
      </c>
      <c r="F471" s="665"/>
      <c r="G471" s="21">
        <f t="shared" si="76"/>
        <v>0.3</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0</v>
      </c>
      <c r="F472" s="665"/>
      <c r="G472" s="21">
        <f t="shared" si="76"/>
        <v>0.3</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0</v>
      </c>
      <c r="F473" s="665"/>
      <c r="G473" s="21">
        <f t="shared" si="76"/>
        <v>0.3</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0</v>
      </c>
      <c r="F474" s="665"/>
      <c r="G474" s="21">
        <f t="shared" ref="G474:G524" si="87">(SUMIF($7:$7,F474,$8:$8)-SUMIF($7:$7,$F$24,$8:$8)+100)/100</f>
        <v>0.3</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0</v>
      </c>
      <c r="F475" s="665"/>
      <c r="G475" s="21">
        <f t="shared" si="87"/>
        <v>0.3</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0</v>
      </c>
      <c r="F476" s="665"/>
      <c r="G476" s="21">
        <f t="shared" si="87"/>
        <v>0.3</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0</v>
      </c>
      <c r="F477" s="665"/>
      <c r="G477" s="21">
        <f t="shared" si="87"/>
        <v>0.3</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0</v>
      </c>
      <c r="F478" s="665"/>
      <c r="G478" s="21">
        <f t="shared" si="87"/>
        <v>0.3</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0</v>
      </c>
      <c r="F479" s="665"/>
      <c r="G479" s="21">
        <f t="shared" si="87"/>
        <v>0.3</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0</v>
      </c>
      <c r="F480" s="665"/>
      <c r="G480" s="21">
        <f t="shared" si="87"/>
        <v>0.3</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0</v>
      </c>
      <c r="F481" s="665"/>
      <c r="G481" s="21">
        <f t="shared" si="87"/>
        <v>0.3</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0</v>
      </c>
      <c r="F482" s="665"/>
      <c r="G482" s="21">
        <f t="shared" si="87"/>
        <v>0.3</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0</v>
      </c>
      <c r="F483" s="665"/>
      <c r="G483" s="21">
        <f t="shared" si="87"/>
        <v>0.3</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0</v>
      </c>
      <c r="F484" s="665"/>
      <c r="G484" s="21">
        <f t="shared" si="87"/>
        <v>0.3</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0</v>
      </c>
      <c r="F485" s="665"/>
      <c r="G485" s="21">
        <f t="shared" si="87"/>
        <v>0.3</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0</v>
      </c>
      <c r="F486" s="665"/>
      <c r="G486" s="21">
        <f t="shared" si="87"/>
        <v>0.3</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0</v>
      </c>
      <c r="F487" s="665"/>
      <c r="G487" s="21">
        <f t="shared" si="87"/>
        <v>0.3</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0</v>
      </c>
      <c r="F488" s="665"/>
      <c r="G488" s="21">
        <f t="shared" si="87"/>
        <v>0.3</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0</v>
      </c>
      <c r="F489" s="665"/>
      <c r="G489" s="21">
        <f t="shared" si="87"/>
        <v>0.3</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0</v>
      </c>
      <c r="F490" s="665"/>
      <c r="G490" s="21">
        <f t="shared" si="87"/>
        <v>0.3</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0</v>
      </c>
      <c r="F491" s="665"/>
      <c r="G491" s="21">
        <f t="shared" si="87"/>
        <v>0.3</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0</v>
      </c>
      <c r="F492" s="665"/>
      <c r="G492" s="21">
        <f t="shared" si="87"/>
        <v>0.3</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0</v>
      </c>
      <c r="F493" s="665"/>
      <c r="G493" s="21">
        <f t="shared" si="87"/>
        <v>0.3</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0</v>
      </c>
      <c r="F494" s="665"/>
      <c r="G494" s="21">
        <f t="shared" si="87"/>
        <v>0.3</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0</v>
      </c>
      <c r="F495" s="665"/>
      <c r="G495" s="21">
        <f t="shared" si="87"/>
        <v>0.3</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0</v>
      </c>
      <c r="F496" s="665"/>
      <c r="G496" s="21">
        <f t="shared" si="87"/>
        <v>0.3</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0</v>
      </c>
      <c r="F497" s="665"/>
      <c r="G497" s="21">
        <f t="shared" si="87"/>
        <v>0.3</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0</v>
      </c>
      <c r="F498" s="665"/>
      <c r="G498" s="21">
        <f t="shared" si="87"/>
        <v>0.3</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0</v>
      </c>
      <c r="F499" s="665"/>
      <c r="G499" s="21">
        <f t="shared" si="87"/>
        <v>0.3</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0</v>
      </c>
      <c r="F500" s="665"/>
      <c r="G500" s="21">
        <f t="shared" si="87"/>
        <v>0.3</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0</v>
      </c>
      <c r="F501" s="665"/>
      <c r="G501" s="21">
        <f t="shared" si="87"/>
        <v>0.3</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0</v>
      </c>
      <c r="F502" s="665"/>
      <c r="G502" s="21">
        <f t="shared" si="87"/>
        <v>0.3</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0</v>
      </c>
      <c r="F503" s="665"/>
      <c r="G503" s="21">
        <f t="shared" si="87"/>
        <v>0.3</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0</v>
      </c>
      <c r="F504" s="665"/>
      <c r="G504" s="21">
        <f t="shared" si="87"/>
        <v>0.3</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0</v>
      </c>
      <c r="F505" s="665"/>
      <c r="G505" s="21">
        <f t="shared" si="87"/>
        <v>0.3</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0</v>
      </c>
      <c r="F506" s="665"/>
      <c r="G506" s="21">
        <f t="shared" si="87"/>
        <v>0.3</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0</v>
      </c>
      <c r="F507" s="665"/>
      <c r="G507" s="21">
        <f t="shared" si="87"/>
        <v>0.3</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0</v>
      </c>
      <c r="F508" s="665"/>
      <c r="G508" s="21">
        <f t="shared" si="87"/>
        <v>0.3</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0</v>
      </c>
      <c r="F509" s="665"/>
      <c r="G509" s="21">
        <f t="shared" si="87"/>
        <v>0.3</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0</v>
      </c>
      <c r="F510" s="665"/>
      <c r="G510" s="21">
        <f t="shared" si="87"/>
        <v>0.3</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0</v>
      </c>
      <c r="F511" s="665"/>
      <c r="G511" s="21">
        <f t="shared" si="87"/>
        <v>0.3</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0</v>
      </c>
      <c r="F512" s="665"/>
      <c r="G512" s="21">
        <f t="shared" si="87"/>
        <v>0.3</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0</v>
      </c>
      <c r="F513" s="665"/>
      <c r="G513" s="21">
        <f t="shared" si="87"/>
        <v>0.3</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0</v>
      </c>
      <c r="F514" s="665"/>
      <c r="G514" s="21">
        <f t="shared" si="87"/>
        <v>0.3</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0</v>
      </c>
      <c r="F515" s="665"/>
      <c r="G515" s="21">
        <f t="shared" si="87"/>
        <v>0.3</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0</v>
      </c>
      <c r="F516" s="665"/>
      <c r="G516" s="21">
        <f t="shared" si="87"/>
        <v>0.3</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0</v>
      </c>
      <c r="F517" s="665"/>
      <c r="G517" s="21">
        <f t="shared" si="87"/>
        <v>0.3</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0</v>
      </c>
      <c r="F518" s="665"/>
      <c r="G518" s="21">
        <f t="shared" si="87"/>
        <v>0.3</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0</v>
      </c>
      <c r="F519" s="665"/>
      <c r="G519" s="21">
        <f t="shared" si="87"/>
        <v>0.3</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0</v>
      </c>
      <c r="F520" s="665"/>
      <c r="G520" s="21">
        <f t="shared" si="87"/>
        <v>0.3</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0</v>
      </c>
      <c r="F521" s="665"/>
      <c r="G521" s="21">
        <f t="shared" si="87"/>
        <v>0.3</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0</v>
      </c>
      <c r="F522" s="665"/>
      <c r="G522" s="21">
        <f t="shared" si="87"/>
        <v>0.3</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0</v>
      </c>
      <c r="F523" s="665"/>
      <c r="G523" s="21">
        <f t="shared" si="87"/>
        <v>0.3</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0</v>
      </c>
      <c r="F524" s="665"/>
      <c r="G524" s="21">
        <f t="shared" si="87"/>
        <v>0.3</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t="e">
        <f ca="1">SUMIF(B6:B13,"&lt;&gt;#ref!",B6:B13)</f>
        <v>#DIV/0!</v>
      </c>
      <c r="C2" s="2143" t="s">
        <v>2074</v>
      </c>
      <c r="D2" s="2143" t="s">
        <v>2075</v>
      </c>
      <c r="E2" s="2608">
        <f ca="1">SUMIF(E6:E13,"&lt;&gt;#ref!",E6:E13)</f>
        <v>2678.5</v>
      </c>
      <c r="F2" s="2787"/>
      <c r="G2" s="2787"/>
      <c r="H2" s="2787"/>
      <c r="I2" s="2787"/>
      <c r="J2" s="2787"/>
      <c r="K2" s="2787"/>
      <c r="L2" s="2787"/>
      <c r="M2" s="2787"/>
      <c r="N2" s="2787"/>
      <c r="O2" s="2787"/>
      <c r="P2" s="2787"/>
    </row>
    <row r="3" spans="1:16" ht="15.75">
      <c r="A3" s="2143" t="s">
        <v>2076</v>
      </c>
      <c r="B3" s="2598"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t="e">
        <f ca="1">SUMIF(INDIRECT("'"&amp;A6&amp;"'"&amp;"!A:A"),"总价",INDIRECT("'"&amp;A6&amp;"'"&amp;"!B:B"))</f>
        <v>#DIV/0!</v>
      </c>
      <c r="C6" s="2143" t="s">
        <v>2074</v>
      </c>
      <c r="D6" s="2787"/>
      <c r="E6" s="2608">
        <f ca="1">SUMIF(INDIRECT("'"&amp;A6&amp;"'"&amp;"!C:C"),"建筑面积",INDIRECT("'"&amp;A6&amp;"'"&amp;"!D:D"))</f>
        <v>2678.5</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2593</v>
      </c>
      <c r="B1" s="3065" t="s">
        <v>2594</v>
      </c>
      <c r="C1" s="3065" t="s">
        <v>2595</v>
      </c>
      <c r="D1" s="3065" t="s">
        <v>2596</v>
      </c>
      <c r="E1" s="3065" t="s">
        <v>2597</v>
      </c>
      <c r="F1" s="3065" t="s">
        <v>2598</v>
      </c>
      <c r="G1" s="3065" t="s">
        <v>2599</v>
      </c>
      <c r="H1" s="3065" t="s">
        <v>2600</v>
      </c>
      <c r="I1" s="3065" t="s">
        <v>2601</v>
      </c>
      <c r="J1" s="3065" t="s">
        <v>2602</v>
      </c>
      <c r="K1" s="3065" t="s">
        <v>2603</v>
      </c>
      <c r="L1" s="3065" t="s">
        <v>2604</v>
      </c>
      <c r="M1" s="3066" t="s">
        <v>2605</v>
      </c>
    </row>
    <row r="2" spans="1:13" ht="19.5" customHeight="1">
      <c r="A2" s="3068" t="s">
        <v>2606</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2607</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2608</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2609</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2610</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2611</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2612</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2613</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2614</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2615</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2616</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2617</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2618</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2619</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2620</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2621</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2622</v>
      </c>
      <c r="B18" s="3090"/>
      <c r="C18" s="3091"/>
      <c r="D18" s="3091"/>
      <c r="E18" s="3090"/>
      <c r="F18" s="3091"/>
      <c r="G18" s="3091"/>
    </row>
    <row r="19" spans="1:13" ht="19.5" customHeight="1" thickBot="1">
      <c r="A19" s="3088" t="s">
        <v>2623</v>
      </c>
      <c r="B19" s="3093" t="s">
        <v>2624</v>
      </c>
      <c r="C19" s="3093" t="s">
        <v>2625</v>
      </c>
      <c r="D19" s="3094"/>
      <c r="E19" s="3088" t="s">
        <v>2626</v>
      </c>
      <c r="F19" s="3095"/>
      <c r="G19" s="3095"/>
    </row>
    <row r="20" spans="1:13" ht="19.5" customHeight="1">
      <c r="A20" s="3851" t="s">
        <v>2606</v>
      </c>
      <c r="B20" s="3844" t="s">
        <v>2627</v>
      </c>
      <c r="C20" s="3096" t="s">
        <v>2438</v>
      </c>
      <c r="D20" s="3097"/>
      <c r="E20" s="3098">
        <v>1</v>
      </c>
      <c r="F20" s="3099" t="s">
        <v>2439</v>
      </c>
      <c r="G20" s="3099"/>
    </row>
    <row r="21" spans="1:13" ht="19.5" customHeight="1">
      <c r="A21" s="3852"/>
      <c r="B21" s="3845"/>
      <c r="C21" s="3100" t="s">
        <v>2440</v>
      </c>
      <c r="D21" s="3101"/>
      <c r="E21" s="3102">
        <v>1</v>
      </c>
      <c r="F21" s="3099" t="s">
        <v>2441</v>
      </c>
      <c r="G21" s="3099"/>
    </row>
    <row r="22" spans="1:13" ht="19.5" customHeight="1">
      <c r="A22" s="3852"/>
      <c r="B22" s="3845"/>
      <c r="C22" s="3100" t="s">
        <v>2442</v>
      </c>
      <c r="D22" s="3101"/>
      <c r="E22" s="3102">
        <v>0.9</v>
      </c>
      <c r="F22" s="3099" t="s">
        <v>2443</v>
      </c>
      <c r="G22" s="3099"/>
    </row>
    <row r="23" spans="1:13" ht="19.5" customHeight="1">
      <c r="A23" s="3852"/>
      <c r="B23" s="3845"/>
      <c r="C23" s="3100" t="s">
        <v>2444</v>
      </c>
      <c r="D23" s="3101"/>
      <c r="E23" s="3102">
        <v>0.9</v>
      </c>
      <c r="F23" s="3099" t="s">
        <v>2445</v>
      </c>
      <c r="G23" s="3099"/>
    </row>
    <row r="24" spans="1:13" ht="19.5" customHeight="1">
      <c r="A24" s="3852"/>
      <c r="B24" s="3845"/>
      <c r="C24" s="3100" t="s">
        <v>2446</v>
      </c>
      <c r="D24" s="3101"/>
      <c r="E24" s="3102">
        <v>0.8</v>
      </c>
      <c r="F24" s="3099" t="s">
        <v>2447</v>
      </c>
      <c r="G24" s="3099"/>
    </row>
    <row r="25" spans="1:13" ht="19.5" customHeight="1" thickBot="1">
      <c r="A25" s="3853"/>
      <c r="B25" s="3846"/>
      <c r="C25" s="3103" t="s">
        <v>2448</v>
      </c>
      <c r="D25" s="3104"/>
      <c r="E25" s="3105">
        <v>0.8</v>
      </c>
      <c r="F25" s="3099" t="s">
        <v>2449</v>
      </c>
      <c r="G25" s="3099"/>
    </row>
    <row r="26" spans="1:13" ht="19.5" customHeight="1" thickBot="1">
      <c r="A26" s="3106" t="s">
        <v>2628</v>
      </c>
      <c r="B26" s="3107" t="s">
        <v>2627</v>
      </c>
      <c r="C26" s="3108" t="s">
        <v>2629</v>
      </c>
      <c r="D26" s="3109"/>
      <c r="E26" s="3110">
        <v>1</v>
      </c>
      <c r="F26" s="3099" t="s">
        <v>2450</v>
      </c>
      <c r="G26" s="3099"/>
    </row>
    <row r="27" spans="1:13" ht="19.5" customHeight="1">
      <c r="A27" s="3847" t="s">
        <v>2630</v>
      </c>
      <c r="B27" s="3844" t="s">
        <v>2611</v>
      </c>
      <c r="C27" s="3096" t="s">
        <v>2451</v>
      </c>
      <c r="D27" s="3097"/>
      <c r="E27" s="3098">
        <v>1</v>
      </c>
      <c r="F27" s="3099" t="s">
        <v>2452</v>
      </c>
      <c r="G27" s="3099"/>
    </row>
    <row r="28" spans="1:13" ht="19.5" customHeight="1">
      <c r="A28" s="3848"/>
      <c r="B28" s="3845"/>
      <c r="C28" s="3100" t="s">
        <v>2453</v>
      </c>
      <c r="D28" s="3101"/>
      <c r="E28" s="3102">
        <v>1</v>
      </c>
      <c r="F28" s="3099" t="s">
        <v>2454</v>
      </c>
      <c r="G28" s="3099"/>
    </row>
    <row r="29" spans="1:13" ht="19.5" customHeight="1">
      <c r="A29" s="3848"/>
      <c r="B29" s="3845"/>
      <c r="C29" s="3100" t="s">
        <v>2455</v>
      </c>
      <c r="D29" s="3101"/>
      <c r="E29" s="3102">
        <v>0.8</v>
      </c>
      <c r="F29" s="3099" t="s">
        <v>2456</v>
      </c>
      <c r="G29" s="3099"/>
    </row>
    <row r="30" spans="1:13" ht="19.5" customHeight="1">
      <c r="A30" s="3848"/>
      <c r="B30" s="3845"/>
      <c r="C30" s="3100" t="s">
        <v>2457</v>
      </c>
      <c r="D30" s="3101"/>
      <c r="E30" s="3102">
        <v>0.8</v>
      </c>
      <c r="F30" s="3099" t="s">
        <v>2458</v>
      </c>
      <c r="G30" s="3099"/>
    </row>
    <row r="31" spans="1:13" ht="19.5" customHeight="1">
      <c r="A31" s="3848"/>
      <c r="B31" s="3845"/>
      <c r="C31" s="3100" t="s">
        <v>2459</v>
      </c>
      <c r="D31" s="3101"/>
      <c r="E31" s="3102">
        <v>0.8</v>
      </c>
      <c r="F31" s="3099" t="s">
        <v>2460</v>
      </c>
      <c r="G31" s="3099"/>
    </row>
    <row r="32" spans="1:13" ht="19.5" customHeight="1">
      <c r="A32" s="3848"/>
      <c r="B32" s="3845"/>
      <c r="C32" s="3100" t="s">
        <v>2461</v>
      </c>
      <c r="D32" s="3101"/>
      <c r="E32" s="3102">
        <v>0.7</v>
      </c>
      <c r="F32" s="3099" t="s">
        <v>2462</v>
      </c>
      <c r="G32" s="3099"/>
    </row>
    <row r="33" spans="1:7" ht="19.5" customHeight="1">
      <c r="A33" s="3848"/>
      <c r="B33" s="3845"/>
      <c r="C33" s="3100" t="s">
        <v>2463</v>
      </c>
      <c r="D33" s="3101"/>
      <c r="E33" s="3102">
        <v>0.8</v>
      </c>
      <c r="F33" s="3099" t="s">
        <v>2464</v>
      </c>
      <c r="G33" s="3099"/>
    </row>
    <row r="34" spans="1:7" ht="19.5" customHeight="1">
      <c r="A34" s="3848"/>
      <c r="B34" s="3845"/>
      <c r="C34" s="3100" t="s">
        <v>2465</v>
      </c>
      <c r="D34" s="3101"/>
      <c r="E34" s="3102">
        <v>0.6</v>
      </c>
      <c r="F34" s="3099" t="s">
        <v>2466</v>
      </c>
      <c r="G34" s="3099"/>
    </row>
    <row r="35" spans="1:7" ht="19.5" customHeight="1">
      <c r="A35" s="3848"/>
      <c r="B35" s="3845"/>
      <c r="C35" s="3100" t="s">
        <v>2467</v>
      </c>
      <c r="D35" s="3101"/>
      <c r="E35" s="3102">
        <v>0.2</v>
      </c>
      <c r="F35" s="3099" t="s">
        <v>2468</v>
      </c>
      <c r="G35" s="3099"/>
    </row>
    <row r="36" spans="1:7" ht="19.5" customHeight="1">
      <c r="A36" s="3848"/>
      <c r="B36" s="3845"/>
      <c r="C36" s="3100" t="s">
        <v>2469</v>
      </c>
      <c r="D36" s="3101"/>
      <c r="E36" s="3102">
        <v>0.2</v>
      </c>
      <c r="F36" s="3099" t="s">
        <v>2470</v>
      </c>
      <c r="G36" s="3099"/>
    </row>
    <row r="37" spans="1:7" ht="19.5" customHeight="1">
      <c r="A37" s="3848"/>
      <c r="B37" s="3850" t="s">
        <v>2631</v>
      </c>
      <c r="C37" s="3100" t="s">
        <v>2471</v>
      </c>
      <c r="D37" s="3101"/>
      <c r="E37" s="3102">
        <v>0.6</v>
      </c>
      <c r="F37" s="3099" t="s">
        <v>2472</v>
      </c>
      <c r="G37" s="3099"/>
    </row>
    <row r="38" spans="1:7" ht="19.5" customHeight="1">
      <c r="A38" s="3848"/>
      <c r="B38" s="3845"/>
      <c r="C38" s="3100" t="s">
        <v>2473</v>
      </c>
      <c r="D38" s="3101"/>
      <c r="E38" s="3102">
        <v>0.6</v>
      </c>
      <c r="F38" s="3099" t="s">
        <v>2474</v>
      </c>
      <c r="G38" s="3099"/>
    </row>
    <row r="39" spans="1:7" ht="19.5" customHeight="1" thickBot="1">
      <c r="A39" s="3849"/>
      <c r="B39" s="3846"/>
      <c r="C39" s="3103" t="s">
        <v>2475</v>
      </c>
      <c r="D39" s="3104"/>
      <c r="E39" s="3105">
        <v>0.6</v>
      </c>
      <c r="F39" s="3099" t="s">
        <v>2476</v>
      </c>
      <c r="G39" s="3099"/>
    </row>
    <row r="40" spans="1:7" ht="19.5" customHeight="1" thickBot="1">
      <c r="A40" s="3106" t="s">
        <v>2608</v>
      </c>
      <c r="B40" s="3107" t="s">
        <v>2608</v>
      </c>
      <c r="C40" s="3108" t="s">
        <v>2632</v>
      </c>
      <c r="D40" s="3109"/>
      <c r="E40" s="3110">
        <v>1</v>
      </c>
      <c r="F40" s="3099" t="s">
        <v>2477</v>
      </c>
      <c r="G40" s="3099"/>
    </row>
    <row r="41" spans="1:7" ht="19.5" customHeight="1">
      <c r="A41" s="3851" t="s">
        <v>2609</v>
      </c>
      <c r="B41" s="3844" t="s">
        <v>2633</v>
      </c>
      <c r="C41" s="3096" t="s">
        <v>2478</v>
      </c>
      <c r="D41" s="3097"/>
      <c r="E41" s="3098">
        <v>1</v>
      </c>
      <c r="F41" s="3099" t="s">
        <v>2479</v>
      </c>
      <c r="G41" s="3099"/>
    </row>
    <row r="42" spans="1:7" ht="19.5" customHeight="1">
      <c r="A42" s="3852"/>
      <c r="B42" s="3845"/>
      <c r="C42" s="3100" t="s">
        <v>2480</v>
      </c>
      <c r="D42" s="3101"/>
      <c r="E42" s="3102">
        <v>1</v>
      </c>
      <c r="F42" s="3099" t="s">
        <v>2481</v>
      </c>
      <c r="G42" s="3099"/>
    </row>
    <row r="43" spans="1:7" ht="19.5" customHeight="1">
      <c r="A43" s="3852"/>
      <c r="B43" s="3854"/>
      <c r="C43" s="3100" t="s">
        <v>2482</v>
      </c>
      <c r="D43" s="3101"/>
      <c r="E43" s="3102">
        <v>1.5</v>
      </c>
      <c r="F43" s="3099" t="s">
        <v>2483</v>
      </c>
      <c r="G43" s="3099"/>
    </row>
    <row r="44" spans="1:7" ht="19.5" customHeight="1">
      <c r="A44" s="3852"/>
      <c r="B44" s="3111" t="s">
        <v>2634</v>
      </c>
      <c r="C44" s="3100" t="s">
        <v>2635</v>
      </c>
      <c r="D44" s="3101"/>
      <c r="E44" s="3102">
        <v>2</v>
      </c>
      <c r="F44" s="3099" t="s">
        <v>2484</v>
      </c>
      <c r="G44" s="3099"/>
    </row>
    <row r="45" spans="1:7" ht="19.5" customHeight="1">
      <c r="A45" s="3852"/>
      <c r="B45" s="3850" t="s">
        <v>2636</v>
      </c>
      <c r="C45" s="3100" t="s">
        <v>2485</v>
      </c>
      <c r="D45" s="3101"/>
      <c r="E45" s="3102">
        <v>1</v>
      </c>
      <c r="F45" s="3099" t="s">
        <v>2486</v>
      </c>
      <c r="G45" s="3099"/>
    </row>
    <row r="46" spans="1:7" ht="19.5" customHeight="1">
      <c r="A46" s="3852"/>
      <c r="B46" s="3845"/>
      <c r="C46" s="3100" t="s">
        <v>2487</v>
      </c>
      <c r="D46" s="3101"/>
      <c r="E46" s="3102">
        <v>1</v>
      </c>
      <c r="F46" s="3099" t="s">
        <v>2488</v>
      </c>
      <c r="G46" s="3099"/>
    </row>
    <row r="47" spans="1:7" ht="19.5" customHeight="1">
      <c r="A47" s="3852"/>
      <c r="B47" s="3845"/>
      <c r="C47" s="3100" t="s">
        <v>2489</v>
      </c>
      <c r="D47" s="3101"/>
      <c r="E47" s="3102">
        <v>1</v>
      </c>
      <c r="F47" s="3099" t="s">
        <v>2490</v>
      </c>
      <c r="G47" s="3099"/>
    </row>
    <row r="48" spans="1:7" ht="19.5" customHeight="1">
      <c r="A48" s="3852"/>
      <c r="B48" s="3845"/>
      <c r="C48" s="3100" t="s">
        <v>2491</v>
      </c>
      <c r="D48" s="3101"/>
      <c r="E48" s="3102">
        <v>1</v>
      </c>
      <c r="F48" s="3099" t="s">
        <v>2492</v>
      </c>
      <c r="G48" s="3099"/>
    </row>
    <row r="49" spans="1:7" ht="19.5" customHeight="1">
      <c r="A49" s="3852"/>
      <c r="B49" s="3845"/>
      <c r="C49" s="3100" t="s">
        <v>2493</v>
      </c>
      <c r="D49" s="3101"/>
      <c r="E49" s="3102">
        <v>1</v>
      </c>
      <c r="F49" s="3099" t="s">
        <v>2494</v>
      </c>
      <c r="G49" s="3099"/>
    </row>
    <row r="50" spans="1:7" ht="19.5" customHeight="1">
      <c r="A50" s="3852"/>
      <c r="B50" s="3845"/>
      <c r="C50" s="3100" t="s">
        <v>2495</v>
      </c>
      <c r="D50" s="3101"/>
      <c r="E50" s="3102">
        <v>1</v>
      </c>
      <c r="F50" s="3099" t="s">
        <v>2496</v>
      </c>
      <c r="G50" s="3099"/>
    </row>
    <row r="51" spans="1:7" ht="19.5" customHeight="1" thickBot="1">
      <c r="A51" s="3853"/>
      <c r="B51" s="3846"/>
      <c r="C51" s="3103" t="s">
        <v>2497</v>
      </c>
      <c r="D51" s="3104"/>
      <c r="E51" s="3105">
        <v>1</v>
      </c>
      <c r="F51" s="3099" t="s">
        <v>2498</v>
      </c>
      <c r="G51" s="3099"/>
    </row>
    <row r="52" spans="1:7" ht="19.5" customHeight="1">
      <c r="A52" s="3112"/>
      <c r="B52" s="3112"/>
      <c r="C52" s="3112"/>
      <c r="D52" s="3112"/>
      <c r="E52" s="3112"/>
      <c r="F52" s="3112"/>
      <c r="G52" s="3112"/>
    </row>
    <row r="54" spans="1:7" ht="19.5" customHeight="1">
      <c r="A54" s="3113"/>
      <c r="B54" s="3085" t="s">
        <v>2637</v>
      </c>
      <c r="C54" s="3085" t="s">
        <v>2637</v>
      </c>
      <c r="D54" s="3085" t="s">
        <v>2637</v>
      </c>
      <c r="E54" s="3088" t="s">
        <v>2637</v>
      </c>
      <c r="F54" s="3088" t="s">
        <v>2638</v>
      </c>
      <c r="G54" s="3088" t="s">
        <v>2639</v>
      </c>
    </row>
    <row r="55" spans="1:7" ht="19.5" customHeight="1">
      <c r="A55" s="3114"/>
      <c r="B55" s="3088" t="s">
        <v>2606</v>
      </c>
      <c r="C55" s="3088" t="s">
        <v>2606</v>
      </c>
      <c r="D55" s="3088" t="s">
        <v>2606</v>
      </c>
      <c r="E55" s="3085" t="s">
        <v>2607</v>
      </c>
      <c r="F55" s="3085" t="s">
        <v>2609</v>
      </c>
      <c r="G55" s="3085" t="s">
        <v>2640</v>
      </c>
    </row>
    <row r="56" spans="1:7" ht="19.5" customHeight="1">
      <c r="A56" s="3115"/>
      <c r="B56" s="3085">
        <v>1</v>
      </c>
      <c r="C56" s="3085">
        <v>2</v>
      </c>
      <c r="D56" s="3085">
        <v>3</v>
      </c>
      <c r="E56" s="3116" t="s">
        <v>2641</v>
      </c>
      <c r="F56" s="3116" t="s">
        <v>2641</v>
      </c>
      <c r="G56" s="3116" t="s">
        <v>2641</v>
      </c>
    </row>
    <row r="57" spans="1:7" ht="19.5" customHeight="1">
      <c r="A57" s="3117" t="s">
        <v>2594</v>
      </c>
      <c r="B57" s="3085">
        <v>0.7</v>
      </c>
      <c r="C57" s="3085">
        <v>0.4</v>
      </c>
      <c r="D57" s="3085">
        <v>0.3</v>
      </c>
      <c r="E57" s="3116">
        <v>0.3</v>
      </c>
      <c r="F57" s="3085">
        <v>0.3</v>
      </c>
      <c r="G57" s="3085">
        <v>0.2</v>
      </c>
    </row>
    <row r="58" spans="1:7" ht="19.5" customHeight="1">
      <c r="A58" s="3117" t="s">
        <v>2595</v>
      </c>
      <c r="B58" s="3085">
        <v>0.7</v>
      </c>
      <c r="C58" s="3085">
        <v>0.4</v>
      </c>
      <c r="D58" s="3085">
        <v>0.3</v>
      </c>
      <c r="E58" s="3085">
        <v>0.3</v>
      </c>
      <c r="F58" s="3085">
        <v>0.3</v>
      </c>
      <c r="G58" s="3085">
        <v>0.2</v>
      </c>
    </row>
    <row r="59" spans="1:7" ht="19.5" customHeight="1">
      <c r="A59" s="3117" t="s">
        <v>2596</v>
      </c>
      <c r="B59" s="3085">
        <v>0.6</v>
      </c>
      <c r="C59" s="3085">
        <v>0.3</v>
      </c>
      <c r="D59" s="3085">
        <v>0.25</v>
      </c>
      <c r="E59" s="3085">
        <v>0.25</v>
      </c>
      <c r="F59" s="3085">
        <v>0.25</v>
      </c>
      <c r="G59" s="3085">
        <v>0.15</v>
      </c>
    </row>
    <row r="60" spans="1:7" ht="19.5" customHeight="1">
      <c r="A60" s="3117" t="s">
        <v>2597</v>
      </c>
      <c r="B60" s="3085">
        <v>0.6</v>
      </c>
      <c r="C60" s="3085">
        <v>0.3</v>
      </c>
      <c r="D60" s="3085">
        <v>0.25</v>
      </c>
      <c r="E60" s="3085">
        <v>0.25</v>
      </c>
      <c r="F60" s="3085">
        <v>0.25</v>
      </c>
      <c r="G60" s="3085">
        <v>0.15</v>
      </c>
    </row>
    <row r="61" spans="1:7" ht="19.5" customHeight="1">
      <c r="A61" s="3117" t="s">
        <v>2598</v>
      </c>
      <c r="B61" s="3085">
        <v>0.6</v>
      </c>
      <c r="C61" s="3085">
        <v>0.3</v>
      </c>
      <c r="D61" s="3085">
        <v>0.25</v>
      </c>
      <c r="E61" s="3085">
        <v>0.25</v>
      </c>
      <c r="F61" s="3085">
        <v>0.25</v>
      </c>
      <c r="G61" s="3085">
        <v>0.15</v>
      </c>
    </row>
    <row r="62" spans="1:7" ht="19.5" customHeight="1">
      <c r="A62" s="3117" t="s">
        <v>2599</v>
      </c>
      <c r="B62" s="3085">
        <v>0.6</v>
      </c>
      <c r="C62" s="3085">
        <v>0.3</v>
      </c>
      <c r="D62" s="3085">
        <v>0.25</v>
      </c>
      <c r="E62" s="3085">
        <v>0.25</v>
      </c>
      <c r="F62" s="3085">
        <v>0.25</v>
      </c>
      <c r="G62" s="3085">
        <v>0.15</v>
      </c>
    </row>
    <row r="63" spans="1:7" ht="19.5" customHeight="1">
      <c r="A63" s="3117" t="s">
        <v>2600</v>
      </c>
      <c r="B63" s="3085">
        <v>0.6</v>
      </c>
      <c r="C63" s="3085">
        <v>0.3</v>
      </c>
      <c r="D63" s="3085">
        <v>0.25</v>
      </c>
      <c r="E63" s="3085">
        <v>0.25</v>
      </c>
      <c r="F63" s="3085">
        <v>0.25</v>
      </c>
      <c r="G63" s="3085">
        <v>0.15</v>
      </c>
    </row>
    <row r="64" spans="1:7" ht="19.5" customHeight="1">
      <c r="A64" s="3117" t="s">
        <v>2601</v>
      </c>
      <c r="B64" s="3085">
        <v>0.5</v>
      </c>
      <c r="C64" s="3085">
        <v>0.2</v>
      </c>
      <c r="D64" s="3085">
        <v>0.2</v>
      </c>
      <c r="E64" s="3085">
        <v>0.2</v>
      </c>
      <c r="F64" s="3085">
        <v>0.2</v>
      </c>
      <c r="G64" s="3085">
        <v>0.1</v>
      </c>
    </row>
    <row r="65" spans="1:7" ht="19.5" customHeight="1">
      <c r="A65" s="3117" t="s">
        <v>2602</v>
      </c>
      <c r="B65" s="3085">
        <v>0.5</v>
      </c>
      <c r="C65" s="3085">
        <v>0.2</v>
      </c>
      <c r="D65" s="3085">
        <v>0.2</v>
      </c>
      <c r="E65" s="3085">
        <v>0.2</v>
      </c>
      <c r="F65" s="3085">
        <v>0.2</v>
      </c>
      <c r="G65" s="3085">
        <v>0.1</v>
      </c>
    </row>
    <row r="66" spans="1:7" ht="19.5" customHeight="1">
      <c r="A66" s="3117" t="s">
        <v>2603</v>
      </c>
      <c r="B66" s="3085">
        <v>0.5</v>
      </c>
      <c r="C66" s="3085">
        <v>0.2</v>
      </c>
      <c r="D66" s="3085">
        <v>0.2</v>
      </c>
      <c r="E66" s="3085">
        <v>0.2</v>
      </c>
      <c r="F66" s="3085">
        <v>0.2</v>
      </c>
      <c r="G66" s="3085">
        <v>0.1</v>
      </c>
    </row>
    <row r="67" spans="1:7" ht="19.5" customHeight="1">
      <c r="A67" s="3117" t="s">
        <v>2604</v>
      </c>
      <c r="B67" s="3085">
        <v>0.5</v>
      </c>
      <c r="C67" s="3085">
        <v>0.2</v>
      </c>
      <c r="D67" s="3085">
        <v>0.2</v>
      </c>
      <c r="E67" s="3085">
        <v>0.2</v>
      </c>
      <c r="F67" s="3085">
        <v>0.2</v>
      </c>
      <c r="G67" s="3085">
        <v>0.1</v>
      </c>
    </row>
    <row r="68" spans="1:7" ht="19.5" customHeight="1">
      <c r="A68" s="3117" t="s">
        <v>2605</v>
      </c>
      <c r="B68" s="3085">
        <v>0.5</v>
      </c>
      <c r="C68" s="3085">
        <v>0.2</v>
      </c>
      <c r="D68" s="3085">
        <v>0.2</v>
      </c>
      <c r="E68" s="3085">
        <v>0.2</v>
      </c>
      <c r="F68" s="3085">
        <v>0.2</v>
      </c>
      <c r="G68" s="3085">
        <v>0.1</v>
      </c>
    </row>
    <row r="70" spans="1:7" ht="19.5" customHeight="1">
      <c r="A70" s="3118"/>
      <c r="B70" s="3119"/>
      <c r="C70" s="3119"/>
      <c r="D70" s="3119" t="s">
        <v>2642</v>
      </c>
      <c r="E70" s="3119"/>
      <c r="F70" s="3119"/>
    </row>
    <row r="71" spans="1:7" ht="19.5" customHeight="1">
      <c r="A71" s="3111" t="s">
        <v>2643</v>
      </c>
      <c r="B71" s="3111" t="s">
        <v>2644</v>
      </c>
      <c r="C71" s="3111" t="s">
        <v>2645</v>
      </c>
      <c r="D71" s="3111" t="s">
        <v>2646</v>
      </c>
      <c r="E71" s="3111" t="s">
        <v>2647</v>
      </c>
      <c r="F71" s="3111" t="s">
        <v>2648</v>
      </c>
    </row>
    <row r="72" spans="1:7" ht="13.5">
      <c r="A72" s="3111"/>
      <c r="B72" s="3111"/>
      <c r="C72" s="3111" t="s">
        <v>2649</v>
      </c>
      <c r="D72" s="3111"/>
      <c r="E72" s="3111" t="s">
        <v>2620</v>
      </c>
      <c r="F72" s="3111" t="s">
        <v>2620</v>
      </c>
    </row>
    <row r="73" spans="1:7" ht="13.5">
      <c r="A73" s="3111">
        <v>1</v>
      </c>
      <c r="B73" s="3850" t="s">
        <v>2650</v>
      </c>
      <c r="C73" s="3085" t="s">
        <v>2651</v>
      </c>
      <c r="D73" s="3085" t="s">
        <v>2652</v>
      </c>
      <c r="E73" s="3111">
        <v>0.2</v>
      </c>
      <c r="F73" s="3111">
        <v>25</v>
      </c>
    </row>
    <row r="74" spans="1:7" ht="24">
      <c r="A74" s="3111">
        <v>2</v>
      </c>
      <c r="B74" s="3845"/>
      <c r="C74" s="3085" t="s">
        <v>2653</v>
      </c>
      <c r="D74" s="3085" t="s">
        <v>2654</v>
      </c>
      <c r="E74" s="3111">
        <v>0.2</v>
      </c>
      <c r="F74" s="3111">
        <v>25</v>
      </c>
    </row>
    <row r="75" spans="1:7" ht="24">
      <c r="A75" s="3111">
        <v>3</v>
      </c>
      <c r="B75" s="3845"/>
      <c r="C75" s="3085" t="s">
        <v>2655</v>
      </c>
      <c r="D75" s="3085" t="s">
        <v>2656</v>
      </c>
      <c r="E75" s="3111">
        <v>0.2</v>
      </c>
      <c r="F75" s="3111">
        <v>25</v>
      </c>
    </row>
    <row r="76" spans="1:7" ht="13.5">
      <c r="A76" s="3111">
        <v>4</v>
      </c>
      <c r="B76" s="3845"/>
      <c r="C76" s="3085" t="s">
        <v>2657</v>
      </c>
      <c r="D76" s="3085" t="s">
        <v>2658</v>
      </c>
      <c r="E76" s="3111">
        <v>0.15</v>
      </c>
      <c r="F76" s="3111">
        <v>20</v>
      </c>
    </row>
    <row r="77" spans="1:7" ht="24">
      <c r="A77" s="3111">
        <v>5</v>
      </c>
      <c r="B77" s="3845"/>
      <c r="C77" s="3085" t="s">
        <v>2659</v>
      </c>
      <c r="D77" s="3085" t="s">
        <v>2660</v>
      </c>
      <c r="E77" s="3111">
        <v>0.15</v>
      </c>
      <c r="F77" s="3111">
        <v>20</v>
      </c>
    </row>
    <row r="78" spans="1:7" ht="24">
      <c r="A78" s="3111">
        <v>6</v>
      </c>
      <c r="B78" s="3845"/>
      <c r="C78" s="3085" t="s">
        <v>2661</v>
      </c>
      <c r="D78" s="3085" t="s">
        <v>2662</v>
      </c>
      <c r="E78" s="3111">
        <v>0.15</v>
      </c>
      <c r="F78" s="3111">
        <v>20</v>
      </c>
    </row>
    <row r="79" spans="1:7" ht="24">
      <c r="A79" s="3111">
        <v>7</v>
      </c>
      <c r="B79" s="3845"/>
      <c r="C79" s="3085" t="s">
        <v>2663</v>
      </c>
      <c r="D79" s="3085" t="s">
        <v>2664</v>
      </c>
      <c r="E79" s="3111">
        <v>0.15</v>
      </c>
      <c r="F79" s="3111">
        <v>20</v>
      </c>
    </row>
    <row r="80" spans="1:7" ht="24">
      <c r="A80" s="3111">
        <v>8</v>
      </c>
      <c r="B80" s="3845"/>
      <c r="C80" s="3085" t="s">
        <v>2665</v>
      </c>
      <c r="D80" s="3085" t="s">
        <v>2666</v>
      </c>
      <c r="E80" s="3111">
        <v>0.1</v>
      </c>
      <c r="F80" s="3111">
        <v>15</v>
      </c>
    </row>
    <row r="81" spans="1:6" ht="24">
      <c r="A81" s="3111">
        <v>9</v>
      </c>
      <c r="B81" s="3845"/>
      <c r="C81" s="3085" t="s">
        <v>2667</v>
      </c>
      <c r="D81" s="3085" t="s">
        <v>2668</v>
      </c>
      <c r="E81" s="3111">
        <v>0.1</v>
      </c>
      <c r="F81" s="3111">
        <v>15</v>
      </c>
    </row>
    <row r="82" spans="1:6" ht="24">
      <c r="A82" s="3111">
        <v>10</v>
      </c>
      <c r="B82" s="3845"/>
      <c r="C82" s="3085" t="s">
        <v>2669</v>
      </c>
      <c r="D82" s="3085" t="s">
        <v>2670</v>
      </c>
      <c r="E82" s="3111">
        <v>0.1</v>
      </c>
      <c r="F82" s="3111">
        <v>15</v>
      </c>
    </row>
    <row r="83" spans="1:6" ht="24">
      <c r="A83" s="3111">
        <v>11</v>
      </c>
      <c r="B83" s="3845"/>
      <c r="C83" s="3085" t="s">
        <v>2671</v>
      </c>
      <c r="D83" s="3085" t="s">
        <v>2672</v>
      </c>
      <c r="E83" s="3111">
        <v>0.1</v>
      </c>
      <c r="F83" s="3111">
        <v>15</v>
      </c>
    </row>
    <row r="84" spans="1:6" ht="24">
      <c r="A84" s="3111">
        <v>12</v>
      </c>
      <c r="B84" s="3845"/>
      <c r="C84" s="3085" t="s">
        <v>2673</v>
      </c>
      <c r="D84" s="3085" t="s">
        <v>2674</v>
      </c>
      <c r="E84" s="3111">
        <v>0.1</v>
      </c>
      <c r="F84" s="3111">
        <v>15</v>
      </c>
    </row>
    <row r="85" spans="1:6" ht="13.5">
      <c r="A85" s="3111">
        <v>13</v>
      </c>
      <c r="B85" s="3845"/>
      <c r="C85" s="3085" t="s">
        <v>2675</v>
      </c>
      <c r="D85" s="3085" t="s">
        <v>2676</v>
      </c>
      <c r="E85" s="3111">
        <v>0.1</v>
      </c>
      <c r="F85" s="3111">
        <v>15</v>
      </c>
    </row>
    <row r="86" spans="1:6" ht="13.5">
      <c r="A86" s="3111">
        <v>14</v>
      </c>
      <c r="B86" s="3845"/>
      <c r="C86" s="3085" t="s">
        <v>2677</v>
      </c>
      <c r="D86" s="3085" t="s">
        <v>2678</v>
      </c>
      <c r="E86" s="3111">
        <v>0.1</v>
      </c>
      <c r="F86" s="3111">
        <v>15</v>
      </c>
    </row>
    <row r="87" spans="1:6" ht="13.5">
      <c r="A87" s="3111">
        <v>15</v>
      </c>
      <c r="B87" s="3845"/>
      <c r="C87" s="3085" t="s">
        <v>2679</v>
      </c>
      <c r="D87" s="3085" t="s">
        <v>2680</v>
      </c>
      <c r="E87" s="3111">
        <v>0.1</v>
      </c>
      <c r="F87" s="3111">
        <v>15</v>
      </c>
    </row>
    <row r="88" spans="1:6" ht="24">
      <c r="A88" s="3111">
        <v>16</v>
      </c>
      <c r="B88" s="3845"/>
      <c r="C88" s="3085" t="s">
        <v>2681</v>
      </c>
      <c r="D88" s="3085" t="s">
        <v>2682</v>
      </c>
      <c r="E88" s="3111">
        <v>0.1</v>
      </c>
      <c r="F88" s="3111">
        <v>15</v>
      </c>
    </row>
    <row r="89" spans="1:6" ht="24">
      <c r="A89" s="3111">
        <v>17</v>
      </c>
      <c r="B89" s="3854"/>
      <c r="C89" s="3085" t="s">
        <v>2683</v>
      </c>
      <c r="D89" s="3085" t="s">
        <v>2684</v>
      </c>
      <c r="E89" s="3111">
        <v>0.1</v>
      </c>
      <c r="F89" s="3111">
        <v>15</v>
      </c>
    </row>
    <row r="90" spans="1:6" ht="13.5">
      <c r="A90" s="3111">
        <v>18</v>
      </c>
      <c r="B90" s="3850" t="s">
        <v>2685</v>
      </c>
      <c r="C90" s="3085" t="s">
        <v>2686</v>
      </c>
      <c r="D90" s="3085" t="s">
        <v>2687</v>
      </c>
      <c r="E90" s="3111">
        <v>0.2</v>
      </c>
      <c r="F90" s="3111">
        <v>25</v>
      </c>
    </row>
    <row r="91" spans="1:6" ht="24">
      <c r="A91" s="3111">
        <v>19</v>
      </c>
      <c r="B91" s="3845"/>
      <c r="C91" s="3085" t="s">
        <v>2688</v>
      </c>
      <c r="D91" s="3085" t="s">
        <v>2689</v>
      </c>
      <c r="E91" s="3111">
        <v>0.2</v>
      </c>
      <c r="F91" s="3111">
        <v>25</v>
      </c>
    </row>
    <row r="92" spans="1:6" ht="13.5">
      <c r="A92" s="3111">
        <v>20</v>
      </c>
      <c r="B92" s="3845"/>
      <c r="C92" s="3085" t="s">
        <v>2690</v>
      </c>
      <c r="D92" s="3085" t="s">
        <v>2691</v>
      </c>
      <c r="E92" s="3111">
        <v>0.15</v>
      </c>
      <c r="F92" s="3111">
        <v>20</v>
      </c>
    </row>
    <row r="93" spans="1:6" ht="13.5">
      <c r="A93" s="3111">
        <v>21</v>
      </c>
      <c r="B93" s="3845"/>
      <c r="C93" s="3085" t="s">
        <v>2692</v>
      </c>
      <c r="D93" s="3085" t="s">
        <v>2693</v>
      </c>
      <c r="E93" s="3111">
        <v>0.15</v>
      </c>
      <c r="F93" s="3111">
        <v>20</v>
      </c>
    </row>
    <row r="94" spans="1:6" ht="13.5">
      <c r="A94" s="3111">
        <v>22</v>
      </c>
      <c r="B94" s="3845"/>
      <c r="C94" s="3085" t="s">
        <v>2694</v>
      </c>
      <c r="D94" s="3085" t="s">
        <v>2695</v>
      </c>
      <c r="E94" s="3111">
        <v>0.15</v>
      </c>
      <c r="F94" s="3111">
        <v>20</v>
      </c>
    </row>
    <row r="95" spans="1:6" ht="36">
      <c r="A95" s="3111">
        <v>23</v>
      </c>
      <c r="B95" s="3845"/>
      <c r="C95" s="3085" t="s">
        <v>2696</v>
      </c>
      <c r="D95" s="3085" t="s">
        <v>2697</v>
      </c>
      <c r="E95" s="3111">
        <v>0.15</v>
      </c>
      <c r="F95" s="3111">
        <v>20</v>
      </c>
    </row>
    <row r="96" spans="1:6" ht="13.5">
      <c r="A96" s="3111">
        <v>24</v>
      </c>
      <c r="B96" s="3845"/>
      <c r="C96" s="3085" t="s">
        <v>2698</v>
      </c>
      <c r="D96" s="3085" t="s">
        <v>2699</v>
      </c>
      <c r="E96" s="3111">
        <v>0.1</v>
      </c>
      <c r="F96" s="3111">
        <v>15</v>
      </c>
    </row>
    <row r="97" spans="1:6" ht="13.5">
      <c r="A97" s="3111">
        <v>25</v>
      </c>
      <c r="B97" s="3845"/>
      <c r="C97" s="3085" t="s">
        <v>2700</v>
      </c>
      <c r="D97" s="3085" t="s">
        <v>2701</v>
      </c>
      <c r="E97" s="3111">
        <v>0.1</v>
      </c>
      <c r="F97" s="3111">
        <v>15</v>
      </c>
    </row>
    <row r="98" spans="1:6" ht="24">
      <c r="A98" s="3111">
        <v>26</v>
      </c>
      <c r="B98" s="3845"/>
      <c r="C98" s="3085" t="s">
        <v>2702</v>
      </c>
      <c r="D98" s="3085" t="s">
        <v>2703</v>
      </c>
      <c r="E98" s="3111">
        <v>0.1</v>
      </c>
      <c r="F98" s="3111">
        <v>15</v>
      </c>
    </row>
    <row r="99" spans="1:6" ht="24">
      <c r="A99" s="3111">
        <v>27</v>
      </c>
      <c r="B99" s="3845"/>
      <c r="C99" s="3085" t="s">
        <v>2704</v>
      </c>
      <c r="D99" s="3085" t="s">
        <v>2705</v>
      </c>
      <c r="E99" s="3111">
        <v>0.1</v>
      </c>
      <c r="F99" s="3111">
        <v>15</v>
      </c>
    </row>
    <row r="100" spans="1:6" ht="13.5">
      <c r="A100" s="3111">
        <v>28</v>
      </c>
      <c r="B100" s="3845"/>
      <c r="C100" s="3085" t="s">
        <v>2706</v>
      </c>
      <c r="D100" s="3085" t="s">
        <v>2707</v>
      </c>
      <c r="E100" s="3111">
        <v>0.1</v>
      </c>
      <c r="F100" s="3111">
        <v>15</v>
      </c>
    </row>
    <row r="101" spans="1:6" ht="13.5">
      <c r="A101" s="3111">
        <v>29</v>
      </c>
      <c r="B101" s="3845"/>
      <c r="C101" s="3085" t="s">
        <v>2708</v>
      </c>
      <c r="D101" s="3085" t="s">
        <v>2709</v>
      </c>
      <c r="E101" s="3111">
        <v>0.1</v>
      </c>
      <c r="F101" s="3111">
        <v>15</v>
      </c>
    </row>
    <row r="102" spans="1:6" ht="13.5">
      <c r="A102" s="3111">
        <v>30</v>
      </c>
      <c r="B102" s="3845"/>
      <c r="C102" s="3085" t="s">
        <v>2710</v>
      </c>
      <c r="D102" s="3085" t="s">
        <v>2711</v>
      </c>
      <c r="E102" s="3111">
        <v>0.1</v>
      </c>
      <c r="F102" s="3111">
        <v>15</v>
      </c>
    </row>
    <row r="103" spans="1:6" ht="24">
      <c r="A103" s="3111">
        <v>31</v>
      </c>
      <c r="B103" s="3845"/>
      <c r="C103" s="3085" t="s">
        <v>2712</v>
      </c>
      <c r="D103" s="3085" t="s">
        <v>2713</v>
      </c>
      <c r="E103" s="3111">
        <v>0.1</v>
      </c>
      <c r="F103" s="3111">
        <v>15</v>
      </c>
    </row>
    <row r="104" spans="1:6" ht="24">
      <c r="A104" s="3111">
        <v>32</v>
      </c>
      <c r="B104" s="3845"/>
      <c r="C104" s="3085" t="s">
        <v>2714</v>
      </c>
      <c r="D104" s="3085" t="s">
        <v>2715</v>
      </c>
      <c r="E104" s="3111">
        <v>0.1</v>
      </c>
      <c r="F104" s="3111">
        <v>15</v>
      </c>
    </row>
    <row r="105" spans="1:6" ht="24">
      <c r="A105" s="3111">
        <v>33</v>
      </c>
      <c r="B105" s="3845"/>
      <c r="C105" s="3085" t="s">
        <v>2716</v>
      </c>
      <c r="D105" s="3085" t="s">
        <v>2717</v>
      </c>
      <c r="E105" s="3111">
        <v>0.1</v>
      </c>
      <c r="F105" s="3111">
        <v>15</v>
      </c>
    </row>
    <row r="106" spans="1:6" ht="24">
      <c r="A106" s="3111">
        <v>34</v>
      </c>
      <c r="B106" s="3854"/>
      <c r="C106" s="3085" t="s">
        <v>2718</v>
      </c>
      <c r="D106" s="3085" t="s">
        <v>2719</v>
      </c>
      <c r="E106" s="3111">
        <v>0.1</v>
      </c>
      <c r="F106" s="3111">
        <v>15</v>
      </c>
    </row>
    <row r="107" spans="1:6" ht="24">
      <c r="A107" s="3111">
        <v>35</v>
      </c>
      <c r="B107" s="3850" t="s">
        <v>2720</v>
      </c>
      <c r="C107" s="3111" t="s">
        <v>2721</v>
      </c>
      <c r="D107" s="3085" t="s">
        <v>2722</v>
      </c>
      <c r="E107" s="3111">
        <v>0.15</v>
      </c>
      <c r="F107" s="3111">
        <v>20</v>
      </c>
    </row>
    <row r="108" spans="1:6" ht="13.5">
      <c r="A108" s="3111">
        <v>36</v>
      </c>
      <c r="B108" s="3845"/>
      <c r="C108" s="3111" t="s">
        <v>2723</v>
      </c>
      <c r="D108" s="3085" t="s">
        <v>2724</v>
      </c>
      <c r="E108" s="3111">
        <v>0.15</v>
      </c>
      <c r="F108" s="3111">
        <v>20</v>
      </c>
    </row>
    <row r="109" spans="1:6" ht="13.5">
      <c r="A109" s="3111">
        <v>37</v>
      </c>
      <c r="B109" s="3845"/>
      <c r="C109" s="3111" t="s">
        <v>2725</v>
      </c>
      <c r="D109" s="3085" t="s">
        <v>2726</v>
      </c>
      <c r="E109" s="3111">
        <v>0.15</v>
      </c>
      <c r="F109" s="3111">
        <v>20</v>
      </c>
    </row>
    <row r="110" spans="1:6" ht="13.5">
      <c r="A110" s="3111">
        <v>38</v>
      </c>
      <c r="B110" s="3845"/>
      <c r="C110" s="3111" t="s">
        <v>2727</v>
      </c>
      <c r="D110" s="3085" t="s">
        <v>2728</v>
      </c>
      <c r="E110" s="3111">
        <v>0.1</v>
      </c>
      <c r="F110" s="3111">
        <v>15</v>
      </c>
    </row>
    <row r="111" spans="1:6" ht="24">
      <c r="A111" s="3111">
        <v>39</v>
      </c>
      <c r="B111" s="3845"/>
      <c r="C111" s="3111" t="s">
        <v>2729</v>
      </c>
      <c r="D111" s="3085" t="s">
        <v>2730</v>
      </c>
      <c r="E111" s="3111">
        <v>0.1</v>
      </c>
      <c r="F111" s="3111">
        <v>15</v>
      </c>
    </row>
    <row r="112" spans="1:6" ht="24">
      <c r="A112" s="3111">
        <v>40</v>
      </c>
      <c r="B112" s="3854"/>
      <c r="C112" s="3111" t="s">
        <v>2731</v>
      </c>
      <c r="D112" s="3085" t="s">
        <v>2732</v>
      </c>
      <c r="E112" s="3111">
        <v>0.1</v>
      </c>
      <c r="F112" s="3111">
        <v>15</v>
      </c>
    </row>
    <row r="113" spans="1:6" ht="13.5">
      <c r="A113" s="3111">
        <v>41</v>
      </c>
      <c r="B113" s="3855" t="s">
        <v>2733</v>
      </c>
      <c r="C113" s="3111" t="s">
        <v>2734</v>
      </c>
      <c r="D113" s="3085" t="s">
        <v>2735</v>
      </c>
      <c r="E113" s="3111">
        <v>0.1</v>
      </c>
      <c r="F113" s="3111">
        <v>15</v>
      </c>
    </row>
    <row r="114" spans="1:6" ht="13.5">
      <c r="A114" s="3111">
        <v>42</v>
      </c>
      <c r="B114" s="3855"/>
      <c r="C114" s="3111" t="s">
        <v>2736</v>
      </c>
      <c r="D114" s="3085" t="s">
        <v>2737</v>
      </c>
      <c r="E114" s="3111">
        <v>0.1</v>
      </c>
      <c r="F114" s="3111">
        <v>15</v>
      </c>
    </row>
    <row r="115" spans="1:6" ht="24">
      <c r="A115" s="3111">
        <v>43</v>
      </c>
      <c r="B115" s="3855"/>
      <c r="C115" s="3111" t="s">
        <v>2738</v>
      </c>
      <c r="D115" s="3085" t="s">
        <v>2739</v>
      </c>
      <c r="E115" s="3111">
        <v>0.1</v>
      </c>
      <c r="F115" s="3111">
        <v>15</v>
      </c>
    </row>
    <row r="116" spans="1:6" ht="13.5">
      <c r="A116" s="3111">
        <v>44</v>
      </c>
      <c r="B116" s="3850" t="s">
        <v>2740</v>
      </c>
      <c r="C116" s="3111" t="s">
        <v>2741</v>
      </c>
      <c r="D116" s="3085" t="s">
        <v>2742</v>
      </c>
      <c r="E116" s="3111">
        <v>0.1</v>
      </c>
      <c r="F116" s="3111">
        <v>15</v>
      </c>
    </row>
    <row r="117" spans="1:6" ht="24">
      <c r="A117" s="3111">
        <v>45</v>
      </c>
      <c r="B117" s="3854"/>
      <c r="C117" s="3085" t="s">
        <v>2743</v>
      </c>
      <c r="D117" s="3085" t="s">
        <v>2744</v>
      </c>
      <c r="E117" s="3111">
        <v>0.1</v>
      </c>
      <c r="F117" s="3111">
        <v>15</v>
      </c>
    </row>
    <row r="118" spans="1:6" ht="24">
      <c r="A118" s="3111">
        <v>46</v>
      </c>
      <c r="B118" s="3850" t="s">
        <v>2745</v>
      </c>
      <c r="C118" s="3111" t="s">
        <v>2746</v>
      </c>
      <c r="D118" s="3085" t="s">
        <v>2747</v>
      </c>
      <c r="E118" s="3111">
        <v>0.1</v>
      </c>
      <c r="F118" s="3111">
        <v>15</v>
      </c>
    </row>
    <row r="119" spans="1:6" ht="24">
      <c r="A119" s="3111">
        <v>47</v>
      </c>
      <c r="B119" s="3854"/>
      <c r="C119" s="3111" t="s">
        <v>2748</v>
      </c>
      <c r="D119" s="3085" t="s">
        <v>2749</v>
      </c>
      <c r="E119" s="3111">
        <v>0.1</v>
      </c>
      <c r="F119" s="3111">
        <v>15</v>
      </c>
    </row>
    <row r="120" spans="1:6" ht="13.5">
      <c r="A120" s="3111">
        <v>48</v>
      </c>
      <c r="B120" s="3850" t="s">
        <v>2750</v>
      </c>
      <c r="C120" s="3111" t="s">
        <v>2751</v>
      </c>
      <c r="D120" s="3085" t="s">
        <v>2752</v>
      </c>
      <c r="E120" s="3111">
        <v>0.1</v>
      </c>
      <c r="F120" s="3111">
        <v>15</v>
      </c>
    </row>
    <row r="121" spans="1:6" ht="13.5">
      <c r="A121" s="3111">
        <v>49</v>
      </c>
      <c r="B121" s="3854"/>
      <c r="C121" s="3111" t="s">
        <v>2753</v>
      </c>
      <c r="D121" s="3085" t="s">
        <v>2754</v>
      </c>
      <c r="E121" s="3111">
        <v>0.1</v>
      </c>
      <c r="F121" s="3111">
        <v>15</v>
      </c>
    </row>
    <row r="122" spans="1:6" ht="24">
      <c r="A122" s="3111">
        <v>50</v>
      </c>
      <c r="B122" s="3855" t="s">
        <v>2755</v>
      </c>
      <c r="C122" s="3111" t="s">
        <v>2756</v>
      </c>
      <c r="D122" s="3085" t="s">
        <v>2757</v>
      </c>
      <c r="E122" s="3111">
        <v>0.1</v>
      </c>
      <c r="F122" s="3111">
        <v>15</v>
      </c>
    </row>
    <row r="123" spans="1:6" ht="24">
      <c r="A123" s="3111">
        <v>51</v>
      </c>
      <c r="B123" s="3855"/>
      <c r="C123" s="3111" t="s">
        <v>2758</v>
      </c>
      <c r="D123" s="3085" t="s">
        <v>2759</v>
      </c>
      <c r="E123" s="3111">
        <v>0.1</v>
      </c>
      <c r="F123" s="3111">
        <v>15</v>
      </c>
    </row>
    <row r="124" spans="1:6" ht="24">
      <c r="A124" s="3111">
        <v>52</v>
      </c>
      <c r="B124" s="3855" t="s">
        <v>2760</v>
      </c>
      <c r="C124" s="3111" t="s">
        <v>2761</v>
      </c>
      <c r="D124" s="3085" t="s">
        <v>2762</v>
      </c>
      <c r="E124" s="3111">
        <v>0.1</v>
      </c>
      <c r="F124" s="3111">
        <v>15</v>
      </c>
    </row>
    <row r="125" spans="1:6" ht="24">
      <c r="A125" s="3111">
        <v>53</v>
      </c>
      <c r="B125" s="3855"/>
      <c r="C125" s="3111" t="s">
        <v>2763</v>
      </c>
      <c r="D125" s="3085" t="s">
        <v>2764</v>
      </c>
      <c r="E125" s="3111">
        <v>0.1</v>
      </c>
      <c r="F125" s="3111">
        <v>15</v>
      </c>
    </row>
    <row r="126" spans="1:6" ht="13.5">
      <c r="A126" s="3111">
        <v>54</v>
      </c>
      <c r="B126" s="3111" t="s">
        <v>2765</v>
      </c>
      <c r="C126" s="3111" t="s">
        <v>2766</v>
      </c>
      <c r="D126" s="3085" t="s">
        <v>2767</v>
      </c>
      <c r="E126" s="3111">
        <v>0.1</v>
      </c>
      <c r="F126" s="3111">
        <v>15</v>
      </c>
    </row>
    <row r="127" spans="1:6" ht="13.5">
      <c r="A127" s="3111">
        <v>55</v>
      </c>
      <c r="B127" s="3855" t="s">
        <v>2768</v>
      </c>
      <c r="C127" s="3111" t="s">
        <v>2769</v>
      </c>
      <c r="D127" s="3085" t="s">
        <v>2770</v>
      </c>
      <c r="E127" s="3111">
        <v>0.1</v>
      </c>
      <c r="F127" s="3111">
        <v>15</v>
      </c>
    </row>
    <row r="128" spans="1:6" ht="13.5">
      <c r="A128" s="3111">
        <v>56</v>
      </c>
      <c r="B128" s="3855"/>
      <c r="C128" s="3111" t="s">
        <v>2771</v>
      </c>
      <c r="D128" s="3085" t="s">
        <v>2772</v>
      </c>
      <c r="E128" s="3111">
        <v>0.1</v>
      </c>
      <c r="F128" s="3111">
        <v>15</v>
      </c>
    </row>
    <row r="129" spans="1:6" ht="24">
      <c r="A129" s="3111">
        <v>57</v>
      </c>
      <c r="B129" s="3855"/>
      <c r="C129" s="3111" t="s">
        <v>2773</v>
      </c>
      <c r="D129" s="3085" t="s">
        <v>2774</v>
      </c>
      <c r="E129" s="3111">
        <v>0.1</v>
      </c>
      <c r="F129" s="3111">
        <v>15</v>
      </c>
    </row>
    <row r="130" spans="1:6" ht="24">
      <c r="A130" s="3111">
        <v>58</v>
      </c>
      <c r="B130" s="3855" t="s">
        <v>2775</v>
      </c>
      <c r="C130" s="3111" t="s">
        <v>2776</v>
      </c>
      <c r="D130" s="3085" t="s">
        <v>2777</v>
      </c>
      <c r="E130" s="3111">
        <v>0.1</v>
      </c>
      <c r="F130" s="3111">
        <v>15</v>
      </c>
    </row>
    <row r="131" spans="1:6" ht="13.5">
      <c r="A131" s="3111">
        <v>59</v>
      </c>
      <c r="B131" s="3855"/>
      <c r="C131" s="3111" t="s">
        <v>2778</v>
      </c>
      <c r="D131" s="3085" t="s">
        <v>2779</v>
      </c>
      <c r="E131" s="3111">
        <v>0.1</v>
      </c>
      <c r="F131" s="3111">
        <v>15</v>
      </c>
    </row>
    <row r="132" spans="1:6" ht="13.5">
      <c r="A132" s="3111">
        <v>60</v>
      </c>
      <c r="B132" s="3850" t="s">
        <v>2780</v>
      </c>
      <c r="C132" s="3111" t="s">
        <v>2781</v>
      </c>
      <c r="D132" s="3085" t="s">
        <v>2782</v>
      </c>
      <c r="E132" s="3111">
        <v>0.1</v>
      </c>
      <c r="F132" s="3111">
        <v>15</v>
      </c>
    </row>
    <row r="133" spans="1:6" ht="13.5">
      <c r="A133" s="3111">
        <v>61</v>
      </c>
      <c r="B133" s="3854"/>
      <c r="C133" s="3111" t="s">
        <v>2783</v>
      </c>
      <c r="D133" s="3085" t="s">
        <v>2784</v>
      </c>
      <c r="E133" s="3111">
        <v>0.1</v>
      </c>
      <c r="F133" s="3111">
        <v>15</v>
      </c>
    </row>
    <row r="134" spans="1:6" ht="24">
      <c r="A134" s="3111">
        <v>62</v>
      </c>
      <c r="B134" s="3111" t="s">
        <v>2785</v>
      </c>
      <c r="C134" s="3111" t="s">
        <v>2786</v>
      </c>
      <c r="D134" s="3085" t="s">
        <v>2787</v>
      </c>
      <c r="E134" s="3111">
        <v>0.1</v>
      </c>
      <c r="F134" s="3111">
        <v>15</v>
      </c>
    </row>
    <row r="135" spans="1:6" ht="13.5">
      <c r="A135" s="3111">
        <v>63</v>
      </c>
      <c r="B135" s="3855" t="s">
        <v>2788</v>
      </c>
      <c r="C135" s="3111" t="s">
        <v>2789</v>
      </c>
      <c r="D135" s="3085" t="s">
        <v>2790</v>
      </c>
      <c r="E135" s="3111">
        <v>0.1</v>
      </c>
      <c r="F135" s="3111">
        <v>15</v>
      </c>
    </row>
    <row r="136" spans="1:6" ht="13.5">
      <c r="A136" s="3111">
        <v>64</v>
      </c>
      <c r="B136" s="3855"/>
      <c r="C136" s="3111" t="s">
        <v>2791</v>
      </c>
      <c r="D136" s="3085" t="s">
        <v>2792</v>
      </c>
      <c r="E136" s="3111">
        <v>0.1</v>
      </c>
      <c r="F136" s="3111">
        <v>15</v>
      </c>
    </row>
    <row r="137" spans="1:6" ht="13.5">
      <c r="A137" s="3111">
        <v>65</v>
      </c>
      <c r="B137" s="3111" t="s">
        <v>2793</v>
      </c>
      <c r="C137" s="3111" t="s">
        <v>2794</v>
      </c>
      <c r="D137" s="3085" t="s">
        <v>2795</v>
      </c>
      <c r="E137" s="3111">
        <v>0.1</v>
      </c>
      <c r="F137" s="3111">
        <v>15</v>
      </c>
    </row>
    <row r="138" spans="1:6" ht="13.5">
      <c r="A138" s="3111"/>
      <c r="B138" s="3111"/>
      <c r="C138" s="3111"/>
      <c r="D138" s="3111"/>
      <c r="E138" s="3111" t="s">
        <v>2796</v>
      </c>
      <c r="F138" s="3111"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2797</v>
      </c>
      <c r="B1" s="3120"/>
      <c r="C1" s="3120"/>
      <c r="D1" s="3120"/>
      <c r="E1" s="3120"/>
      <c r="F1" s="3120"/>
      <c r="G1" s="3120"/>
      <c r="H1" s="3120"/>
      <c r="I1" s="3120"/>
      <c r="J1" s="3120"/>
      <c r="K1" s="3120"/>
      <c r="L1" s="3120"/>
      <c r="M1" s="3120"/>
      <c r="N1" s="747"/>
    </row>
    <row r="2" spans="1:20">
      <c r="A2" s="3121" t="s">
        <v>2798</v>
      </c>
      <c r="B2" s="3122" t="s">
        <v>2594</v>
      </c>
      <c r="C2" s="3122" t="s">
        <v>2595</v>
      </c>
      <c r="D2" s="3122" t="s">
        <v>2596</v>
      </c>
      <c r="E2" s="3122" t="s">
        <v>2597</v>
      </c>
      <c r="F2" s="3122" t="s">
        <v>2598</v>
      </c>
      <c r="G2" s="3122" t="s">
        <v>2599</v>
      </c>
      <c r="H2" s="3123" t="s">
        <v>2600</v>
      </c>
      <c r="I2" s="3123" t="s">
        <v>2601</v>
      </c>
      <c r="J2" s="3124" t="s">
        <v>2602</v>
      </c>
      <c r="K2" s="3124" t="s">
        <v>2603</v>
      </c>
      <c r="L2" s="3124" t="s">
        <v>2604</v>
      </c>
      <c r="M2" s="3125" t="s">
        <v>2605</v>
      </c>
      <c r="Q2" s="3135" t="s">
        <v>2803</v>
      </c>
      <c r="R2" s="3135" t="s">
        <v>2804</v>
      </c>
      <c r="S2" s="3135" t="s">
        <v>2805</v>
      </c>
      <c r="T2" s="3135" t="s">
        <v>2806</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2799</v>
      </c>
      <c r="B93" s="3120"/>
      <c r="C93" s="3120"/>
      <c r="D93" s="3120"/>
      <c r="E93" s="3120"/>
      <c r="F93" s="3120"/>
      <c r="G93" s="3120"/>
      <c r="H93" s="3120"/>
      <c r="I93" s="3120"/>
      <c r="J93" s="3120"/>
      <c r="K93" s="3120"/>
      <c r="L93" s="3120"/>
      <c r="M93" s="3120"/>
    </row>
    <row r="94" spans="1:20">
      <c r="A94" s="3121" t="s">
        <v>2798</v>
      </c>
      <c r="B94" s="3122" t="s">
        <v>2594</v>
      </c>
      <c r="C94" s="3122" t="s">
        <v>2595</v>
      </c>
      <c r="D94" s="3122" t="s">
        <v>2596</v>
      </c>
      <c r="E94" s="3122" t="s">
        <v>2597</v>
      </c>
      <c r="F94" s="3122" t="s">
        <v>2598</v>
      </c>
      <c r="G94" s="3122" t="s">
        <v>2599</v>
      </c>
      <c r="H94" s="3123" t="s">
        <v>2600</v>
      </c>
      <c r="I94" s="3123" t="s">
        <v>2601</v>
      </c>
      <c r="J94" s="3124" t="s">
        <v>2602</v>
      </c>
      <c r="K94" s="3124" t="s">
        <v>2603</v>
      </c>
      <c r="L94" s="3124" t="s">
        <v>2604</v>
      </c>
      <c r="M94" s="3125" t="s">
        <v>2605</v>
      </c>
      <c r="N94" s="748">
        <f>SUMPRODUCT((A95:A184=ROUNDDOWN(基准地价修正!G3,1))*(B94:M94=基准地价修正!G2)*(B95:M184))</f>
        <v>0</v>
      </c>
      <c r="Q94" s="3135" t="s">
        <v>2803</v>
      </c>
      <c r="R94" s="3135" t="s">
        <v>2804</v>
      </c>
      <c r="S94" s="3135" t="s">
        <v>2805</v>
      </c>
      <c r="T94" s="3135" t="s">
        <v>2806</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2800</v>
      </c>
      <c r="B185" s="3120"/>
      <c r="C185" s="3120"/>
      <c r="D185" s="3120"/>
      <c r="E185" s="3120"/>
      <c r="F185" s="3120"/>
      <c r="G185" s="3120"/>
      <c r="H185" s="3120"/>
      <c r="I185" s="3120"/>
      <c r="J185" s="3120"/>
      <c r="K185" s="3120"/>
      <c r="L185" s="3120"/>
      <c r="M185" s="3120"/>
    </row>
    <row r="186" spans="1:20">
      <c r="A186" s="3121" t="s">
        <v>2798</v>
      </c>
      <c r="B186" s="3122" t="s">
        <v>2594</v>
      </c>
      <c r="C186" s="3122" t="s">
        <v>2595</v>
      </c>
      <c r="D186" s="3122" t="s">
        <v>2596</v>
      </c>
      <c r="E186" s="3122" t="s">
        <v>2597</v>
      </c>
      <c r="F186" s="3122" t="s">
        <v>2598</v>
      </c>
      <c r="G186" s="3122" t="s">
        <v>2599</v>
      </c>
      <c r="H186" s="3123" t="s">
        <v>2600</v>
      </c>
      <c r="I186" s="3123" t="s">
        <v>2601</v>
      </c>
      <c r="J186" s="3124" t="s">
        <v>2602</v>
      </c>
      <c r="K186" s="3124" t="s">
        <v>2603</v>
      </c>
      <c r="L186" s="3124" t="s">
        <v>2604</v>
      </c>
      <c r="M186" s="3125" t="s">
        <v>2605</v>
      </c>
      <c r="Q186" s="3135" t="s">
        <v>2803</v>
      </c>
      <c r="R186" s="3135" t="s">
        <v>2804</v>
      </c>
      <c r="S186" s="3135" t="s">
        <v>2805</v>
      </c>
      <c r="T186" s="3135" t="s">
        <v>2806</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2801</v>
      </c>
      <c r="B277" s="3120"/>
      <c r="C277" s="3120"/>
      <c r="D277" s="3120"/>
      <c r="E277" s="3120"/>
      <c r="F277" s="3120"/>
      <c r="G277" s="3120"/>
      <c r="H277" s="3120"/>
      <c r="I277" s="3120"/>
      <c r="J277" s="3120"/>
      <c r="K277" s="3120"/>
      <c r="L277" s="3120"/>
      <c r="M277" s="3120"/>
    </row>
    <row r="278" spans="1:21">
      <c r="A278" s="3121" t="s">
        <v>2798</v>
      </c>
      <c r="B278" s="3122" t="s">
        <v>2594</v>
      </c>
      <c r="C278" s="3122" t="s">
        <v>2595</v>
      </c>
      <c r="D278" s="3122" t="s">
        <v>2596</v>
      </c>
      <c r="E278" s="3122" t="s">
        <v>2597</v>
      </c>
      <c r="F278" s="3122" t="s">
        <v>2598</v>
      </c>
      <c r="G278" s="3122" t="s">
        <v>2599</v>
      </c>
      <c r="H278" s="3123" t="s">
        <v>2600</v>
      </c>
      <c r="I278" s="3123" t="s">
        <v>2601</v>
      </c>
      <c r="J278" s="3124" t="s">
        <v>2602</v>
      </c>
      <c r="K278" s="3124" t="s">
        <v>2603</v>
      </c>
      <c r="L278" s="3124" t="s">
        <v>2604</v>
      </c>
      <c r="M278" s="3125" t="s">
        <v>2605</v>
      </c>
      <c r="Q278" s="3135" t="s">
        <v>2803</v>
      </c>
      <c r="R278" s="3135" t="s">
        <v>2804</v>
      </c>
      <c r="S278" s="3135" t="s">
        <v>2807</v>
      </c>
      <c r="T278" s="3135" t="s">
        <v>2808</v>
      </c>
      <c r="U278" s="3135" t="s">
        <v>2806</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2802</v>
      </c>
      <c r="B369" s="3133"/>
      <c r="C369" s="3133"/>
      <c r="D369" s="3133"/>
      <c r="E369" s="3133"/>
      <c r="F369" s="3133"/>
      <c r="G369" s="3133"/>
      <c r="H369" s="3133"/>
      <c r="I369" s="3133"/>
      <c r="J369" s="3133"/>
      <c r="K369" s="3133"/>
      <c r="L369" s="3133"/>
      <c r="M369" s="3133"/>
    </row>
    <row r="370" spans="1:20">
      <c r="A370" s="3121" t="s">
        <v>2798</v>
      </c>
      <c r="B370" s="3122" t="s">
        <v>2594</v>
      </c>
      <c r="C370" s="3122" t="s">
        <v>2595</v>
      </c>
      <c r="D370" s="3122" t="s">
        <v>2596</v>
      </c>
      <c r="E370" s="3122" t="s">
        <v>2597</v>
      </c>
      <c r="F370" s="3122" t="s">
        <v>2598</v>
      </c>
      <c r="G370" s="3122" t="s">
        <v>2599</v>
      </c>
      <c r="H370" s="3123" t="s">
        <v>2600</v>
      </c>
      <c r="I370" s="3123" t="s">
        <v>2601</v>
      </c>
      <c r="J370" s="3124" t="s">
        <v>2602</v>
      </c>
      <c r="K370" s="3124" t="s">
        <v>2603</v>
      </c>
      <c r="L370" s="3124" t="s">
        <v>2604</v>
      </c>
      <c r="M370" s="3125" t="s">
        <v>2605</v>
      </c>
      <c r="N370" s="748">
        <f>SUMPRODUCT((A371:A460=ROUNDDOWN(基准地价修正!G3,1))*(B370:M370=基准地价修正!G2)*(B371:M460))</f>
        <v>0</v>
      </c>
      <c r="Q370" s="3135" t="s">
        <v>2803</v>
      </c>
      <c r="R370" s="3135" t="s">
        <v>2804</v>
      </c>
      <c r="S370" s="3135" t="s">
        <v>2805</v>
      </c>
      <c r="T370" s="3135" t="s">
        <v>2806</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27908</v>
      </c>
      <c r="C2" s="2" t="s">
        <v>106</v>
      </c>
      <c r="D2" s="198"/>
      <c r="E2" s="198"/>
      <c r="F2" s="198"/>
      <c r="G2" s="198"/>
    </row>
    <row r="3" spans="1:7" s="199" customFormat="1" ht="18" customHeight="1" thickBot="1">
      <c r="A3" s="202" t="s">
        <v>58</v>
      </c>
      <c r="B3" s="203">
        <f ca="1">ROUND(B2*10000/'数据-汇总表'!E3,0)</f>
        <v>84223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66</v>
      </c>
      <c r="D10" s="843">
        <f>'数据-汇总表'!E6</f>
        <v>3313.6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66</v>
      </c>
      <c r="D19" s="847">
        <f>'数据-汇总表'!E3</f>
        <v>3313.6</v>
      </c>
      <c r="E19" s="210">
        <f>'数据-取费表'!B31</f>
        <v>200</v>
      </c>
      <c r="F19" s="230"/>
      <c r="G19" s="1" t="s">
        <v>436</v>
      </c>
    </row>
    <row r="20" spans="1:7" s="213" customFormat="1" ht="13.5" customHeight="1">
      <c r="A20" s="775" t="s">
        <v>419</v>
      </c>
      <c r="B20" s="209" t="s">
        <v>77</v>
      </c>
      <c r="C20" s="231">
        <f>ROUND((C5+C19)*F20,0)</f>
        <v>414</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626</v>
      </c>
      <c r="D22" s="234">
        <f ca="1">C26</f>
        <v>2.9999999999999997E-4</v>
      </c>
      <c r="E22" s="235" t="s">
        <v>99</v>
      </c>
      <c r="F22" s="236">
        <f ca="1">'数据-取费表'!B40</f>
        <v>3.0000000000000002E-2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618</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2</v>
      </c>
      <c r="D24" s="237"/>
      <c r="E24" s="237"/>
      <c r="F24" s="238"/>
      <c r="G24" s="239" t="s">
        <v>82</v>
      </c>
    </row>
    <row r="25" spans="1:7" s="213" customFormat="1" ht="24">
      <c r="A25" s="778" t="s">
        <v>348</v>
      </c>
      <c r="B25" s="214" t="s">
        <v>420</v>
      </c>
      <c r="C25" s="1103">
        <f ca="1">ROUND(IF('数据-取费表'!B22&lt;=1,C20*F22*'数据-取费表'!B23/2,C20*(POWER((1+F22),'数据-取费表'!B23/2)-1)),0)</f>
        <v>6</v>
      </c>
      <c r="D25" s="237"/>
      <c r="E25" s="240"/>
      <c r="F25" s="238"/>
      <c r="G25" s="241" t="s">
        <v>83</v>
      </c>
    </row>
    <row r="26" spans="1:7" s="213" customFormat="1">
      <c r="A26" s="778" t="s">
        <v>350</v>
      </c>
      <c r="B26" s="214" t="s">
        <v>422</v>
      </c>
      <c r="C26" s="237">
        <f ca="1">ROUND(IF('数据-取费表'!B22&lt;=1,F21*F22*'数据-取费表'!B23/2,F21*(POWER((1+F22),'数据-取费表'!B23/2)-1)),4)</f>
        <v>2.9999999999999997E-4</v>
      </c>
      <c r="D26" s="237"/>
      <c r="E26" s="240"/>
      <c r="F26" s="238"/>
      <c r="G26" s="242"/>
    </row>
    <row r="27" spans="1:7" s="213" customFormat="1" ht="24.75">
      <c r="A27" s="775" t="s">
        <v>342</v>
      </c>
      <c r="B27" s="243" t="s">
        <v>85</v>
      </c>
      <c r="C27" s="244">
        <f>C28</f>
        <v>3164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3164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26945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1069</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937</v>
      </c>
      <c r="D34" s="216"/>
      <c r="E34" s="219"/>
      <c r="F34" s="256">
        <f>IF('数据-取费表'!B24=0,1,'数据-取费表'!N16)</f>
        <v>1</v>
      </c>
      <c r="G34" s="218" t="s">
        <v>89</v>
      </c>
    </row>
    <row r="35" spans="1:7" ht="13.5" customHeight="1">
      <c r="A35" s="778" t="s">
        <v>351</v>
      </c>
      <c r="B35" s="214" t="s">
        <v>33</v>
      </c>
      <c r="C35" s="219">
        <f>ROUND(C34*F35,0)</f>
        <v>47</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66</v>
      </c>
      <c r="D37" s="216">
        <f>'数据-汇总表'!E3</f>
        <v>3313.6</v>
      </c>
      <c r="E37" s="248">
        <f>'数据-取费表'!B35</f>
        <v>200</v>
      </c>
      <c r="F37" s="258"/>
      <c r="G37" s="260" t="s">
        <v>92</v>
      </c>
    </row>
    <row r="38" spans="1:7" ht="13.5" customHeight="1">
      <c r="A38" s="778" t="s">
        <v>354</v>
      </c>
      <c r="B38" s="214" t="s">
        <v>36</v>
      </c>
      <c r="C38" s="219">
        <f>ROUND(C34*F38,0)</f>
        <v>19</v>
      </c>
      <c r="D38" s="219"/>
      <c r="E38" s="219"/>
      <c r="F38" s="258">
        <f>'数据-取费表'!B36</f>
        <v>0.02</v>
      </c>
      <c r="G38" s="218" t="s">
        <v>90</v>
      </c>
    </row>
    <row r="39" spans="1:7" s="213" customFormat="1" ht="13.5" customHeight="1">
      <c r="A39" s="775" t="s">
        <v>338</v>
      </c>
      <c r="B39" s="209" t="s">
        <v>77</v>
      </c>
      <c r="C39" s="231">
        <f>ROUND(C33*F20,0)</f>
        <v>21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16</v>
      </c>
      <c r="D41" s="234">
        <f ca="1">C44</f>
        <v>2.9999999999999997E-4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16</v>
      </c>
      <c r="D42" s="237"/>
      <c r="E42" s="237"/>
      <c r="F42" s="238"/>
      <c r="G42" s="3716" t="s">
        <v>94</v>
      </c>
    </row>
    <row r="43" spans="1:7" ht="13.5" customHeight="1">
      <c r="A43" s="778" t="s">
        <v>347</v>
      </c>
      <c r="B43" s="214" t="s">
        <v>426</v>
      </c>
      <c r="C43" s="237">
        <f ca="1">ROUND(IF('数据-取费表'!B22&lt;=1,C39*F22*'数据-取费表'!B21/2,C39*(POWER((1+F22),'数据-取费表'!B21/2)-1)),0)</f>
        <v>0</v>
      </c>
      <c r="D43" s="237"/>
      <c r="E43" s="237"/>
      <c r="F43" s="238"/>
      <c r="G43" s="3717"/>
    </row>
    <row r="44" spans="1:7" ht="13.5" customHeight="1">
      <c r="A44" s="778" t="s">
        <v>348</v>
      </c>
      <c r="B44" s="214" t="s">
        <v>428</v>
      </c>
      <c r="C44" s="237">
        <f ca="1">ROUND(IF('数据-取费表'!B22&lt;=1,C40*F22*'数据-取费表'!B21/2,C40*(POWER((1+F22),'数据-取费表'!B21/2)-1)),4)</f>
        <v>2.9999999999999997E-4</v>
      </c>
      <c r="D44" s="237"/>
      <c r="E44" s="237"/>
      <c r="F44" s="238"/>
      <c r="G44" s="3718"/>
    </row>
    <row r="45" spans="1:7" s="213" customFormat="1" ht="13.5" customHeight="1">
      <c r="A45" s="775" t="s">
        <v>341</v>
      </c>
      <c r="B45" s="243" t="s">
        <v>85</v>
      </c>
      <c r="C45" s="244">
        <f>C46</f>
        <v>164</v>
      </c>
      <c r="D45" s="234">
        <f>C47</f>
        <v>3.0000000000000001E-3</v>
      </c>
      <c r="E45" s="235" t="s">
        <v>102</v>
      </c>
      <c r="F45" s="245"/>
      <c r="G45" s="246" t="s">
        <v>434</v>
      </c>
    </row>
    <row r="46" spans="1:7" s="213" customFormat="1" ht="13.5" customHeight="1">
      <c r="A46" s="778" t="s">
        <v>349</v>
      </c>
      <c r="B46" s="247" t="s">
        <v>427</v>
      </c>
      <c r="C46" s="248">
        <f>ROUND((C33+C39)*F27,0)</f>
        <v>164</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1375</v>
      </c>
      <c r="D49" s="231"/>
      <c r="E49" s="231"/>
      <c r="F49" s="263"/>
      <c r="G49" s="233" t="s">
        <v>435</v>
      </c>
    </row>
    <row r="50" spans="1:7" s="257" customFormat="1" ht="24">
      <c r="A50" s="775" t="s">
        <v>344</v>
      </c>
      <c r="B50" s="209" t="s">
        <v>97</v>
      </c>
      <c r="C50" s="231"/>
      <c r="D50" s="231"/>
      <c r="E50" s="231"/>
      <c r="F50" s="263">
        <f>IF('数据-取费表'!B24=0,'数据-取费表'!N16,1)</f>
        <v>0.7</v>
      </c>
      <c r="G50" s="246" t="s">
        <v>98</v>
      </c>
    </row>
    <row r="51" spans="1:7" ht="16.5" customHeight="1">
      <c r="A51" s="775" t="s">
        <v>345</v>
      </c>
      <c r="B51" s="209" t="s">
        <v>105</v>
      </c>
      <c r="C51" s="231">
        <f ca="1">ROUND(C49*F50,0)</f>
        <v>963</v>
      </c>
      <c r="D51" s="231"/>
      <c r="E51" s="231"/>
      <c r="F51" s="263"/>
      <c r="G51" s="233" t="s">
        <v>37</v>
      </c>
    </row>
    <row r="52" spans="1:7" s="207" customFormat="1" ht="16.5" thickBot="1">
      <c r="A52" s="264" t="s">
        <v>38</v>
      </c>
      <c r="B52" s="265"/>
      <c r="C52" s="266">
        <f ca="1">C31+C51</f>
        <v>27908</v>
      </c>
      <c r="D52" s="265"/>
      <c r="E52" s="265"/>
      <c r="F52" s="265"/>
      <c r="G52" s="267"/>
    </row>
    <row r="55" spans="1:7" ht="15">
      <c r="B55" s="269" t="s">
        <v>39</v>
      </c>
      <c r="C55" s="270"/>
    </row>
    <row r="56" spans="1:7">
      <c r="B56" s="272" t="s">
        <v>40</v>
      </c>
      <c r="C56" s="273">
        <f ca="1">ROUND(C51/C52,3)</f>
        <v>3.5000000000000003E-2</v>
      </c>
    </row>
    <row r="57" spans="1:7">
      <c r="B57" s="272" t="s">
        <v>41</v>
      </c>
      <c r="C57" s="274">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91"/>
      <c r="B4" s="3533" t="s">
        <v>917</v>
      </c>
      <c r="C4" s="3533"/>
      <c r="D4" s="3533"/>
      <c r="E4" s="1491"/>
    </row>
    <row r="5" spans="1:5" ht="16.5" thickTop="1">
      <c r="A5" s="1489"/>
      <c r="B5" s="3531" t="s">
        <v>909</v>
      </c>
      <c r="C5" s="1492" t="s">
        <v>910</v>
      </c>
      <c r="D5" s="848">
        <f ca="1">结果表!H101</f>
        <v>5132</v>
      </c>
      <c r="E5" s="1489"/>
    </row>
    <row r="6" spans="1:5" ht="15.75">
      <c r="A6" s="1489"/>
      <c r="B6" s="3531"/>
      <c r="C6" s="1492" t="s">
        <v>911</v>
      </c>
      <c r="D6" s="848" t="str">
        <f ca="1">NUMBERSTRING(INT(D5*10000),2)&amp;"元整"</f>
        <v>伍仟壹佰叁拾贰万元整</v>
      </c>
      <c r="E6" s="1489"/>
    </row>
    <row r="7" spans="1:5" ht="15.75">
      <c r="A7" s="1489"/>
      <c r="B7" s="3536"/>
      <c r="C7" s="1493" t="s">
        <v>912</v>
      </c>
      <c r="D7" s="849">
        <f ca="1">结果表!H102</f>
        <v>15488</v>
      </c>
      <c r="E7" s="1489"/>
    </row>
    <row r="8" spans="1:5" ht="15.75">
      <c r="A8" s="1489"/>
      <c r="B8" s="3537" t="str">
        <f>结果表!E103</f>
        <v>2.估价师知悉的法定优先受偿款</v>
      </c>
      <c r="C8" s="1494" t="s">
        <v>913</v>
      </c>
      <c r="D8" s="849">
        <f>结果表!H103</f>
        <v>0</v>
      </c>
      <c r="E8" s="1489"/>
    </row>
    <row r="9" spans="1:5" ht="15.75">
      <c r="A9" s="1489"/>
      <c r="B9" s="353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30" t="str">
        <f>结果表!E107</f>
        <v>3.房地产抵押价值</v>
      </c>
      <c r="C13" s="1497" t="s">
        <v>910</v>
      </c>
      <c r="D13" s="851">
        <f ca="1">结果表!H107</f>
        <v>5132</v>
      </c>
      <c r="E13" s="1489"/>
    </row>
    <row r="14" spans="1:5" ht="15.75">
      <c r="A14" s="1489"/>
      <c r="B14" s="3531"/>
      <c r="C14" s="1492" t="s">
        <v>911</v>
      </c>
      <c r="D14" s="848" t="str">
        <f ca="1">NUMBERSTRING(INT(D13*10000),2)&amp;"元整"</f>
        <v>伍仟壹佰叁拾贰万元整</v>
      </c>
      <c r="E14" s="1489"/>
    </row>
    <row r="15" spans="1:5" ht="15">
      <c r="A15" s="1489"/>
      <c r="B15" s="3536"/>
      <c r="C15" s="1493" t="s">
        <v>921</v>
      </c>
      <c r="D15" s="857">
        <f ca="1">结果表!H108</f>
        <v>15488</v>
      </c>
      <c r="E15" s="1489"/>
    </row>
    <row r="16" spans="1:5" ht="15">
      <c r="A16" s="1489"/>
      <c r="B16" s="3537" t="str">
        <f>结果表!E109</f>
        <v>——</v>
      </c>
      <c r="C16" s="1497" t="s">
        <v>922</v>
      </c>
      <c r="D16" s="1498" t="str">
        <f>结果表!H109</f>
        <v>——</v>
      </c>
      <c r="E16" s="1489"/>
    </row>
    <row r="17" spans="1:5" ht="15.75">
      <c r="A17" s="1489"/>
      <c r="B17" s="3538"/>
      <c r="C17" s="1492" t="s">
        <v>923</v>
      </c>
      <c r="D17" s="848" t="e">
        <f>NUMBERSTRING(INT(D16*10000),2)&amp;"元整"</f>
        <v>#VALUE!</v>
      </c>
      <c r="E17" s="1489"/>
    </row>
    <row r="18" spans="1:5" ht="15">
      <c r="A18" s="1489"/>
      <c r="B18" s="3539"/>
      <c r="C18" s="1493" t="s">
        <v>912</v>
      </c>
      <c r="D18" s="857" t="str">
        <f>结果表!H110</f>
        <v>——</v>
      </c>
      <c r="E18" s="1489"/>
    </row>
    <row r="19" spans="1:5" ht="15.75">
      <c r="A19" s="1489"/>
      <c r="B19" s="3530" t="str">
        <f>结果表!E111</f>
        <v>——</v>
      </c>
      <c r="C19" s="1497" t="s">
        <v>910</v>
      </c>
      <c r="D19" s="849" t="str">
        <f>结果表!H111</f>
        <v>——</v>
      </c>
      <c r="E19" s="1489"/>
    </row>
    <row r="20" spans="1:5" ht="15.75">
      <c r="A20" s="1489"/>
      <c r="B20" s="3531"/>
      <c r="C20" s="1492" t="s">
        <v>923</v>
      </c>
      <c r="D20" s="848" t="e">
        <f>NUMBERSTRING(INT(D19*10000),2)&amp;"元整"</f>
        <v>#VALUE!</v>
      </c>
      <c r="E20" s="1489"/>
    </row>
    <row r="21" spans="1:5" ht="15.75" thickBot="1">
      <c r="A21" s="1489"/>
      <c r="B21" s="353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58" t="s">
        <v>2838</v>
      </c>
      <c r="B1" s="3858"/>
      <c r="C1" s="3858"/>
      <c r="D1" s="3858"/>
      <c r="E1" s="3858"/>
      <c r="F1" s="3858"/>
      <c r="G1" s="3859"/>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856" t="s">
        <v>2865</v>
      </c>
      <c r="B3" s="3223"/>
      <c r="C3" s="3224" t="s">
        <v>2810</v>
      </c>
      <c r="D3" s="3224" t="s">
        <v>2866</v>
      </c>
      <c r="E3" s="3224" t="s">
        <v>2812</v>
      </c>
      <c r="F3" s="3224" t="s">
        <v>2867</v>
      </c>
      <c r="G3" s="3224" t="s">
        <v>2630</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857"/>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60" t="s">
        <v>3180</v>
      </c>
      <c r="B1" s="3860"/>
    </row>
    <row r="2" spans="1:7" ht="14.25" thickBot="1">
      <c r="A2" s="3248"/>
      <c r="B2" s="3248"/>
    </row>
    <row r="3" spans="1:7" ht="14.25" thickBot="1">
      <c r="A3" s="3248"/>
      <c r="B3" s="3248"/>
      <c r="C3" s="3249" t="s">
        <v>2810</v>
      </c>
      <c r="D3" s="3249" t="s">
        <v>2866</v>
      </c>
      <c r="E3" s="3249" t="s">
        <v>2812</v>
      </c>
      <c r="F3" s="3249" t="s">
        <v>2867</v>
      </c>
      <c r="G3" s="3249" t="s">
        <v>2630</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61" t="s">
        <v>3231</v>
      </c>
      <c r="B1" s="3861"/>
      <c r="C1" s="3861"/>
      <c r="D1" s="3861"/>
      <c r="E1" s="3861"/>
      <c r="F1" s="3862"/>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45896</v>
      </c>
      <c r="B1" s="3203" t="s">
        <v>3369</v>
      </c>
      <c r="C1" s="3204"/>
      <c r="D1" s="3204"/>
      <c r="E1" s="3204"/>
      <c r="F1" s="3204"/>
      <c r="G1" s="3204"/>
      <c r="H1" s="3204"/>
      <c r="I1" s="3204"/>
      <c r="J1" s="3158"/>
      <c r="K1" s="3204" t="s">
        <v>454</v>
      </c>
      <c r="L1" s="3204"/>
      <c r="M1" s="3204"/>
      <c r="N1" s="3204"/>
      <c r="O1" s="3204"/>
      <c r="P1" s="3204"/>
      <c r="Q1" s="3158"/>
      <c r="R1" s="3863" t="s">
        <v>456</v>
      </c>
      <c r="S1" s="3864"/>
      <c r="T1" s="3864"/>
      <c r="U1" s="3864"/>
      <c r="V1" s="3864"/>
      <c r="W1" s="3864"/>
      <c r="X1" s="3158"/>
      <c r="Y1" s="3863" t="s">
        <v>457</v>
      </c>
      <c r="Z1" s="3864"/>
      <c r="AA1" s="3864"/>
      <c r="AB1" s="3864"/>
      <c r="AC1" s="3864"/>
      <c r="AD1" s="3864"/>
    </row>
    <row r="2" spans="1:30" s="3136" customFormat="1" ht="14.25" thickBot="1">
      <c r="B2" s="3137"/>
      <c r="C2" s="3138"/>
      <c r="D2" s="3139" t="s">
        <v>2809</v>
      </c>
      <c r="E2" s="3140" t="s">
        <v>2810</v>
      </c>
      <c r="F2" s="3140" t="s">
        <v>2811</v>
      </c>
      <c r="G2" s="3140" t="s">
        <v>2812</v>
      </c>
      <c r="H2" s="3140" t="s">
        <v>2813</v>
      </c>
      <c r="I2" s="3140" t="s">
        <v>2630</v>
      </c>
      <c r="J2" s="3141"/>
      <c r="K2" s="3139" t="s">
        <v>2809</v>
      </c>
      <c r="L2" s="3140" t="s">
        <v>2810</v>
      </c>
      <c r="M2" s="3140" t="s">
        <v>2811</v>
      </c>
      <c r="N2" s="3140" t="s">
        <v>2812</v>
      </c>
      <c r="O2" s="3140" t="s">
        <v>2814</v>
      </c>
      <c r="P2" s="3140" t="s">
        <v>2630</v>
      </c>
      <c r="Q2" s="3141"/>
      <c r="R2" s="3139" t="s">
        <v>2809</v>
      </c>
      <c r="S2" s="3140" t="s">
        <v>2810</v>
      </c>
      <c r="T2" s="3140" t="s">
        <v>2811</v>
      </c>
      <c r="U2" s="3140" t="s">
        <v>2815</v>
      </c>
      <c r="V2" s="3140" t="s">
        <v>2816</v>
      </c>
      <c r="W2" s="3140" t="s">
        <v>2630</v>
      </c>
      <c r="X2" s="3141"/>
      <c r="Y2" s="3139" t="s">
        <v>2809</v>
      </c>
      <c r="Z2" s="3140" t="s">
        <v>2810</v>
      </c>
      <c r="AA2" s="3140" t="s">
        <v>2811</v>
      </c>
      <c r="AB2" s="3140" t="s">
        <v>2817</v>
      </c>
      <c r="AC2" s="3140" t="s">
        <v>2816</v>
      </c>
      <c r="AD2" s="3140" t="s">
        <v>2630</v>
      </c>
    </row>
    <row r="3" spans="1:30" s="3154" customFormat="1" ht="12.75">
      <c r="A3" s="3142" t="s">
        <v>2818</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3373</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3374</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3375</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3367</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3368</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3366</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3365</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3361</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3352</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2819</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2820</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2821</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2822</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2823</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3363</v>
      </c>
    </row>
    <row r="21" spans="1:30" s="3002" customFormat="1">
      <c r="I21" s="3201" t="s">
        <v>2824</v>
      </c>
    </row>
    <row r="22" spans="1:30" s="3002" customFormat="1"/>
    <row r="23" spans="1:30" s="3202" customFormat="1" ht="12.75">
      <c r="B23" s="3203" t="s">
        <v>3370</v>
      </c>
      <c r="C23" s="3204"/>
      <c r="D23" s="3204"/>
      <c r="E23" s="3204"/>
      <c r="F23" s="3204"/>
      <c r="G23" s="3204"/>
      <c r="H23" s="3204"/>
      <c r="I23" s="3204"/>
      <c r="J23" s="3158"/>
      <c r="K23" s="3204" t="s">
        <v>2825</v>
      </c>
      <c r="L23" s="3204"/>
      <c r="M23" s="3204"/>
      <c r="N23" s="3204"/>
      <c r="O23" s="3204"/>
      <c r="P23" s="3204"/>
      <c r="Q23" s="3158"/>
      <c r="R23" s="3863" t="s">
        <v>2826</v>
      </c>
      <c r="S23" s="3864"/>
      <c r="T23" s="3864"/>
      <c r="U23" s="3864"/>
      <c r="V23" s="3864"/>
      <c r="W23" s="3864"/>
      <c r="X23" s="3158"/>
      <c r="Y23" s="3863" t="s">
        <v>2827</v>
      </c>
      <c r="Z23" s="3864"/>
      <c r="AA23" s="3864"/>
      <c r="AB23" s="3864"/>
      <c r="AC23" s="3864"/>
      <c r="AD23" s="3864"/>
    </row>
    <row r="24" spans="1:30" s="3136" customFormat="1" ht="14.25" thickBot="1">
      <c r="B24" s="3137"/>
      <c r="C24" s="3138"/>
      <c r="D24" s="3139" t="s">
        <v>2828</v>
      </c>
      <c r="E24" s="3140" t="s">
        <v>2829</v>
      </c>
      <c r="F24" s="3140" t="s">
        <v>2830</v>
      </c>
      <c r="G24" s="3140" t="s">
        <v>2831</v>
      </c>
      <c r="H24" s="3140"/>
      <c r="I24" s="3140" t="s">
        <v>2832</v>
      </c>
      <c r="J24" s="3141"/>
      <c r="K24" s="3139" t="s">
        <v>2828</v>
      </c>
      <c r="L24" s="3140" t="s">
        <v>2829</v>
      </c>
      <c r="M24" s="3140" t="s">
        <v>2830</v>
      </c>
      <c r="N24" s="3140" t="s">
        <v>2831</v>
      </c>
      <c r="O24" s="3140"/>
      <c r="P24" s="3140" t="s">
        <v>2832</v>
      </c>
      <c r="Q24" s="3141"/>
      <c r="R24" s="3139" t="s">
        <v>2828</v>
      </c>
      <c r="S24" s="3140" t="s">
        <v>2829</v>
      </c>
      <c r="T24" s="3140" t="s">
        <v>2830</v>
      </c>
      <c r="U24" s="3140" t="s">
        <v>2831</v>
      </c>
      <c r="V24" s="3140"/>
      <c r="W24" s="3140" t="s">
        <v>2832</v>
      </c>
      <c r="X24" s="3141"/>
      <c r="Y24" s="3139" t="s">
        <v>2828</v>
      </c>
      <c r="Z24" s="3140" t="s">
        <v>2829</v>
      </c>
      <c r="AA24" s="3140" t="s">
        <v>2830</v>
      </c>
      <c r="AB24" s="3140" t="s">
        <v>2831</v>
      </c>
      <c r="AC24" s="3140"/>
      <c r="AD24" s="3140" t="s">
        <v>2832</v>
      </c>
    </row>
    <row r="25" spans="1:30" s="3154" customFormat="1" ht="12.75">
      <c r="A25" s="3142" t="s">
        <v>2833</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3373</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3374</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3375</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3371</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3372</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3366</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3365</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3362</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3352</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2834</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2835</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2836</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2837</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2823</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70" t="s">
        <v>452</v>
      </c>
      <c r="C1" s="3870"/>
      <c r="D1" s="3870"/>
      <c r="E1" s="3870"/>
      <c r="F1" s="3870"/>
      <c r="G1" s="3866" t="s">
        <v>453</v>
      </c>
      <c r="H1" s="3866"/>
      <c r="I1" s="3866"/>
      <c r="J1" s="3866"/>
      <c r="K1" s="3866"/>
      <c r="L1" s="3866"/>
      <c r="N1" s="3866" t="s">
        <v>454</v>
      </c>
      <c r="O1" s="3866"/>
      <c r="P1" s="3866"/>
      <c r="Q1" s="3866"/>
      <c r="S1" s="3866" t="s">
        <v>455</v>
      </c>
      <c r="T1" s="3866"/>
      <c r="U1" s="3866"/>
      <c r="V1" s="3866"/>
      <c r="X1" s="3865" t="s">
        <v>456</v>
      </c>
      <c r="Y1" s="3866"/>
      <c r="Z1" s="3866"/>
      <c r="AA1" s="3866"/>
      <c r="AB1" s="3866"/>
      <c r="AD1" s="3865" t="s">
        <v>457</v>
      </c>
      <c r="AE1" s="3866"/>
      <c r="AF1" s="3866"/>
      <c r="AG1" s="3866"/>
      <c r="AH1" s="386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45896</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2310</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3404</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2" t="s">
        <v>694</v>
      </c>
      <c r="C6" s="1072" t="e">
        <f ca="1">ROUND(F6*F8*F7*(1-F9)/10000,0)</f>
        <v>#N/A</v>
      </c>
      <c r="D6" s="154" t="s">
        <v>2106</v>
      </c>
      <c r="E6" s="301" t="s">
        <v>696</v>
      </c>
      <c r="F6" s="302" t="e">
        <f ca="1">INDIRECT("'数据-取费表'!u"&amp;$G$1)</f>
        <v>#N/A</v>
      </c>
      <c r="G6" s="1382"/>
      <c r="H6" s="1067" t="s">
        <v>398</v>
      </c>
      <c r="I6" s="3782" t="s">
        <v>694</v>
      </c>
      <c r="J6" s="300" t="e">
        <f ca="1">ROUND(M6*M8*M7*(1-M9)/10000,0)</f>
        <v>#N/A</v>
      </c>
      <c r="K6" s="154" t="s">
        <v>2105</v>
      </c>
      <c r="L6" s="301" t="s">
        <v>696</v>
      </c>
      <c r="M6" s="302" t="e">
        <f ca="1">INDIRECT("'数据-取费表'!z"&amp;$G$1)</f>
        <v>#N/A</v>
      </c>
    </row>
    <row r="7" spans="1:37" ht="18" customHeight="1">
      <c r="A7" s="1071"/>
      <c r="B7" s="3783"/>
      <c r="C7" s="1073"/>
      <c r="D7" s="306"/>
      <c r="E7" s="3459" t="s">
        <v>697</v>
      </c>
      <c r="F7" s="302" t="e">
        <f ca="1">IF(INDIRECT("'数据-取费表'!ah"&amp;$G$1)="",INDIRECT("'数据-取费表'!k"&amp;$G$1),INDIRECT("'数据-取费表'!ah"&amp;$G$1))</f>
        <v>#N/A</v>
      </c>
      <c r="G7" s="1382"/>
      <c r="H7" s="303"/>
      <c r="I7" s="3783"/>
      <c r="J7" s="305"/>
      <c r="K7" s="306"/>
      <c r="L7" s="301" t="s">
        <v>697</v>
      </c>
      <c r="M7" s="302" t="e">
        <f ca="1">F7</f>
        <v>#N/A</v>
      </c>
    </row>
    <row r="8" spans="1:37" ht="18" customHeight="1">
      <c r="A8" s="303"/>
      <c r="B8" s="3783"/>
      <c r="C8" s="305"/>
      <c r="D8" s="306"/>
      <c r="E8" s="301" t="s">
        <v>698</v>
      </c>
      <c r="F8" s="302" t="e">
        <f ca="1">INDIRECT("'数据-取费表'!ai"&amp;$G$1)</f>
        <v>#N/A</v>
      </c>
      <c r="G8" s="1382"/>
      <c r="H8" s="303"/>
      <c r="I8" s="3783"/>
      <c r="J8" s="305"/>
      <c r="K8" s="306"/>
      <c r="L8" s="301" t="s">
        <v>698</v>
      </c>
      <c r="M8" s="302" t="e">
        <f ca="1">INDIRECT("'数据-取费表'!ai"&amp;$G$1)</f>
        <v>#N/A</v>
      </c>
    </row>
    <row r="9" spans="1:37" ht="18" customHeight="1">
      <c r="A9" s="303"/>
      <c r="B9" s="3784"/>
      <c r="C9" s="305"/>
      <c r="D9" s="306"/>
      <c r="E9" s="301" t="s">
        <v>699</v>
      </c>
      <c r="F9" s="311" t="e">
        <f ca="1">INDIRECT("'数据-取费表'!w"&amp;$G$1)</f>
        <v>#N/A</v>
      </c>
      <c r="G9" s="1382"/>
      <c r="H9" s="303"/>
      <c r="I9" s="3784"/>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3333</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3.0000000000000002E-2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3333</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3402</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3403</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1994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19</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5" t="s">
        <v>837</v>
      </c>
      <c r="L53" s="3786"/>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3380</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3333</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3479</v>
      </c>
      <c r="E1" s="3419" t="s">
        <v>3417</v>
      </c>
      <c r="F1" s="1877" t="s">
        <v>3504</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41" t="s">
        <v>1667</v>
      </c>
      <c r="D4" s="3742"/>
      <c r="E4" s="3743" t="s">
        <v>1668</v>
      </c>
      <c r="F4" s="3744"/>
      <c r="G4" s="3741" t="s">
        <v>1669</v>
      </c>
      <c r="H4" s="3742"/>
      <c r="I4" s="3741" t="s">
        <v>1670</v>
      </c>
      <c r="J4" s="3742"/>
      <c r="K4" s="558" t="s">
        <v>1671</v>
      </c>
      <c r="L4" s="2709"/>
      <c r="M4" s="2710"/>
      <c r="N4" s="2710"/>
      <c r="O4" s="2710"/>
      <c r="P4" s="3775" t="s">
        <v>1672</v>
      </c>
      <c r="Q4" s="3776"/>
      <c r="R4" s="3772" t="s">
        <v>1668</v>
      </c>
      <c r="S4" s="3773"/>
      <c r="T4" s="3772" t="s">
        <v>1669</v>
      </c>
      <c r="U4" s="3773"/>
      <c r="V4" s="3754" t="s">
        <v>1670</v>
      </c>
      <c r="W4" s="3754"/>
      <c r="X4" s="3503"/>
      <c r="Y4" s="3772" t="s">
        <v>1672</v>
      </c>
      <c r="Z4" s="3773"/>
      <c r="AA4" s="3771" t="s">
        <v>1668</v>
      </c>
      <c r="AB4" s="3754" t="s">
        <v>1669</v>
      </c>
      <c r="AC4" s="3771" t="s">
        <v>1670</v>
      </c>
    </row>
    <row r="5" spans="1:29" ht="15">
      <c r="A5" s="357"/>
      <c r="B5" s="358"/>
      <c r="C5" s="3730" t="s">
        <v>3512</v>
      </c>
      <c r="D5" s="3731"/>
      <c r="E5" s="3730" t="s">
        <v>3512</v>
      </c>
      <c r="F5" s="3731"/>
      <c r="G5" s="3730" t="s">
        <v>3513</v>
      </c>
      <c r="H5" s="3731"/>
      <c r="I5" s="3730" t="s">
        <v>3514</v>
      </c>
      <c r="J5" s="3731"/>
      <c r="K5" s="558"/>
      <c r="L5" s="2709"/>
      <c r="M5" s="2710"/>
      <c r="N5" s="2710"/>
      <c r="O5" s="2710"/>
      <c r="P5" s="3777"/>
      <c r="Q5" s="3748"/>
      <c r="R5" s="3726"/>
      <c r="S5" s="3727"/>
      <c r="T5" s="3726"/>
      <c r="U5" s="3727"/>
      <c r="V5" s="3754"/>
      <c r="W5" s="3754"/>
      <c r="X5" s="3503"/>
      <c r="Y5" s="3726"/>
      <c r="Z5" s="3727"/>
      <c r="AA5" s="3720"/>
      <c r="AB5" s="3754"/>
      <c r="AC5" s="3720"/>
    </row>
    <row r="6" spans="1:29" ht="15.75" thickBot="1">
      <c r="A6" s="359"/>
      <c r="B6" s="360"/>
      <c r="C6" s="3736" t="s">
        <v>1677</v>
      </c>
      <c r="D6" s="3733"/>
      <c r="E6" s="3774" t="s">
        <v>1677</v>
      </c>
      <c r="F6" s="3735"/>
      <c r="G6" s="3736" t="s">
        <v>1677</v>
      </c>
      <c r="H6" s="3733"/>
      <c r="I6" s="3736" t="s">
        <v>1677</v>
      </c>
      <c r="J6" s="3733"/>
      <c r="K6" s="558" t="s">
        <v>1678</v>
      </c>
      <c r="L6" s="2709"/>
      <c r="M6" s="2710"/>
      <c r="N6" s="2710"/>
      <c r="O6" s="2710"/>
      <c r="P6" s="3778"/>
      <c r="Q6" s="3750"/>
      <c r="R6" s="3726"/>
      <c r="S6" s="3727"/>
      <c r="T6" s="3751"/>
      <c r="U6" s="3752"/>
      <c r="V6" s="3754"/>
      <c r="W6" s="3754"/>
      <c r="X6" s="3503"/>
      <c r="Y6" s="3751"/>
      <c r="Z6" s="3752"/>
      <c r="AA6" s="3721"/>
      <c r="AB6" s="3754"/>
      <c r="AC6" s="3721"/>
    </row>
    <row r="7" spans="1:29" s="107" customFormat="1" ht="15.75" thickBot="1">
      <c r="A7" s="361" t="s">
        <v>1679</v>
      </c>
      <c r="B7" s="362"/>
      <c r="C7" s="363">
        <f>'数据-取费表'!B2</f>
        <v>45896</v>
      </c>
      <c r="D7" s="364">
        <v>100</v>
      </c>
      <c r="E7" s="365">
        <f>C7</f>
        <v>45896</v>
      </c>
      <c r="F7" s="366">
        <f>SUMIF(58:58,YEAR(E7)&amp;"-"&amp;MONTH(E7),59:59)</f>
        <v>100</v>
      </c>
      <c r="G7" s="365">
        <f>C7</f>
        <v>45896</v>
      </c>
      <c r="H7" s="364">
        <f>SUMIF(58:58,YEAR(G7)&amp;"-"&amp;MONTH(G7),59:59)</f>
        <v>100</v>
      </c>
      <c r="I7" s="365">
        <f>C7</f>
        <v>45896</v>
      </c>
      <c r="J7" s="364">
        <f>SUMIF(58:58,YEAR(I7)&amp;"-"&amp;MONTH(I7),59:59)</f>
        <v>100</v>
      </c>
      <c r="K7" s="559"/>
      <c r="L7" s="2711"/>
      <c r="M7" s="2712"/>
      <c r="N7" s="2712"/>
      <c r="O7" s="2712"/>
      <c r="P7" s="3722" t="s">
        <v>1680</v>
      </c>
      <c r="Q7" s="3756"/>
      <c r="R7" s="699" t="s">
        <v>14</v>
      </c>
      <c r="S7" s="700">
        <f t="shared" ref="S7:S15" si="0">F7</f>
        <v>100</v>
      </c>
      <c r="T7" s="699" t="s">
        <v>14</v>
      </c>
      <c r="U7" s="700">
        <f t="shared" ref="U7:U15" si="1">H7</f>
        <v>100</v>
      </c>
      <c r="V7" s="699" t="s">
        <v>14</v>
      </c>
      <c r="W7" s="700">
        <f t="shared" ref="W7:W15" si="2">J7</f>
        <v>100</v>
      </c>
      <c r="X7" s="701"/>
      <c r="Y7" s="3722" t="s">
        <v>1680</v>
      </c>
      <c r="Z7" s="3723"/>
      <c r="AA7" s="702">
        <f>D7/F7</f>
        <v>1</v>
      </c>
      <c r="AB7" s="702">
        <f>D7/H7</f>
        <v>1</v>
      </c>
      <c r="AC7" s="702">
        <f>D7/J7</f>
        <v>1</v>
      </c>
    </row>
    <row r="8" spans="1:29" s="107" customFormat="1" ht="15.75" thickBot="1">
      <c r="A8" s="361" t="s">
        <v>1681</v>
      </c>
      <c r="B8" s="362"/>
      <c r="C8" s="367" t="s">
        <v>3421</v>
      </c>
      <c r="D8" s="364">
        <v>100</v>
      </c>
      <c r="E8" s="367" t="s">
        <v>3422</v>
      </c>
      <c r="F8" s="366">
        <f>SUMIF(61:61,E8,62:62)-SUMIF(61:61,C8,62:62)+100</f>
        <v>105</v>
      </c>
      <c r="G8" s="367" t="s">
        <v>3422</v>
      </c>
      <c r="H8" s="364">
        <f>SUMIF(61:61,G8,62:62)-SUMIF(61:61,C8,62:62)+100</f>
        <v>105</v>
      </c>
      <c r="I8" s="367" t="s">
        <v>3421</v>
      </c>
      <c r="J8" s="364">
        <f>SUMIF(61:61,I8,62:62)-SUMIF(61:61,C8,62:62)+100</f>
        <v>100</v>
      </c>
      <c r="K8" s="559"/>
      <c r="L8" s="2711"/>
      <c r="M8" s="2712"/>
      <c r="N8" s="2712"/>
      <c r="O8" s="2712"/>
      <c r="P8" s="3722" t="s">
        <v>1683</v>
      </c>
      <c r="Q8" s="3723"/>
      <c r="R8" s="699" t="s">
        <v>14</v>
      </c>
      <c r="S8" s="700">
        <f t="shared" si="0"/>
        <v>105</v>
      </c>
      <c r="T8" s="699" t="s">
        <v>14</v>
      </c>
      <c r="U8" s="700">
        <f t="shared" si="1"/>
        <v>105</v>
      </c>
      <c r="V8" s="699" t="s">
        <v>14</v>
      </c>
      <c r="W8" s="700">
        <f t="shared" si="2"/>
        <v>100</v>
      </c>
      <c r="X8" s="701"/>
      <c r="Y8" s="3722" t="s">
        <v>1683</v>
      </c>
      <c r="Z8" s="3723"/>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3439</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37" t="s">
        <v>1686</v>
      </c>
      <c r="Q9" s="3498" t="str">
        <f t="shared" ref="Q9:Q15" si="6">B9</f>
        <v>用途</v>
      </c>
      <c r="R9" s="699" t="s">
        <v>14</v>
      </c>
      <c r="S9" s="700">
        <f t="shared" si="0"/>
        <v>100</v>
      </c>
      <c r="T9" s="699" t="s">
        <v>14</v>
      </c>
      <c r="U9" s="700">
        <f t="shared" si="1"/>
        <v>100</v>
      </c>
      <c r="V9" s="699" t="s">
        <v>14</v>
      </c>
      <c r="W9" s="700">
        <f t="shared" si="2"/>
        <v>100</v>
      </c>
      <c r="X9" s="701"/>
      <c r="Y9" s="3688" t="s">
        <v>1687</v>
      </c>
      <c r="Z9" s="3497" t="str">
        <f t="shared" ref="Z9:Z15" si="7">Q9</f>
        <v>用途</v>
      </c>
      <c r="AA9" s="702">
        <f t="shared" si="3"/>
        <v>1</v>
      </c>
      <c r="AB9" s="702">
        <f t="shared" si="4"/>
        <v>1</v>
      </c>
      <c r="AC9" s="702">
        <f t="shared" si="5"/>
        <v>1</v>
      </c>
    </row>
    <row r="10" spans="1:29" s="377" customFormat="1" ht="27.75" thickBot="1">
      <c r="A10" s="373"/>
      <c r="B10" s="374" t="s">
        <v>1688</v>
      </c>
      <c r="C10" s="3427" t="s">
        <v>3505</v>
      </c>
      <c r="D10" s="126">
        <v>100</v>
      </c>
      <c r="E10" s="3427" t="s">
        <v>3505</v>
      </c>
      <c r="F10" s="375">
        <f>SUMIF(65:65,E10,66:66)-SUMIF(65:65,C10,66:66)+100</f>
        <v>100</v>
      </c>
      <c r="G10" s="3427" t="s">
        <v>3505</v>
      </c>
      <c r="H10" s="126">
        <f>SUMIF(65:65,G10,66:66)-SUMIF(65:65,C10,66:66)+100</f>
        <v>100</v>
      </c>
      <c r="I10" s="3427" t="s">
        <v>3505</v>
      </c>
      <c r="J10" s="126">
        <f>SUMIF(65:65,I10,66:66)-SUMIF(65:65,C10,66:66)+100</f>
        <v>100</v>
      </c>
      <c r="K10" s="559"/>
      <c r="L10" s="2713"/>
      <c r="M10" s="2714"/>
      <c r="N10" s="2714"/>
      <c r="O10" s="2714"/>
      <c r="P10" s="3737"/>
      <c r="Q10" s="3498" t="str">
        <f t="shared" si="6"/>
        <v>土地使用年限（年）</v>
      </c>
      <c r="R10" s="699" t="s">
        <v>14</v>
      </c>
      <c r="S10" s="700">
        <f t="shared" si="0"/>
        <v>100</v>
      </c>
      <c r="T10" s="699" t="s">
        <v>14</v>
      </c>
      <c r="U10" s="700">
        <f t="shared" si="1"/>
        <v>100</v>
      </c>
      <c r="V10" s="699" t="s">
        <v>14</v>
      </c>
      <c r="W10" s="700">
        <f t="shared" si="2"/>
        <v>100</v>
      </c>
      <c r="X10" s="701"/>
      <c r="Y10" s="3688"/>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37"/>
      <c r="Q11" s="3498" t="str">
        <f t="shared" si="6"/>
        <v>容积率</v>
      </c>
      <c r="R11" s="699" t="s">
        <v>14</v>
      </c>
      <c r="S11" s="700">
        <f t="shared" si="0"/>
        <v>100</v>
      </c>
      <c r="T11" s="699" t="s">
        <v>14</v>
      </c>
      <c r="U11" s="700">
        <f t="shared" si="1"/>
        <v>100</v>
      </c>
      <c r="V11" s="699" t="s">
        <v>14</v>
      </c>
      <c r="W11" s="700">
        <f t="shared" si="2"/>
        <v>100</v>
      </c>
      <c r="X11" s="701"/>
      <c r="Y11" s="3688"/>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37"/>
      <c r="Q12" s="3498">
        <f t="shared" si="6"/>
        <v>111</v>
      </c>
      <c r="R12" s="699" t="s">
        <v>14</v>
      </c>
      <c r="S12" s="700">
        <f t="shared" si="0"/>
        <v>100</v>
      </c>
      <c r="T12" s="699" t="s">
        <v>14</v>
      </c>
      <c r="U12" s="700">
        <f t="shared" si="1"/>
        <v>100</v>
      </c>
      <c r="V12" s="699" t="s">
        <v>14</v>
      </c>
      <c r="W12" s="700">
        <f t="shared" si="2"/>
        <v>100</v>
      </c>
      <c r="X12" s="701"/>
      <c r="Y12" s="3688"/>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37"/>
      <c r="Q13" s="3498">
        <f t="shared" si="6"/>
        <v>111</v>
      </c>
      <c r="R13" s="699" t="s">
        <v>14</v>
      </c>
      <c r="S13" s="700">
        <f t="shared" si="0"/>
        <v>100</v>
      </c>
      <c r="T13" s="699" t="s">
        <v>14</v>
      </c>
      <c r="U13" s="700">
        <f t="shared" si="1"/>
        <v>100</v>
      </c>
      <c r="V13" s="699" t="s">
        <v>14</v>
      </c>
      <c r="W13" s="700">
        <f t="shared" si="2"/>
        <v>100</v>
      </c>
      <c r="X13" s="701"/>
      <c r="Y13" s="3688"/>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37"/>
      <c r="Q14" s="3498">
        <f t="shared" si="6"/>
        <v>111</v>
      </c>
      <c r="R14" s="699" t="s">
        <v>14</v>
      </c>
      <c r="S14" s="700">
        <f t="shared" si="0"/>
        <v>100</v>
      </c>
      <c r="T14" s="699" t="s">
        <v>14</v>
      </c>
      <c r="U14" s="700">
        <f t="shared" si="1"/>
        <v>100</v>
      </c>
      <c r="V14" s="699" t="s">
        <v>14</v>
      </c>
      <c r="W14" s="700">
        <f t="shared" si="2"/>
        <v>100</v>
      </c>
      <c r="X14" s="701"/>
      <c r="Y14" s="3688"/>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57" t="s">
        <v>1691</v>
      </c>
      <c r="Q15" s="3499" t="str">
        <f t="shared" si="6"/>
        <v>商业繁华度</v>
      </c>
      <c r="R15" s="703" t="s">
        <v>14</v>
      </c>
      <c r="S15" s="704">
        <f t="shared" si="0"/>
        <v>100</v>
      </c>
      <c r="T15" s="703" t="s">
        <v>14</v>
      </c>
      <c r="U15" s="704">
        <f t="shared" si="1"/>
        <v>103</v>
      </c>
      <c r="V15" s="703" t="s">
        <v>14</v>
      </c>
      <c r="W15" s="704">
        <f t="shared" si="2"/>
        <v>103</v>
      </c>
      <c r="X15" s="3503"/>
      <c r="Y15" s="3759" t="s">
        <v>1691</v>
      </c>
      <c r="Z15" s="3502" t="str">
        <f t="shared" si="7"/>
        <v>商业繁华度</v>
      </c>
      <c r="AA15" s="3500">
        <f t="shared" si="3"/>
        <v>1</v>
      </c>
      <c r="AB15" s="3500">
        <f t="shared" si="4"/>
        <v>0.970873786407767</v>
      </c>
      <c r="AC15" s="3500">
        <f t="shared" si="5"/>
        <v>0.970873786407767</v>
      </c>
    </row>
    <row r="16" spans="1:29" ht="15">
      <c r="A16" s="378"/>
      <c r="B16" s="396"/>
      <c r="C16" s="397" t="s">
        <v>3406</v>
      </c>
      <c r="D16" s="398"/>
      <c r="E16" s="397" t="s">
        <v>3406</v>
      </c>
      <c r="F16" s="399"/>
      <c r="G16" s="397" t="s">
        <v>3407</v>
      </c>
      <c r="H16" s="400"/>
      <c r="I16" s="397" t="s">
        <v>3407</v>
      </c>
      <c r="J16" s="398"/>
      <c r="K16" s="563"/>
      <c r="L16" s="2716"/>
      <c r="M16" s="2710"/>
      <c r="N16" s="2710"/>
      <c r="O16" s="2710"/>
      <c r="P16" s="3758"/>
      <c r="Q16" s="3499"/>
      <c r="R16" s="703"/>
      <c r="S16" s="704"/>
      <c r="T16" s="703"/>
      <c r="U16" s="704"/>
      <c r="V16" s="703"/>
      <c r="W16" s="704"/>
      <c r="X16" s="3503"/>
      <c r="Y16" s="3760"/>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58"/>
      <c r="Q17" s="3499" t="str">
        <f>B17</f>
        <v>交通便捷度</v>
      </c>
      <c r="R17" s="703" t="s">
        <v>14</v>
      </c>
      <c r="S17" s="704">
        <f>F17</f>
        <v>100</v>
      </c>
      <c r="T17" s="703" t="s">
        <v>14</v>
      </c>
      <c r="U17" s="704">
        <f>H17</f>
        <v>100</v>
      </c>
      <c r="V17" s="703" t="s">
        <v>14</v>
      </c>
      <c r="W17" s="704">
        <f>J17</f>
        <v>100</v>
      </c>
      <c r="X17" s="3503"/>
      <c r="Y17" s="3760"/>
      <c r="Z17" s="3502" t="str">
        <f>Q17</f>
        <v>交通便捷度</v>
      </c>
      <c r="AA17" s="3500">
        <f t="shared" si="3"/>
        <v>1</v>
      </c>
      <c r="AB17" s="3500">
        <f t="shared" si="4"/>
        <v>1</v>
      </c>
      <c r="AC17" s="3500">
        <f t="shared" si="5"/>
        <v>1</v>
      </c>
    </row>
    <row r="18" spans="1:29" ht="15">
      <c r="A18" s="378"/>
      <c r="B18" s="406"/>
      <c r="C18" s="397" t="s">
        <v>3407</v>
      </c>
      <c r="D18" s="400"/>
      <c r="E18" s="1901" t="s">
        <v>3407</v>
      </c>
      <c r="F18" s="403"/>
      <c r="G18" s="1900" t="s">
        <v>3407</v>
      </c>
      <c r="H18" s="398"/>
      <c r="I18" s="1901" t="s">
        <v>3407</v>
      </c>
      <c r="J18" s="398"/>
      <c r="K18" s="563"/>
      <c r="L18" s="2716"/>
      <c r="M18" s="2710"/>
      <c r="N18" s="2710"/>
      <c r="O18" s="2710"/>
      <c r="P18" s="3758"/>
      <c r="Q18" s="3499"/>
      <c r="R18" s="703"/>
      <c r="S18" s="704"/>
      <c r="T18" s="703"/>
      <c r="U18" s="704"/>
      <c r="V18" s="703"/>
      <c r="W18" s="704"/>
      <c r="X18" s="3503"/>
      <c r="Y18" s="3760"/>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58"/>
      <c r="Q19" s="3499" t="str">
        <f>B19</f>
        <v>公共配套设施</v>
      </c>
      <c r="R19" s="703" t="s">
        <v>14</v>
      </c>
      <c r="S19" s="704">
        <f>F19</f>
        <v>100</v>
      </c>
      <c r="T19" s="703" t="s">
        <v>14</v>
      </c>
      <c r="U19" s="704">
        <f>H19</f>
        <v>100</v>
      </c>
      <c r="V19" s="703" t="s">
        <v>14</v>
      </c>
      <c r="W19" s="704">
        <f>J19</f>
        <v>100</v>
      </c>
      <c r="X19" s="3503"/>
      <c r="Y19" s="3760"/>
      <c r="Z19" s="3502" t="str">
        <f>Q19</f>
        <v>公共配套设施</v>
      </c>
      <c r="AA19" s="3500">
        <f t="shared" si="3"/>
        <v>1</v>
      </c>
      <c r="AB19" s="3500">
        <f t="shared" si="4"/>
        <v>1</v>
      </c>
      <c r="AC19" s="3500">
        <f t="shared" si="5"/>
        <v>1</v>
      </c>
    </row>
    <row r="20" spans="1:29" ht="15">
      <c r="A20" s="378"/>
      <c r="B20" s="406"/>
      <c r="C20" s="397" t="s">
        <v>3406</v>
      </c>
      <c r="D20" s="398"/>
      <c r="E20" s="1896" t="s">
        <v>3406</v>
      </c>
      <c r="F20" s="399"/>
      <c r="G20" s="1895" t="s">
        <v>3406</v>
      </c>
      <c r="H20" s="398"/>
      <c r="I20" s="1896" t="s">
        <v>3406</v>
      </c>
      <c r="J20" s="398"/>
      <c r="K20" s="563"/>
      <c r="L20" s="2716"/>
      <c r="M20" s="2710"/>
      <c r="N20" s="2710"/>
      <c r="O20" s="2710"/>
      <c r="P20" s="3758"/>
      <c r="Q20" s="3499"/>
      <c r="R20" s="703"/>
      <c r="S20" s="704"/>
      <c r="T20" s="703"/>
      <c r="U20" s="704"/>
      <c r="V20" s="703"/>
      <c r="W20" s="704"/>
      <c r="X20" s="3503"/>
      <c r="Y20" s="3760"/>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58"/>
      <c r="Q21" s="3499" t="str">
        <f>B21</f>
        <v>基础设施水平</v>
      </c>
      <c r="R21" s="703" t="s">
        <v>14</v>
      </c>
      <c r="S21" s="704">
        <f>F21</f>
        <v>100</v>
      </c>
      <c r="T21" s="703" t="s">
        <v>14</v>
      </c>
      <c r="U21" s="704">
        <f>H21</f>
        <v>100</v>
      </c>
      <c r="V21" s="703" t="s">
        <v>14</v>
      </c>
      <c r="W21" s="704">
        <f>J21</f>
        <v>100</v>
      </c>
      <c r="X21" s="3503"/>
      <c r="Y21" s="3760"/>
      <c r="Z21" s="3502" t="str">
        <f>Q21</f>
        <v>基础设施水平</v>
      </c>
      <c r="AA21" s="3500">
        <f t="shared" ref="AA21" si="8">D21/F21</f>
        <v>1</v>
      </c>
      <c r="AB21" s="3500">
        <f t="shared" ref="AB21" si="9">D21/H21</f>
        <v>1</v>
      </c>
      <c r="AC21" s="3500">
        <f t="shared" ref="AC21" si="10">D21/J21</f>
        <v>1</v>
      </c>
    </row>
    <row r="22" spans="1:29" ht="15">
      <c r="A22" s="378"/>
      <c r="B22" s="1129"/>
      <c r="C22" s="1899" t="s">
        <v>3454</v>
      </c>
      <c r="D22" s="398"/>
      <c r="E22" s="1899" t="s">
        <v>3454</v>
      </c>
      <c r="F22" s="399"/>
      <c r="G22" s="1899" t="s">
        <v>3454</v>
      </c>
      <c r="H22" s="398"/>
      <c r="I22" s="1899" t="s">
        <v>3454</v>
      </c>
      <c r="J22" s="398"/>
      <c r="K22" s="1128"/>
      <c r="L22" s="2716"/>
      <c r="M22" s="2710"/>
      <c r="N22" s="2710"/>
      <c r="O22" s="2710"/>
      <c r="P22" s="3758"/>
      <c r="Q22" s="3499"/>
      <c r="R22" s="703"/>
      <c r="S22" s="704"/>
      <c r="T22" s="703"/>
      <c r="U22" s="704"/>
      <c r="V22" s="703"/>
      <c r="W22" s="704"/>
      <c r="X22" s="3503"/>
      <c r="Y22" s="3760"/>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58"/>
      <c r="Q23" s="3499" t="str">
        <f>B23</f>
        <v>自然及人文环境</v>
      </c>
      <c r="R23" s="703" t="s">
        <v>14</v>
      </c>
      <c r="S23" s="704">
        <f>F23</f>
        <v>100</v>
      </c>
      <c r="T23" s="703" t="s">
        <v>14</v>
      </c>
      <c r="U23" s="704">
        <f>H23</f>
        <v>100</v>
      </c>
      <c r="V23" s="703" t="s">
        <v>14</v>
      </c>
      <c r="W23" s="704">
        <f>J23</f>
        <v>100</v>
      </c>
      <c r="X23" s="3503"/>
      <c r="Y23" s="3760"/>
      <c r="Z23" s="3502" t="str">
        <f>Q23</f>
        <v>自然及人文环境</v>
      </c>
      <c r="AA23" s="3500">
        <f t="shared" si="3"/>
        <v>1</v>
      </c>
      <c r="AB23" s="3500">
        <f t="shared" si="4"/>
        <v>1</v>
      </c>
      <c r="AC23" s="3500">
        <f t="shared" si="5"/>
        <v>1</v>
      </c>
    </row>
    <row r="24" spans="1:29" ht="15">
      <c r="A24" s="378"/>
      <c r="B24" s="406"/>
      <c r="C24" s="397" t="s">
        <v>3407</v>
      </c>
      <c r="D24" s="398"/>
      <c r="E24" s="397" t="s">
        <v>3407</v>
      </c>
      <c r="F24" s="399"/>
      <c r="G24" s="397" t="s">
        <v>3407</v>
      </c>
      <c r="H24" s="398"/>
      <c r="I24" s="397" t="s">
        <v>3407</v>
      </c>
      <c r="J24" s="398"/>
      <c r="K24" s="563"/>
      <c r="L24" s="2716"/>
      <c r="M24" s="2710"/>
      <c r="N24" s="2710"/>
      <c r="O24" s="2710"/>
      <c r="P24" s="3758"/>
      <c r="Q24" s="3499"/>
      <c r="R24" s="703"/>
      <c r="S24" s="704"/>
      <c r="T24" s="703"/>
      <c r="U24" s="704"/>
      <c r="V24" s="703"/>
      <c r="W24" s="704"/>
      <c r="X24" s="3503"/>
      <c r="Y24" s="3760"/>
      <c r="Z24" s="3502"/>
      <c r="AA24" s="3500">
        <v>1</v>
      </c>
      <c r="AB24" s="3500">
        <v>1</v>
      </c>
      <c r="AC24" s="3500">
        <v>1</v>
      </c>
    </row>
    <row r="25" spans="1:29" ht="15">
      <c r="A25" s="378"/>
      <c r="B25" s="374" t="s">
        <v>1780</v>
      </c>
      <c r="C25" s="564" t="s">
        <v>3506</v>
      </c>
      <c r="D25" s="385">
        <v>100</v>
      </c>
      <c r="E25" s="564" t="s">
        <v>3506</v>
      </c>
      <c r="F25" s="411">
        <f>SUMIF(86:86,E25,87:87)-SUMIF(86:86,C25,87:87)+100</f>
        <v>100</v>
      </c>
      <c r="G25" s="564" t="s">
        <v>3506</v>
      </c>
      <c r="H25" s="385">
        <f>SUMIF(86:86,G25,87:87)-SUMIF(86:86,C25,87:87)+100</f>
        <v>100</v>
      </c>
      <c r="I25" s="564" t="s">
        <v>3506</v>
      </c>
      <c r="J25" s="385">
        <f>SUMIF(86:86,I25,87:87)-SUMIF(86:86,C25,87:87)+100</f>
        <v>100</v>
      </c>
      <c r="K25" s="560">
        <v>0</v>
      </c>
      <c r="L25" s="2716"/>
      <c r="M25" s="2710"/>
      <c r="N25" s="2710"/>
      <c r="O25" s="2710"/>
      <c r="P25" s="3758"/>
      <c r="Q25" s="3499" t="str">
        <f t="shared" ref="Q25:Q46" si="11">B25</f>
        <v>临街状况</v>
      </c>
      <c r="R25" s="703" t="s">
        <v>14</v>
      </c>
      <c r="S25" s="704">
        <f>F25</f>
        <v>100</v>
      </c>
      <c r="T25" s="703" t="s">
        <v>14</v>
      </c>
      <c r="U25" s="704">
        <f>H25</f>
        <v>100</v>
      </c>
      <c r="V25" s="703" t="s">
        <v>14</v>
      </c>
      <c r="W25" s="704">
        <f>J25</f>
        <v>100</v>
      </c>
      <c r="X25" s="3503"/>
      <c r="Y25" s="3760"/>
      <c r="Z25" s="3502" t="str">
        <f>Q25</f>
        <v>临街状况</v>
      </c>
      <c r="AA25" s="3500">
        <f t="shared" si="3"/>
        <v>1</v>
      </c>
      <c r="AB25" s="3500">
        <f t="shared" si="4"/>
        <v>1</v>
      </c>
      <c r="AC25" s="3500">
        <f t="shared" si="5"/>
        <v>1</v>
      </c>
    </row>
    <row r="26" spans="1:29" ht="15">
      <c r="A26" s="378"/>
      <c r="B26" s="1131" t="s">
        <v>1781</v>
      </c>
      <c r="C26" s="3480" t="s">
        <v>3503</v>
      </c>
      <c r="D26" s="385">
        <v>100</v>
      </c>
      <c r="E26" s="3480" t="s">
        <v>3503</v>
      </c>
      <c r="F26" s="411">
        <f>SUMIF(88:88,E26,89:89)-SUMIF(88:88,C26,89:89)+100</f>
        <v>100</v>
      </c>
      <c r="G26" s="3480" t="s">
        <v>3503</v>
      </c>
      <c r="H26" s="385">
        <f>SUMIF(88:88,G26,89:89)-SUMIF(88:88,C26,89:89)+100</f>
        <v>100</v>
      </c>
      <c r="I26" s="3480" t="s">
        <v>3503</v>
      </c>
      <c r="J26" s="385">
        <f>SUMIF(88:88,I26,89:89)-SUMIF(88:88,C26,89:89)+100</f>
        <v>100</v>
      </c>
      <c r="K26" s="561"/>
      <c r="L26" s="2716"/>
      <c r="M26" s="2710"/>
      <c r="N26" s="2710"/>
      <c r="O26" s="2710"/>
      <c r="P26" s="3758"/>
      <c r="Q26" s="3499" t="str">
        <f t="shared" si="11"/>
        <v>平面位置/可视性</v>
      </c>
      <c r="R26" s="703" t="s">
        <v>14</v>
      </c>
      <c r="S26" s="704">
        <f>F26</f>
        <v>100</v>
      </c>
      <c r="T26" s="703" t="s">
        <v>14</v>
      </c>
      <c r="U26" s="704">
        <f>H26</f>
        <v>100</v>
      </c>
      <c r="V26" s="703" t="s">
        <v>14</v>
      </c>
      <c r="W26" s="704">
        <f>J26</f>
        <v>100</v>
      </c>
      <c r="X26" s="3503"/>
      <c r="Y26" s="3760"/>
      <c r="Z26" s="3502" t="str">
        <f>Q26</f>
        <v>平面位置/可视性</v>
      </c>
      <c r="AA26" s="3500">
        <f t="shared" si="3"/>
        <v>1</v>
      </c>
      <c r="AB26" s="3500">
        <f t="shared" si="4"/>
        <v>1</v>
      </c>
      <c r="AC26" s="3500">
        <f t="shared" si="5"/>
        <v>1</v>
      </c>
    </row>
    <row r="27" spans="1:29" s="107" customFormat="1" ht="15">
      <c r="A27" s="381"/>
      <c r="B27" s="401" t="s">
        <v>1782</v>
      </c>
      <c r="C27" s="1954" t="s">
        <v>3406</v>
      </c>
      <c r="D27" s="412">
        <v>100</v>
      </c>
      <c r="E27" s="1954" t="s">
        <v>3406</v>
      </c>
      <c r="F27" s="414">
        <f>SUMIF(90:90,E27,91:91)-SUMIF(90:90,C27,91:91)+100</f>
        <v>100</v>
      </c>
      <c r="G27" s="1954" t="s">
        <v>3509</v>
      </c>
      <c r="H27" s="412">
        <f>SUMIF(90:90,G27,91:91)-SUMIF(90:90,C27,91:91)+100</f>
        <v>103</v>
      </c>
      <c r="I27" s="1954" t="s">
        <v>3509</v>
      </c>
      <c r="J27" s="412">
        <f>SUMIF(90:90,I27,91:91)-SUMIF(90:90,C27,91:91)+100</f>
        <v>103</v>
      </c>
      <c r="K27" s="560">
        <v>3</v>
      </c>
      <c r="L27" s="2711"/>
      <c r="M27" s="2712"/>
      <c r="N27" s="2712"/>
      <c r="O27" s="2712"/>
      <c r="P27" s="3758"/>
      <c r="Q27" s="3498" t="str">
        <f t="shared" si="11"/>
        <v>人流量</v>
      </c>
      <c r="R27" s="699" t="s">
        <v>14</v>
      </c>
      <c r="S27" s="700">
        <f>F27</f>
        <v>100</v>
      </c>
      <c r="T27" s="699" t="s">
        <v>14</v>
      </c>
      <c r="U27" s="700">
        <f>H27</f>
        <v>103</v>
      </c>
      <c r="V27" s="699" t="s">
        <v>14</v>
      </c>
      <c r="W27" s="700">
        <f>J27</f>
        <v>103</v>
      </c>
      <c r="X27" s="701"/>
      <c r="Y27" s="3760"/>
      <c r="Z27" s="3497" t="str">
        <f>Q27</f>
        <v>人流量</v>
      </c>
      <c r="AA27" s="3500">
        <f>D27/F27</f>
        <v>1</v>
      </c>
      <c r="AB27" s="3500">
        <f>D27/H27</f>
        <v>0.970873786407767</v>
      </c>
      <c r="AC27" s="3500">
        <f>D27/J27</f>
        <v>0.970873786407767</v>
      </c>
    </row>
    <row r="28" spans="1:29" ht="15.75" thickBot="1">
      <c r="A28" s="378"/>
      <c r="B28" s="374" t="s">
        <v>1783</v>
      </c>
      <c r="C28" s="564" t="s">
        <v>3480</v>
      </c>
      <c r="D28" s="385">
        <v>100</v>
      </c>
      <c r="E28" s="564" t="s">
        <v>3480</v>
      </c>
      <c r="F28" s="411">
        <f>SUMIF(92:92,E28,93:93)-SUMIF(92:92,C28,93:93)+100</f>
        <v>100</v>
      </c>
      <c r="G28" s="564" t="s">
        <v>3480</v>
      </c>
      <c r="H28" s="385">
        <f>SUMIF(92:92,G28,93:93)-SUMIF(92:92,C28,93:93)+100</f>
        <v>100</v>
      </c>
      <c r="I28" s="564" t="s">
        <v>3480</v>
      </c>
      <c r="J28" s="385">
        <f>SUMIF(92:92,I28,93:93)-SUMIF(92:92,C28,93:93)+100</f>
        <v>100</v>
      </c>
      <c r="K28" s="561"/>
      <c r="L28" s="2716"/>
      <c r="M28" s="2710"/>
      <c r="N28" s="2710"/>
      <c r="O28" s="2710"/>
      <c r="P28" s="3758"/>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60"/>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58"/>
      <c r="Q29" s="3499">
        <f t="shared" si="11"/>
        <v>0</v>
      </c>
      <c r="R29" s="703" t="s">
        <v>14</v>
      </c>
      <c r="S29" s="704">
        <f t="shared" si="12"/>
        <v>100</v>
      </c>
      <c r="T29" s="703" t="s">
        <v>14</v>
      </c>
      <c r="U29" s="704">
        <f t="shared" si="13"/>
        <v>100</v>
      </c>
      <c r="V29" s="703" t="s">
        <v>14</v>
      </c>
      <c r="W29" s="704">
        <f t="shared" si="14"/>
        <v>100</v>
      </c>
      <c r="X29" s="3503"/>
      <c r="Y29" s="3760"/>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58"/>
      <c r="Q30" s="3499">
        <f t="shared" si="11"/>
        <v>111</v>
      </c>
      <c r="R30" s="703" t="s">
        <v>14</v>
      </c>
      <c r="S30" s="704">
        <f t="shared" si="12"/>
        <v>100</v>
      </c>
      <c r="T30" s="703" t="s">
        <v>14</v>
      </c>
      <c r="U30" s="704">
        <f t="shared" si="13"/>
        <v>100</v>
      </c>
      <c r="V30" s="703" t="s">
        <v>14</v>
      </c>
      <c r="W30" s="704">
        <f t="shared" si="14"/>
        <v>100</v>
      </c>
      <c r="X30" s="3503"/>
      <c r="Y30" s="3760"/>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58"/>
      <c r="Q31" s="3499">
        <f t="shared" si="11"/>
        <v>111</v>
      </c>
      <c r="R31" s="703" t="s">
        <v>14</v>
      </c>
      <c r="S31" s="704">
        <f t="shared" si="12"/>
        <v>100</v>
      </c>
      <c r="T31" s="703" t="s">
        <v>14</v>
      </c>
      <c r="U31" s="704">
        <f t="shared" si="13"/>
        <v>100</v>
      </c>
      <c r="V31" s="703" t="s">
        <v>14</v>
      </c>
      <c r="W31" s="704">
        <f t="shared" si="14"/>
        <v>100</v>
      </c>
      <c r="X31" s="3503"/>
      <c r="Y31" s="3760"/>
      <c r="Z31" s="3502">
        <f t="shared" si="15"/>
        <v>111</v>
      </c>
      <c r="AA31" s="3500">
        <f t="shared" si="3"/>
        <v>1</v>
      </c>
      <c r="AB31" s="3500">
        <f t="shared" si="4"/>
        <v>1</v>
      </c>
      <c r="AC31" s="3500">
        <f t="shared" si="5"/>
        <v>1</v>
      </c>
    </row>
    <row r="32" spans="1:29" ht="15">
      <c r="A32" s="390" t="s">
        <v>1694</v>
      </c>
      <c r="B32" s="63" t="s">
        <v>1784</v>
      </c>
      <c r="C32" s="1908" t="s">
        <v>3486</v>
      </c>
      <c r="D32" s="417">
        <v>100</v>
      </c>
      <c r="E32" s="1908" t="s">
        <v>3486</v>
      </c>
      <c r="F32" s="411">
        <f>SUMIF(100:100,E32,101:101)-SUMIF(100:100,C32,101:101)+100</f>
        <v>100</v>
      </c>
      <c r="G32" s="1908" t="s">
        <v>3486</v>
      </c>
      <c r="H32" s="385">
        <f>SUMIF(100:100,G32,101:101)-SUMIF(100:100,C32,101:101)+100</f>
        <v>100</v>
      </c>
      <c r="I32" s="1908" t="s">
        <v>3486</v>
      </c>
      <c r="J32" s="417">
        <f>SUMIF(100:100,I32,101:101)-SUMIF(100:100,C32,101:101)+100</f>
        <v>100</v>
      </c>
      <c r="K32" s="560">
        <v>5</v>
      </c>
      <c r="L32" s="2716"/>
      <c r="M32" s="2710"/>
      <c r="N32" s="2710"/>
      <c r="O32" s="2710"/>
      <c r="P32" s="3761" t="s">
        <v>1696</v>
      </c>
      <c r="Q32" s="3499" t="str">
        <f t="shared" si="11"/>
        <v>商业类型</v>
      </c>
      <c r="R32" s="703" t="s">
        <v>14</v>
      </c>
      <c r="S32" s="704">
        <f t="shared" si="12"/>
        <v>100</v>
      </c>
      <c r="T32" s="703" t="s">
        <v>14</v>
      </c>
      <c r="U32" s="704">
        <f t="shared" si="13"/>
        <v>100</v>
      </c>
      <c r="V32" s="703" t="s">
        <v>14</v>
      </c>
      <c r="W32" s="704">
        <f t="shared" si="14"/>
        <v>100</v>
      </c>
      <c r="X32" s="3503"/>
      <c r="Y32" s="3764" t="s">
        <v>1696</v>
      </c>
      <c r="Z32" s="3502" t="str">
        <f t="shared" si="15"/>
        <v>商业类型</v>
      </c>
      <c r="AA32" s="3500">
        <f t="shared" si="3"/>
        <v>1</v>
      </c>
      <c r="AB32" s="3500">
        <f t="shared" si="4"/>
        <v>1</v>
      </c>
      <c r="AC32" s="3500">
        <f t="shared" si="5"/>
        <v>1</v>
      </c>
    </row>
    <row r="33" spans="1:29" s="421" customFormat="1" ht="15">
      <c r="A33" s="418"/>
      <c r="B33" s="374" t="s">
        <v>1697</v>
      </c>
      <c r="C33" s="419">
        <f>'数据-汇总表'!E3</f>
        <v>3313.6</v>
      </c>
      <c r="D33" s="126">
        <v>100</v>
      </c>
      <c r="E33" s="380">
        <v>53.88</v>
      </c>
      <c r="F33" s="375">
        <f>LOOKUP(E33,103:103,104:104)-LOOKUP(C33,103:103,104:104)+100</f>
        <v>110</v>
      </c>
      <c r="G33" s="379">
        <v>244.69</v>
      </c>
      <c r="H33" s="126">
        <f>LOOKUP(G33,103:103,104:104)-LOOKUP(C33,103:103,104:104)+100</f>
        <v>108</v>
      </c>
      <c r="I33" s="379">
        <v>857</v>
      </c>
      <c r="J33" s="126">
        <f>LOOKUP(I33,103:103,104:104)-LOOKUP(C33,103:103,104:104)+100</f>
        <v>102</v>
      </c>
      <c r="K33" s="561"/>
      <c r="L33" s="2715"/>
      <c r="M33" s="2717"/>
      <c r="N33" s="2717"/>
      <c r="O33" s="2717"/>
      <c r="P33" s="3762"/>
      <c r="Q33" s="705" t="str">
        <f t="shared" si="11"/>
        <v>项目建筑规模</v>
      </c>
      <c r="R33" s="706" t="s">
        <v>14</v>
      </c>
      <c r="S33" s="707">
        <f t="shared" si="12"/>
        <v>110</v>
      </c>
      <c r="T33" s="706" t="s">
        <v>14</v>
      </c>
      <c r="U33" s="707">
        <f t="shared" si="13"/>
        <v>108</v>
      </c>
      <c r="V33" s="706" t="s">
        <v>14</v>
      </c>
      <c r="W33" s="707">
        <f t="shared" si="14"/>
        <v>102</v>
      </c>
      <c r="X33" s="708"/>
      <c r="Y33" s="3764"/>
      <c r="Z33" s="709" t="str">
        <f t="shared" si="15"/>
        <v>项目建筑规模</v>
      </c>
      <c r="AA33" s="3500">
        <f t="shared" si="3"/>
        <v>0.90909090909090906</v>
      </c>
      <c r="AB33" s="3500">
        <f t="shared" si="4"/>
        <v>0.92592592592592593</v>
      </c>
      <c r="AC33" s="3500">
        <f t="shared" si="5"/>
        <v>0.98039215686274506</v>
      </c>
    </row>
    <row r="34" spans="1:29" ht="15">
      <c r="A34" s="422"/>
      <c r="B34" s="374" t="s">
        <v>1698</v>
      </c>
      <c r="C34" s="1910" t="s">
        <v>3429</v>
      </c>
      <c r="D34" s="385">
        <v>100</v>
      </c>
      <c r="E34" s="1910" t="s">
        <v>3429</v>
      </c>
      <c r="F34" s="411">
        <f>SUMIF(105:105,E34,106:106)-SUMIF(105:105,C34,106:106)+100</f>
        <v>100</v>
      </c>
      <c r="G34" s="1910" t="s">
        <v>3429</v>
      </c>
      <c r="H34" s="385">
        <f>SUMIF(105:105,G34,106:106)-SUMIF(105:105,C34,106:106)+100</f>
        <v>100</v>
      </c>
      <c r="I34" s="1910" t="s">
        <v>3429</v>
      </c>
      <c r="J34" s="385">
        <f>SUMIF(105:105,I34,106:106)-SUMIF(105:105,C34,106:106)+100</f>
        <v>100</v>
      </c>
      <c r="K34" s="560">
        <v>1</v>
      </c>
      <c r="L34" s="2716"/>
      <c r="M34" s="2710"/>
      <c r="N34" s="2710"/>
      <c r="O34" s="2710"/>
      <c r="P34" s="3762"/>
      <c r="Q34" s="3499" t="str">
        <f t="shared" si="11"/>
        <v>建筑结构</v>
      </c>
      <c r="R34" s="703" t="s">
        <v>14</v>
      </c>
      <c r="S34" s="704">
        <f t="shared" si="12"/>
        <v>100</v>
      </c>
      <c r="T34" s="703" t="s">
        <v>14</v>
      </c>
      <c r="U34" s="704">
        <f t="shared" si="13"/>
        <v>100</v>
      </c>
      <c r="V34" s="703" t="s">
        <v>14</v>
      </c>
      <c r="W34" s="704">
        <f t="shared" si="14"/>
        <v>100</v>
      </c>
      <c r="X34" s="3503"/>
      <c r="Y34" s="3764"/>
      <c r="Z34" s="3502" t="str">
        <f t="shared" si="15"/>
        <v>建筑结构</v>
      </c>
      <c r="AA34" s="3500">
        <f t="shared" si="3"/>
        <v>1</v>
      </c>
      <c r="AB34" s="3500">
        <f t="shared" si="4"/>
        <v>1</v>
      </c>
      <c r="AC34" s="3500">
        <f t="shared" si="5"/>
        <v>1</v>
      </c>
    </row>
    <row r="35" spans="1:29" ht="15">
      <c r="A35" s="422"/>
      <c r="B35" s="374" t="s">
        <v>1785</v>
      </c>
      <c r="C35" s="1904" t="s">
        <v>3446</v>
      </c>
      <c r="D35" s="385">
        <v>100</v>
      </c>
      <c r="E35" s="1904" t="s">
        <v>3446</v>
      </c>
      <c r="F35" s="411">
        <f>SUMIF(107:107,E35,108:108)-SUMIF(107:107,C35,108:108)+100</f>
        <v>100</v>
      </c>
      <c r="G35" s="1904" t="s">
        <v>3446</v>
      </c>
      <c r="H35" s="385">
        <f>SUMIF(107:107,G35,108:108)-SUMIF(107:107,C35,108:108)+100</f>
        <v>100</v>
      </c>
      <c r="I35" s="1904" t="s">
        <v>3446</v>
      </c>
      <c r="J35" s="385">
        <f>SUMIF(107:107,I35,108:108)-SUMIF(107:107,C35,108:108)+100</f>
        <v>100</v>
      </c>
      <c r="K35" s="560">
        <v>2</v>
      </c>
      <c r="L35" s="2716"/>
      <c r="M35" s="2710"/>
      <c r="N35" s="2710"/>
      <c r="O35" s="2710"/>
      <c r="P35" s="3762"/>
      <c r="Q35" s="3499" t="str">
        <f t="shared" si="11"/>
        <v>公共部分装修</v>
      </c>
      <c r="R35" s="703" t="s">
        <v>14</v>
      </c>
      <c r="S35" s="704">
        <f t="shared" si="12"/>
        <v>100</v>
      </c>
      <c r="T35" s="703" t="s">
        <v>14</v>
      </c>
      <c r="U35" s="704">
        <f t="shared" si="13"/>
        <v>100</v>
      </c>
      <c r="V35" s="703" t="s">
        <v>14</v>
      </c>
      <c r="W35" s="704">
        <f t="shared" si="14"/>
        <v>100</v>
      </c>
      <c r="X35" s="3503"/>
      <c r="Y35" s="3764"/>
      <c r="Z35" s="3502" t="str">
        <f t="shared" si="15"/>
        <v>公共部分装修</v>
      </c>
      <c r="AA35" s="3500">
        <f t="shared" si="3"/>
        <v>1</v>
      </c>
      <c r="AB35" s="3500">
        <f t="shared" si="4"/>
        <v>1</v>
      </c>
      <c r="AC35" s="3500">
        <f t="shared" si="5"/>
        <v>1</v>
      </c>
    </row>
    <row r="36" spans="1:29" ht="15">
      <c r="A36" s="422"/>
      <c r="B36" s="374" t="s">
        <v>1786</v>
      </c>
      <c r="C36" s="424">
        <f>'数据-取费表'!N6</f>
        <v>0.7</v>
      </c>
      <c r="D36" s="385">
        <v>100</v>
      </c>
      <c r="E36" s="424">
        <f>C36</f>
        <v>0.7</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62"/>
      <c r="Q36" s="3499" t="str">
        <f t="shared" si="11"/>
        <v>成新度</v>
      </c>
      <c r="R36" s="703" t="s">
        <v>14</v>
      </c>
      <c r="S36" s="704">
        <f t="shared" si="12"/>
        <v>100</v>
      </c>
      <c r="T36" s="703" t="s">
        <v>14</v>
      </c>
      <c r="U36" s="704">
        <f t="shared" si="13"/>
        <v>102</v>
      </c>
      <c r="V36" s="703" t="s">
        <v>14</v>
      </c>
      <c r="W36" s="704">
        <f t="shared" si="14"/>
        <v>102</v>
      </c>
      <c r="X36" s="3503"/>
      <c r="Y36" s="3764"/>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62"/>
      <c r="Q37" s="3498" t="str">
        <f t="shared" si="11"/>
        <v>市政基础设施</v>
      </c>
      <c r="R37" s="699" t="s">
        <v>14</v>
      </c>
      <c r="S37" s="700">
        <f t="shared" si="12"/>
        <v>100</v>
      </c>
      <c r="T37" s="699" t="s">
        <v>14</v>
      </c>
      <c r="U37" s="700">
        <f t="shared" si="13"/>
        <v>100</v>
      </c>
      <c r="V37" s="699" t="s">
        <v>14</v>
      </c>
      <c r="W37" s="700">
        <f t="shared" si="14"/>
        <v>100</v>
      </c>
      <c r="X37" s="701"/>
      <c r="Y37" s="3764"/>
      <c r="Z37" s="3497" t="str">
        <f t="shared" si="15"/>
        <v>市政基础设施</v>
      </c>
      <c r="AA37" s="702">
        <f t="shared" si="3"/>
        <v>1</v>
      </c>
      <c r="AB37" s="702">
        <f t="shared" si="4"/>
        <v>1</v>
      </c>
      <c r="AC37" s="702">
        <f t="shared" si="5"/>
        <v>1</v>
      </c>
    </row>
    <row r="38" spans="1:29" ht="15">
      <c r="A38" s="422"/>
      <c r="B38" s="374" t="s">
        <v>1788</v>
      </c>
      <c r="C38" s="1904" t="s">
        <v>3500</v>
      </c>
      <c r="D38" s="385">
        <v>100</v>
      </c>
      <c r="E38" s="1904" t="s">
        <v>3500</v>
      </c>
      <c r="F38" s="411">
        <f>SUMIF(114:114,E38,115:115)-SUMIF(114:114,C38,115:115)+100</f>
        <v>100</v>
      </c>
      <c r="G38" s="1904" t="s">
        <v>3500</v>
      </c>
      <c r="H38" s="385">
        <f>SUMIF(114:114,G38,115:115)-SUMIF(114:114,C38,115:115)+100</f>
        <v>100</v>
      </c>
      <c r="I38" s="1904" t="s">
        <v>3500</v>
      </c>
      <c r="J38" s="385">
        <f>SUMIF(114:114,I38,115:115)-SUMIF(114:114,C38,115:115)+100</f>
        <v>100</v>
      </c>
      <c r="K38" s="560">
        <v>2</v>
      </c>
      <c r="L38" s="2716"/>
      <c r="M38" s="2710"/>
      <c r="N38" s="2710"/>
      <c r="O38" s="2710"/>
      <c r="P38" s="3762" t="s">
        <v>1696</v>
      </c>
      <c r="Q38" s="3499" t="str">
        <f t="shared" si="11"/>
        <v>业态</v>
      </c>
      <c r="R38" s="703" t="s">
        <v>14</v>
      </c>
      <c r="S38" s="704">
        <f t="shared" si="12"/>
        <v>100</v>
      </c>
      <c r="T38" s="703" t="s">
        <v>14</v>
      </c>
      <c r="U38" s="704">
        <f t="shared" si="13"/>
        <v>100</v>
      </c>
      <c r="V38" s="703" t="s">
        <v>14</v>
      </c>
      <c r="W38" s="704">
        <f t="shared" si="14"/>
        <v>100</v>
      </c>
      <c r="X38" s="3503"/>
      <c r="Y38" s="3764"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62"/>
      <c r="Q39" s="3499" t="str">
        <f t="shared" si="11"/>
        <v>层高</v>
      </c>
      <c r="R39" s="703" t="s">
        <v>14</v>
      </c>
      <c r="S39" s="704">
        <f t="shared" si="12"/>
        <v>100</v>
      </c>
      <c r="T39" s="703" t="s">
        <v>14</v>
      </c>
      <c r="U39" s="704">
        <f t="shared" si="13"/>
        <v>100</v>
      </c>
      <c r="V39" s="703" t="s">
        <v>14</v>
      </c>
      <c r="W39" s="704">
        <f t="shared" si="14"/>
        <v>100</v>
      </c>
      <c r="X39" s="3503"/>
      <c r="Y39" s="3764"/>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62"/>
      <c r="Q40" s="3499" t="str">
        <f t="shared" si="11"/>
        <v>单套建筑面积</v>
      </c>
      <c r="R40" s="703" t="s">
        <v>14</v>
      </c>
      <c r="S40" s="704">
        <f t="shared" si="12"/>
        <v>100</v>
      </c>
      <c r="T40" s="703" t="s">
        <v>14</v>
      </c>
      <c r="U40" s="704">
        <f t="shared" si="13"/>
        <v>100</v>
      </c>
      <c r="V40" s="703" t="s">
        <v>14</v>
      </c>
      <c r="W40" s="704">
        <f t="shared" si="14"/>
        <v>100</v>
      </c>
      <c r="X40" s="3503"/>
      <c r="Y40" s="3764"/>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62"/>
      <c r="Q41" s="705" t="str">
        <f t="shared" si="11"/>
        <v>进深比</v>
      </c>
      <c r="R41" s="706" t="s">
        <v>14</v>
      </c>
      <c r="S41" s="707">
        <f t="shared" si="12"/>
        <v>100</v>
      </c>
      <c r="T41" s="706" t="s">
        <v>14</v>
      </c>
      <c r="U41" s="707">
        <f t="shared" si="13"/>
        <v>100</v>
      </c>
      <c r="V41" s="706" t="s">
        <v>14</v>
      </c>
      <c r="W41" s="707">
        <f t="shared" si="14"/>
        <v>100</v>
      </c>
      <c r="X41" s="708"/>
      <c r="Y41" s="3764"/>
      <c r="Z41" s="709" t="str">
        <f t="shared" si="15"/>
        <v>进深比</v>
      </c>
      <c r="AA41" s="3500">
        <f t="shared" si="3"/>
        <v>1</v>
      </c>
      <c r="AB41" s="3500">
        <f t="shared" si="4"/>
        <v>1</v>
      </c>
      <c r="AC41" s="3500">
        <f t="shared" si="5"/>
        <v>1</v>
      </c>
    </row>
    <row r="42" spans="1:29" ht="15">
      <c r="A42" s="422"/>
      <c r="B42" s="374" t="s">
        <v>1792</v>
      </c>
      <c r="C42" s="1904" t="s">
        <v>3507</v>
      </c>
      <c r="D42" s="385">
        <v>100</v>
      </c>
      <c r="E42" s="1904" t="s">
        <v>3448</v>
      </c>
      <c r="F42" s="411">
        <f>SUMIF(122:122,E42,123:123)-SUMIF(122:122,C42,123:123)+100</f>
        <v>102</v>
      </c>
      <c r="G42" s="1904" t="s">
        <v>3448</v>
      </c>
      <c r="H42" s="385">
        <f>SUMIF(122:122,G42,123:123)-SUMIF(122:122,C42,123:123)+100</f>
        <v>102</v>
      </c>
      <c r="I42" s="1904" t="s">
        <v>3448</v>
      </c>
      <c r="J42" s="385">
        <f>SUMIF(122:122,I42,123:123)-SUMIF(122:122,C42,123:123)+100</f>
        <v>102</v>
      </c>
      <c r="K42" s="560">
        <v>1</v>
      </c>
      <c r="L42" s="2716"/>
      <c r="M42" s="2710"/>
      <c r="N42" s="2710"/>
      <c r="O42" s="2710"/>
      <c r="P42" s="3762"/>
      <c r="Q42" s="3499" t="str">
        <f t="shared" si="11"/>
        <v>内部装修</v>
      </c>
      <c r="R42" s="703" t="s">
        <v>14</v>
      </c>
      <c r="S42" s="704">
        <f t="shared" si="12"/>
        <v>102</v>
      </c>
      <c r="T42" s="703" t="s">
        <v>14</v>
      </c>
      <c r="U42" s="704">
        <f t="shared" si="13"/>
        <v>102</v>
      </c>
      <c r="V42" s="703" t="s">
        <v>14</v>
      </c>
      <c r="W42" s="704">
        <f t="shared" si="14"/>
        <v>102</v>
      </c>
      <c r="X42" s="3503"/>
      <c r="Y42" s="3764"/>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3407</v>
      </c>
      <c r="D43" s="385">
        <v>100</v>
      </c>
      <c r="E43" s="1904" t="s">
        <v>3407</v>
      </c>
      <c r="F43" s="411">
        <f>SUMIF(124:124,E43,125:125)-SUMIF(124:124,C43,125:125)+100</f>
        <v>100</v>
      </c>
      <c r="G43" s="1904" t="s">
        <v>3407</v>
      </c>
      <c r="H43" s="385">
        <f>SUMIF(124:124,G43,125:125)-SUMIF(124:124,C43,125:125)+100</f>
        <v>100</v>
      </c>
      <c r="I43" s="1904" t="s">
        <v>3407</v>
      </c>
      <c r="J43" s="385">
        <f>SUMIF(124:124,I43,125:125)-SUMIF(124:124,C43,125:125)+100</f>
        <v>100</v>
      </c>
      <c r="K43" s="560">
        <v>1</v>
      </c>
      <c r="L43" s="2716"/>
      <c r="M43" s="2710"/>
      <c r="N43" s="2710"/>
      <c r="O43" s="2710"/>
      <c r="P43" s="3762"/>
      <c r="Q43" s="3499" t="str">
        <f t="shared" si="11"/>
        <v>内部装修维护情况</v>
      </c>
      <c r="R43" s="703" t="s">
        <v>14</v>
      </c>
      <c r="S43" s="704">
        <f t="shared" si="12"/>
        <v>100</v>
      </c>
      <c r="T43" s="703" t="s">
        <v>14</v>
      </c>
      <c r="U43" s="704">
        <f t="shared" si="13"/>
        <v>100</v>
      </c>
      <c r="V43" s="703" t="s">
        <v>14</v>
      </c>
      <c r="W43" s="704">
        <f t="shared" si="14"/>
        <v>100</v>
      </c>
      <c r="X43" s="3503"/>
      <c r="Y43" s="3764"/>
      <c r="Z43" s="3502" t="str">
        <f t="shared" si="15"/>
        <v>内部装修维护情况</v>
      </c>
      <c r="AA43" s="3500">
        <f t="shared" si="3"/>
        <v>1</v>
      </c>
      <c r="AB43" s="3500">
        <f t="shared" si="4"/>
        <v>1</v>
      </c>
      <c r="AC43" s="3500">
        <f t="shared" si="5"/>
        <v>1</v>
      </c>
    </row>
    <row r="44" spans="1:29" s="107" customFormat="1" ht="15">
      <c r="A44" s="423"/>
      <c r="B44" s="3471" t="s">
        <v>3511</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62"/>
      <c r="Q44" s="3498" t="str">
        <f t="shared" si="11"/>
        <v>使用率</v>
      </c>
      <c r="R44" s="699" t="s">
        <v>14</v>
      </c>
      <c r="S44" s="700">
        <f t="shared" si="12"/>
        <v>100</v>
      </c>
      <c r="T44" s="699" t="s">
        <v>14</v>
      </c>
      <c r="U44" s="700">
        <f t="shared" si="13"/>
        <v>100</v>
      </c>
      <c r="V44" s="699" t="s">
        <v>14</v>
      </c>
      <c r="W44" s="700">
        <f t="shared" si="14"/>
        <v>100</v>
      </c>
      <c r="X44" s="701"/>
      <c r="Y44" s="3764"/>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62"/>
      <c r="Q45" s="3499">
        <f t="shared" si="11"/>
        <v>0</v>
      </c>
      <c r="R45" s="703" t="s">
        <v>14</v>
      </c>
      <c r="S45" s="704">
        <f t="shared" si="12"/>
        <v>100</v>
      </c>
      <c r="T45" s="703" t="s">
        <v>14</v>
      </c>
      <c r="U45" s="704">
        <f t="shared" si="13"/>
        <v>100</v>
      </c>
      <c r="V45" s="703" t="s">
        <v>14</v>
      </c>
      <c r="W45" s="704">
        <f t="shared" si="14"/>
        <v>100</v>
      </c>
      <c r="X45" s="3503"/>
      <c r="Y45" s="3764"/>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63"/>
      <c r="Q46" s="3499">
        <f t="shared" si="11"/>
        <v>0</v>
      </c>
      <c r="R46" s="703" t="s">
        <v>14</v>
      </c>
      <c r="S46" s="704">
        <f t="shared" si="12"/>
        <v>100</v>
      </c>
      <c r="T46" s="703" t="s">
        <v>14</v>
      </c>
      <c r="U46" s="704">
        <f t="shared" si="13"/>
        <v>100</v>
      </c>
      <c r="V46" s="703" t="s">
        <v>14</v>
      </c>
      <c r="W46" s="704">
        <f t="shared" si="14"/>
        <v>100</v>
      </c>
      <c r="X46" s="3503"/>
      <c r="Y46" s="3765"/>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66" t="str">
        <f>A47</f>
        <v>成交单价（元/平方米）</v>
      </c>
      <c r="Q47" s="3766"/>
      <c r="R47" s="3754">
        <f>E47</f>
        <v>8.39</v>
      </c>
      <c r="S47" s="3754"/>
      <c r="T47" s="3754">
        <f>G47</f>
        <v>8.4</v>
      </c>
      <c r="U47" s="3754"/>
      <c r="V47" s="3754">
        <f>I47</f>
        <v>8</v>
      </c>
      <c r="W47" s="3754"/>
      <c r="X47" s="688"/>
      <c r="Y47" s="710"/>
      <c r="Z47" s="688"/>
      <c r="AA47" s="688"/>
      <c r="AB47" s="688"/>
      <c r="AC47" s="688"/>
    </row>
    <row r="48" spans="1:29" ht="15.75" thickBot="1">
      <c r="A48" s="436" t="s">
        <v>1709</v>
      </c>
      <c r="B48" s="437"/>
      <c r="C48" s="1158">
        <f>R49</f>
        <v>7</v>
      </c>
      <c r="D48" s="2315" t="s">
        <v>2135</v>
      </c>
      <c r="E48" s="1159">
        <f>R48</f>
        <v>7.1</v>
      </c>
      <c r="F48" s="2316"/>
      <c r="G48" s="1158">
        <f>T48</f>
        <v>6.7</v>
      </c>
      <c r="H48" s="2316"/>
      <c r="I48" s="1159">
        <f>V48</f>
        <v>7.1</v>
      </c>
      <c r="J48" s="2316"/>
      <c r="K48" s="2318">
        <f>F48+H48+J48</f>
        <v>0</v>
      </c>
      <c r="L48" s="2718"/>
      <c r="M48" s="2719"/>
      <c r="N48" s="2710"/>
      <c r="O48" s="2719"/>
      <c r="P48" s="3766" t="str">
        <f>A48</f>
        <v>比较价值（元/平方米）</v>
      </c>
      <c r="Q48" s="3766"/>
      <c r="R48" s="3767">
        <f>IF(F1="售价",ROUND(PRODUCT(R47,AA7:AA46),0),ROUND(PRODUCT(R47,AA7:AA46),1))</f>
        <v>7.1</v>
      </c>
      <c r="S48" s="3767"/>
      <c r="T48" s="3767">
        <f>IF(F1="售价",ROUND(PRODUCT(T47,AB7:AB46),0),ROUND(PRODUCT(T47,AB7:AB46),1))</f>
        <v>6.7</v>
      </c>
      <c r="U48" s="3767"/>
      <c r="V48" s="3767">
        <f>IF(F1="售价",ROUND(PRODUCT(V47,AC7:AC46),0),ROUND(PRODUCT(V47,AC7:AC46),1))</f>
        <v>7.1</v>
      </c>
      <c r="W48" s="3767"/>
      <c r="X48" s="688"/>
      <c r="Y48" s="688"/>
      <c r="Z48" s="688"/>
      <c r="AA48" s="688"/>
      <c r="AB48" s="688"/>
      <c r="AC48" s="688"/>
    </row>
    <row r="49" spans="1:29" ht="15.75" thickBot="1">
      <c r="A49" s="440" t="s">
        <v>1710</v>
      </c>
      <c r="B49" s="441"/>
      <c r="C49" s="1161">
        <f>R49</f>
        <v>7</v>
      </c>
      <c r="D49" s="1161"/>
      <c r="E49" s="1161"/>
      <c r="F49" s="1161"/>
      <c r="G49" s="1161"/>
      <c r="H49" s="1161"/>
      <c r="I49" s="1161"/>
      <c r="J49" s="1161"/>
      <c r="K49" s="713"/>
      <c r="L49" s="2718"/>
      <c r="M49" s="2719"/>
      <c r="N49" s="2710"/>
      <c r="O49" s="2719"/>
      <c r="P49" s="3779" t="str">
        <f>A49</f>
        <v>估价对象XX用房的比较价值（楼面单价，元/平方米）</v>
      </c>
      <c r="Q49" s="3780"/>
      <c r="R49" s="3781">
        <f>IF(F1="售价",ROUND(IF(D48="简单平均",AVERAGE(R48:V48),R48*F48+T48*H48+V48*J48),0),ROUND(IF(D48="简单平均",AVERAGE(R48:V48),R48*F48+T48*H48+V48*J48),1))</f>
        <v>7</v>
      </c>
      <c r="S49" s="3781"/>
      <c r="T49" s="3781"/>
      <c r="U49" s="3781"/>
      <c r="V49" s="3781"/>
      <c r="W49" s="3781"/>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0.18169014084507062</v>
      </c>
      <c r="F52" s="448" t="str">
        <f>IF(OR(E52&gt;=0.3,E52&lt;=-0.3),"超过30%","")</f>
        <v/>
      </c>
      <c r="G52" s="447">
        <f>IF(G47&lt;G48,G48/G47-1,G47/G48-1)</f>
        <v>0.25373134328358216</v>
      </c>
      <c r="H52" s="448" t="str">
        <f>IF(OR(G52&gt;=0.3,G52&lt;=-0.3),"超过30%","")</f>
        <v/>
      </c>
      <c r="I52" s="447">
        <f>IF(I47&lt;I48,I48/I47-1,I47/I48-1)</f>
        <v>0.12676056338028174</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5.9701492537313383E-2</v>
      </c>
      <c r="F53" s="448" t="str">
        <f>IF(OR(E53&gt;=0.2,E53&lt;=-0.2),"超过20%","")</f>
        <v/>
      </c>
      <c r="G53" s="447">
        <f>IF(G48&lt;I48,I48/G48-1,G48/I48-1)</f>
        <v>5.9701492537313383E-2</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3423</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3424</v>
      </c>
      <c r="D65" s="531" t="s">
        <v>3425</v>
      </c>
      <c r="E65" s="531" t="s">
        <v>3426</v>
      </c>
      <c r="F65" s="531" t="s">
        <v>3427</v>
      </c>
      <c r="G65" s="531" t="s">
        <v>3428</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3431</v>
      </c>
      <c r="D86" s="3475" t="s">
        <v>3432</v>
      </c>
      <c r="E86" s="3475" t="s">
        <v>3433</v>
      </c>
      <c r="F86" s="3475" t="s">
        <v>3434</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3484</v>
      </c>
      <c r="D88" s="3475" t="s">
        <v>3483</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3488</v>
      </c>
      <c r="D90" s="3475" t="s">
        <v>3489</v>
      </c>
      <c r="E90" s="3475" t="s">
        <v>3490</v>
      </c>
      <c r="F90" s="3475" t="s">
        <v>3491</v>
      </c>
      <c r="G90" s="3475" t="s">
        <v>3492</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3418</v>
      </c>
      <c r="D92" s="502" t="s">
        <v>3419</v>
      </c>
      <c r="E92" s="502" t="s">
        <v>3420</v>
      </c>
      <c r="F92" s="3475" t="s">
        <v>3481</v>
      </c>
      <c r="G92" s="3475" t="s">
        <v>3482</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3485</v>
      </c>
      <c r="D100" s="3477" t="s">
        <v>3487</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3430</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3493</v>
      </c>
      <c r="D107" s="3475" t="s">
        <v>3494</v>
      </c>
      <c r="E107" s="3475" t="s">
        <v>3495</v>
      </c>
      <c r="F107" s="3478" t="s">
        <v>3496</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3497</v>
      </c>
      <c r="D112" s="3475" t="s">
        <v>3498</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3499</v>
      </c>
      <c r="D114" s="3475" t="s">
        <v>3501</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3493</v>
      </c>
      <c r="D122" s="3475" t="s">
        <v>3494</v>
      </c>
      <c r="E122" s="3475" t="s">
        <v>3495</v>
      </c>
      <c r="F122" s="3478" t="s">
        <v>3496</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abSelected="1" workbookViewId="0">
      <selection activeCell="A22" sqref="A22"/>
    </sheetView>
  </sheetViews>
  <sheetFormatPr defaultRowHeight="13.5"/>
  <cols>
    <col min="15" max="15" width="22.875" customWidth="1"/>
    <col min="17" max="17" width="9" style="3247"/>
    <col min="18" max="18" width="9" style="3515"/>
    <col min="19" max="19" width="9" style="3247"/>
  </cols>
  <sheetData>
    <row r="1" spans="17:19">
      <c r="Q1" s="3513"/>
      <c r="R1" s="3514"/>
      <c r="S1" s="3513"/>
    </row>
    <row r="2" spans="17:19">
      <c r="R2" s="3514"/>
    </row>
    <row r="3" spans="17:19">
      <c r="R3" s="3514"/>
    </row>
    <row r="4" spans="17:19">
      <c r="R4" s="3514"/>
    </row>
    <row r="5" spans="17:19">
      <c r="R5" s="3514"/>
    </row>
    <row r="6" spans="17:19">
      <c r="R6" s="3514"/>
    </row>
    <row r="7" spans="17:19">
      <c r="R7" s="3514"/>
    </row>
    <row r="8" spans="17:19">
      <c r="R8" s="3514"/>
    </row>
    <row r="9" spans="17:19">
      <c r="R9" s="3514"/>
    </row>
    <row r="11" spans="17:19">
      <c r="R11" s="3514"/>
      <c r="S11" s="3515"/>
    </row>
    <row r="25" spans="11:16">
      <c r="O25" s="3517"/>
      <c r="P25" s="3518"/>
    </row>
    <row r="26" spans="11:16">
      <c r="O26" s="3519"/>
      <c r="P26" s="3520"/>
    </row>
    <row r="27" spans="11:16">
      <c r="O27" s="3519"/>
      <c r="P27" s="3518"/>
    </row>
    <row r="28" spans="11:16">
      <c r="O28" s="3519"/>
      <c r="P28" s="3518"/>
    </row>
    <row r="29" spans="11:16">
      <c r="O29" s="3519"/>
      <c r="P29" s="3518"/>
    </row>
    <row r="31" spans="11:16">
      <c r="K31" s="3496"/>
    </row>
    <row r="35" spans="15:15">
      <c r="O35" s="3495" t="s">
        <v>3502</v>
      </c>
    </row>
    <row r="51" spans="11:11">
      <c r="K51" s="3495"/>
    </row>
    <row r="73" spans="12:12">
      <c r="L73" s="3495"/>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928</v>
      </c>
      <c r="B2" s="3541" t="s">
        <v>929</v>
      </c>
      <c r="C2" s="3541" t="s">
        <v>930</v>
      </c>
      <c r="D2" s="3541" t="str">
        <f>结果表!D116</f>
        <v>出让国有建设用地使用权价值</v>
      </c>
      <c r="E2" s="3541"/>
      <c r="F2" s="3541" t="str">
        <f>结果表!F116</f>
        <v>在建建筑物价值</v>
      </c>
      <c r="G2" s="3541"/>
      <c r="H2" s="3541" t="str">
        <f>IF(项目基本情况!B9="房地产市场价值","房地产市场价值","房地产价值")</f>
        <v>房地产价值</v>
      </c>
      <c r="I2" s="3541"/>
    </row>
    <row r="3" spans="1:9" ht="15">
      <c r="A3" s="3542"/>
      <c r="B3" s="3542"/>
      <c r="C3" s="3542"/>
      <c r="D3" s="852" t="s">
        <v>925</v>
      </c>
      <c r="E3" s="852" t="s">
        <v>931</v>
      </c>
      <c r="F3" s="852" t="s">
        <v>925</v>
      </c>
      <c r="G3" s="852" t="s">
        <v>926</v>
      </c>
      <c r="H3" s="852" t="s">
        <v>925</v>
      </c>
      <c r="I3" s="852" t="s">
        <v>926</v>
      </c>
    </row>
    <row r="4" spans="1:9" ht="15">
      <c r="A4" s="1503" t="str">
        <f>项目基本情况!S2</f>
        <v>北京市房地产</v>
      </c>
      <c r="B4" s="852">
        <f>项目基本情况!C17</f>
        <v>3313.6</v>
      </c>
      <c r="C4" s="852">
        <f>项目基本情况!C18</f>
        <v>0</v>
      </c>
      <c r="D4" s="852">
        <f ca="1">结果表!D118</f>
        <v>3854</v>
      </c>
      <c r="E4" s="852">
        <f ca="1">结果表!E118</f>
        <v>11631</v>
      </c>
      <c r="F4" s="852">
        <f ca="1">结果表!F118</f>
        <v>1278</v>
      </c>
      <c r="G4" s="852">
        <f ca="1">结果表!G118</f>
        <v>3857</v>
      </c>
      <c r="H4" s="852">
        <f ca="1">结果表!H118</f>
        <v>5132</v>
      </c>
      <c r="I4" s="852">
        <f ca="1">结果表!I118</f>
        <v>15488</v>
      </c>
    </row>
    <row r="5" spans="1:9" ht="30" customHeight="1">
      <c r="A5" s="3542" t="s">
        <v>927</v>
      </c>
      <c r="B5" s="3542"/>
      <c r="C5" s="3542"/>
      <c r="D5" s="3542" t="str">
        <f ca="1">结果表!D119</f>
        <v>叁仟捌佰伍拾肆万元整</v>
      </c>
      <c r="E5" s="3542"/>
      <c r="F5" s="3542" t="str">
        <f ca="1">结果表!F119</f>
        <v>壹仟贰佰柒拾捌万元整</v>
      </c>
      <c r="G5" s="3542"/>
      <c r="H5" s="3542" t="str">
        <f ca="1">结果表!H119</f>
        <v>伍仟壹佰叁拾贰万元整</v>
      </c>
      <c r="I5" s="3542"/>
    </row>
    <row r="6" spans="1:9" ht="15.75">
      <c r="A6" s="3543" t="str">
        <f>结果表!A120</f>
        <v>估价师知悉的法定优先受偿款</v>
      </c>
      <c r="B6" s="3543"/>
      <c r="C6" s="3543"/>
      <c r="D6" s="3543">
        <f>结果表!D120</f>
        <v>0</v>
      </c>
      <c r="E6" s="3543"/>
      <c r="F6" s="3543"/>
      <c r="G6" s="3543"/>
      <c r="H6" s="3543"/>
      <c r="I6" s="3543"/>
    </row>
    <row r="7" spans="1:9" ht="15">
      <c r="A7" s="3542" t="s">
        <v>927</v>
      </c>
      <c r="B7" s="3542"/>
      <c r="C7" s="3542"/>
      <c r="D7" s="3544" t="str">
        <f>结果表!D121</f>
        <v>零元整</v>
      </c>
      <c r="E7" s="3545"/>
      <c r="F7" s="3545"/>
      <c r="G7" s="3545"/>
      <c r="H7" s="3545"/>
      <c r="I7" s="3546"/>
    </row>
    <row r="8" spans="1:9" ht="15.75">
      <c r="A8" s="3543" t="str">
        <f>结果表!A122</f>
        <v>房地产抵押价值</v>
      </c>
      <c r="B8" s="3543"/>
      <c r="C8" s="3543"/>
      <c r="D8" s="3543">
        <f ca="1">结果表!D122</f>
        <v>5132</v>
      </c>
      <c r="E8" s="3543"/>
      <c r="F8" s="3543"/>
      <c r="G8" s="3543"/>
      <c r="H8" s="3543"/>
      <c r="I8" s="3543"/>
    </row>
    <row r="9" spans="1:9" ht="15">
      <c r="A9" s="3542" t="s">
        <v>927</v>
      </c>
      <c r="B9" s="3542"/>
      <c r="C9" s="3542"/>
      <c r="D9" s="3542" t="str">
        <f ca="1">结果表!D123</f>
        <v>伍仟壹佰叁拾贰万元整</v>
      </c>
      <c r="E9" s="3542"/>
      <c r="F9" s="3542"/>
      <c r="G9" s="3542"/>
      <c r="H9" s="3542"/>
      <c r="I9" s="3542"/>
    </row>
    <row r="10" spans="1:9" ht="15.75">
      <c r="A10" s="3543" t="str">
        <f>结果表!A124</f>
        <v/>
      </c>
      <c r="B10" s="3543"/>
      <c r="C10" s="3543"/>
      <c r="D10" s="3543" t="str">
        <f>结果表!D124</f>
        <v>——</v>
      </c>
      <c r="E10" s="3543"/>
      <c r="F10" s="3543"/>
      <c r="G10" s="3543"/>
      <c r="H10" s="3543"/>
      <c r="I10" s="3543"/>
    </row>
    <row r="11" spans="1:9" ht="15">
      <c r="A11" s="3542" t="s">
        <v>927</v>
      </c>
      <c r="B11" s="3542"/>
      <c r="C11" s="3542"/>
      <c r="D11" s="3542" t="e">
        <f>结果表!D125</f>
        <v>#VALUE!</v>
      </c>
      <c r="E11" s="3542"/>
      <c r="F11" s="3542"/>
      <c r="G11" s="3542"/>
      <c r="H11" s="3542"/>
      <c r="I11" s="3542"/>
    </row>
    <row r="12" spans="1:9" ht="15.75">
      <c r="A12" s="3543" t="str">
        <f>结果表!A126</f>
        <v/>
      </c>
      <c r="B12" s="3543"/>
      <c r="C12" s="3543"/>
      <c r="D12" s="3543" t="str">
        <f>结果表!D126</f>
        <v>——</v>
      </c>
      <c r="E12" s="3543"/>
      <c r="F12" s="3543"/>
      <c r="G12" s="3543"/>
      <c r="H12" s="3543"/>
      <c r="I12" s="3543"/>
    </row>
    <row r="13" spans="1:9" ht="15.75" thickBot="1">
      <c r="A13" s="3547" t="s">
        <v>927</v>
      </c>
      <c r="B13" s="3547"/>
      <c r="C13" s="3547"/>
      <c r="D13" s="3547" t="e">
        <f>结果表!D127</f>
        <v>#VALUE!</v>
      </c>
      <c r="E13" s="3547"/>
      <c r="F13" s="3547"/>
      <c r="G13" s="3547"/>
      <c r="H13" s="3547"/>
      <c r="I13" s="3547"/>
    </row>
    <row r="14" spans="1:9" ht="15" thickTop="1">
      <c r="A14" s="3548" t="s">
        <v>932</v>
      </c>
      <c r="B14" s="3548"/>
      <c r="C14" s="3548"/>
      <c r="D14" s="3548"/>
      <c r="E14" s="3548"/>
      <c r="F14" s="3548"/>
      <c r="G14" s="3548"/>
      <c r="H14" s="3548"/>
      <c r="I14" s="354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9" t="s">
        <v>949</v>
      </c>
      <c r="B1" s="3549"/>
      <c r="C1" s="3549"/>
      <c r="D1" s="3549"/>
    </row>
    <row r="2" spans="1:4" ht="18">
      <c r="A2" s="3550" t="s">
        <v>933</v>
      </c>
      <c r="B2" s="3550"/>
      <c r="C2" s="3550"/>
      <c r="D2" s="355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0" t="s">
        <v>939</v>
      </c>
      <c r="B6" s="3550"/>
      <c r="C6" s="3550"/>
      <c r="D6" s="355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1" t="s">
        <v>942</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52" t="str">
        <f>IF(项目基本情况!B8="抵押","4.本次评估估价师所知悉的法定优先受偿款情况说明如下：","——")</f>
        <v>4.本次评估估价师所知悉的法定优先受偿款情况说明如下：</v>
      </c>
      <c r="B14" s="3553"/>
      <c r="C14" s="3553"/>
      <c r="D14" s="3553"/>
    </row>
    <row r="15" spans="1:4" ht="42" customHeight="1">
      <c r="A15" s="3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5" t="s">
        <v>943</v>
      </c>
      <c r="B16" s="3555"/>
      <c r="C16" s="3555"/>
      <c r="D16" s="3555"/>
    </row>
    <row r="17" spans="1:4" ht="144" customHeight="1">
      <c r="A17" s="3555" t="s">
        <v>944</v>
      </c>
      <c r="B17" s="3555"/>
      <c r="C17" s="3555"/>
      <c r="D17" s="3555"/>
    </row>
    <row r="18" spans="1:4" ht="15.75" customHeight="1">
      <c r="A18" s="3552" t="str">
        <f>IF(项目基本情况!B8="抵押",结果表!K120,"——")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945</v>
      </c>
      <c r="B22" s="3557"/>
      <c r="C22" s="3557"/>
      <c r="D22" s="355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4">
        <v>42551</v>
      </c>
      <c r="D31" s="35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3" t="s">
        <v>956</v>
      </c>
      <c r="B15" s="3558" t="s">
        <v>109</v>
      </c>
      <c r="C15" s="3559"/>
    </row>
    <row r="16" spans="1:7" ht="13.5">
      <c r="A16" s="3564"/>
      <c r="B16" s="3558" t="s">
        <v>42</v>
      </c>
      <c r="C16" s="3559"/>
    </row>
    <row r="17" spans="1:3" ht="13.5">
      <c r="A17" s="3564"/>
      <c r="B17" s="3561" t="s">
        <v>957</v>
      </c>
      <c r="C17" s="1530" t="s">
        <v>956</v>
      </c>
    </row>
    <row r="18" spans="1:3" ht="13.5">
      <c r="A18" s="3564"/>
      <c r="B18" s="3561"/>
      <c r="C18" s="1530" t="s">
        <v>958</v>
      </c>
    </row>
    <row r="19" spans="1:3" ht="13.5">
      <c r="A19" s="3564"/>
      <c r="B19" s="3561"/>
      <c r="C19" s="1530" t="s">
        <v>959</v>
      </c>
    </row>
    <row r="20" spans="1:3" ht="13.5">
      <c r="A20" s="3565"/>
      <c r="B20" s="3560" t="s">
        <v>960</v>
      </c>
      <c r="C20" s="3559"/>
    </row>
    <row r="21" spans="1:3" ht="13.5">
      <c r="A21" s="1531" t="s">
        <v>961</v>
      </c>
      <c r="B21" s="1532"/>
      <c r="C21" s="1533"/>
    </row>
    <row r="22" spans="1:3" ht="13.5">
      <c r="A22" s="3562" t="s">
        <v>962</v>
      </c>
      <c r="B22" s="3560" t="s">
        <v>963</v>
      </c>
      <c r="C22" s="3559"/>
    </row>
    <row r="23" spans="1:3" ht="13.5">
      <c r="A23" s="3562"/>
      <c r="B23" s="3560" t="s">
        <v>964</v>
      </c>
      <c r="C23" s="3559"/>
    </row>
    <row r="24" spans="1:3" ht="13.5">
      <c r="A24" s="3562"/>
      <c r="B24" s="3560" t="s">
        <v>965</v>
      </c>
      <c r="C24" s="3559"/>
    </row>
    <row r="25" spans="1:3" ht="13.5">
      <c r="A25" s="3562"/>
      <c r="B25" s="3561" t="s">
        <v>966</v>
      </c>
      <c r="C25" s="1530" t="s">
        <v>967</v>
      </c>
    </row>
    <row r="26" spans="1:3" ht="13.5">
      <c r="A26" s="3562"/>
      <c r="B26" s="3561"/>
      <c r="C26" s="1530" t="s">
        <v>968</v>
      </c>
    </row>
    <row r="27" spans="1:3" ht="13.5">
      <c r="A27" s="3562"/>
      <c r="B27" s="3561"/>
      <c r="C27" s="1530" t="s">
        <v>969</v>
      </c>
    </row>
    <row r="28" spans="1:3" ht="13.5">
      <c r="A28" s="3562"/>
      <c r="B28" s="3561"/>
      <c r="C28" s="1530" t="s">
        <v>970</v>
      </c>
    </row>
    <row r="29" spans="1:3" ht="13.5">
      <c r="A29" s="3562"/>
      <c r="B29" s="3561"/>
      <c r="C29" s="1530" t="s">
        <v>971</v>
      </c>
    </row>
    <row r="30" spans="1:3" ht="13.5">
      <c r="A30" s="3562"/>
      <c r="B30" s="3561"/>
      <c r="C30" s="1530" t="s">
        <v>972</v>
      </c>
    </row>
    <row r="31" spans="1:3" ht="13.5">
      <c r="A31" s="3562"/>
      <c r="B31" s="3561"/>
      <c r="C31" s="1530" t="s">
        <v>973</v>
      </c>
    </row>
    <row r="32" spans="1:3" ht="13.5">
      <c r="A32" s="3562"/>
      <c r="B32" s="3561"/>
      <c r="C32" s="1530" t="s">
        <v>974</v>
      </c>
    </row>
    <row r="33" spans="1:3" ht="13.5">
      <c r="A33" s="3562"/>
      <c r="B33" s="356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45896</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2436</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6" t="s">
        <v>2157</v>
      </c>
      <c r="B17" s="3566"/>
      <c r="C17" s="3566"/>
      <c r="D17" s="3566"/>
      <c r="E17" s="3566"/>
      <c r="F17" s="3566"/>
      <c r="G17" s="3566"/>
      <c r="H17" s="3566"/>
    </row>
    <row r="18" spans="1:8" ht="24" customHeight="1">
      <c r="A18" s="3567" t="s">
        <v>2158</v>
      </c>
      <c r="B18" s="3567"/>
      <c r="C18" s="3567"/>
      <c r="D18" s="2341"/>
      <c r="E18" s="3568" t="s">
        <v>2159</v>
      </c>
      <c r="F18" s="3567"/>
      <c r="G18" s="3567"/>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2025-08-27T06:59:16Z</dcterms:modified>
</cp:coreProperties>
</file>