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D:\桌面\吴琼光大富尔大厦\"/>
    </mc:Choice>
  </mc:AlternateContent>
  <xr:revisionPtr revIDLastSave="0" documentId="13_ncr:1_{7BE9DABE-B13E-4D95-A07D-784DBC491F90}" xr6:coauthVersionLast="47" xr6:coauthVersionMax="47" xr10:uidLastSave="{00000000-0000-0000-0000-000000000000}"/>
  <bookViews>
    <workbookView xWindow="9060" yWindow="165" windowWidth="10140" windowHeight="14595" tabRatio="899" firstSheet="13"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比较法-办公 (租金)" sheetId="81" r:id="rId20"/>
    <sheet name="收益法 (元)" sheetId="67" r:id="rId21"/>
    <sheet name="案例信息" sheetId="80" r:id="rId22"/>
    <sheet name="租金信息" sheetId="82"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8" hidden="1">'比较法-办公'!$A$1:$L$50</definedName>
    <definedName name="_xlnm._FilterDatabase" localSheetId="19" hidden="1">'比较法-办公 (租金)'!$A$1:$L$50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19">'比较法-办公 (租金)'!$A$1:$K$55,'比较法-办公 (租金)'!$A$58:$M$132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12">'数据-基础表'!$A$1:$I$13</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 (租金)'!$B$119:$M$119</definedName>
    <definedName name="办公层高">'比较法-办公'!$B$119:$M$119</definedName>
    <definedName name="办公朝向" localSheetId="19">'比较法-办公 (租金)'!$B$91:$M$91</definedName>
    <definedName name="办公朝向">'比较法-办公'!$B$91:$M$91</definedName>
    <definedName name="办公道路级别" localSheetId="19">'比较法-办公 (租金)'!$B$87:$M$87</definedName>
    <definedName name="办公道路级别">'比较法-办公'!$B$87:$M$87</definedName>
    <definedName name="办公公共部分装修" localSheetId="19">'比较法-办公 (租金)'!$B$108:$M$108</definedName>
    <definedName name="办公公共部分装修">'比较法-办公'!$B$108:$M$108</definedName>
    <definedName name="办公基础设施水平" localSheetId="19">'比较法-办公 (租金)'!$B$117:$M$117</definedName>
    <definedName name="办公基础设施水平">'比较法-办公'!$B$117:$M$117</definedName>
    <definedName name="办公集聚程度">定义!$M$1:$M$6</definedName>
    <definedName name="办公建筑结构" localSheetId="19">'比较法-办公 (租金)'!$B$106:$M$106</definedName>
    <definedName name="办公建筑结构">'比较法-办公'!$B$106:$M$106</definedName>
    <definedName name="办公建筑类型" localSheetId="19">'比较法-办公 (租金)'!$B$101:$M$101</definedName>
    <definedName name="办公建筑类型">'比较法-办公'!$B$101:$M$101</definedName>
    <definedName name="办公交易情况" localSheetId="19">'比较法-办公 (租金)'!$A$62:$M$62</definedName>
    <definedName name="办公交易情况">'比较法-办公'!$A$62:$M$62</definedName>
    <definedName name="办公楼层" localSheetId="19">'比较法-办公 (租金)'!$B$89:$M$89</definedName>
    <definedName name="办公楼层">'比较法-办公'!$B$89:$M$89</definedName>
    <definedName name="办公内部装修" localSheetId="19">'比较法-办公 (租金)'!$B$123:$M$123</definedName>
    <definedName name="办公内部装修">'比较法-办公'!$B$123:$M$123</definedName>
    <definedName name="办公物业管理" localSheetId="19">'比较法-办公 (租金)'!$B$115:$M$115</definedName>
    <definedName name="办公物业管理">'比较法-办公'!$B$115:$M$115</definedName>
    <definedName name="办公用途" localSheetId="1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81" l="1"/>
  <c r="G48" i="81"/>
  <c r="E48" i="81"/>
  <c r="I34" i="81"/>
  <c r="G34" i="81"/>
  <c r="E34" i="8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P50" i="81"/>
  <c r="P49" i="81"/>
  <c r="K49" i="81"/>
  <c r="P48" i="81"/>
  <c r="Q47" i="81"/>
  <c r="Z47" i="81" s="1"/>
  <c r="J47" i="81"/>
  <c r="H47" i="81"/>
  <c r="F47" i="81"/>
  <c r="Q46" i="81"/>
  <c r="Z46" i="81" s="1"/>
  <c r="J46" i="81"/>
  <c r="H46" i="81"/>
  <c r="F46" i="81"/>
  <c r="Q45" i="81"/>
  <c r="Z45" i="81" s="1"/>
  <c r="J45" i="81"/>
  <c r="H45" i="81"/>
  <c r="F45" i="81"/>
  <c r="Q44" i="81"/>
  <c r="Z44" i="81" s="1"/>
  <c r="J44" i="81"/>
  <c r="H44" i="81"/>
  <c r="F44" i="81"/>
  <c r="Q43" i="81"/>
  <c r="Z43" i="81" s="1"/>
  <c r="J43" i="81"/>
  <c r="H43" i="81"/>
  <c r="F43" i="81"/>
  <c r="Q42" i="81"/>
  <c r="Z42" i="81" s="1"/>
  <c r="J42" i="81"/>
  <c r="H42" i="81"/>
  <c r="F42" i="81"/>
  <c r="Q41" i="81"/>
  <c r="Z41" i="81" s="1"/>
  <c r="J41" i="81"/>
  <c r="H41" i="81"/>
  <c r="F41" i="81"/>
  <c r="Q40" i="81"/>
  <c r="Z40" i="81" s="1"/>
  <c r="J40" i="81"/>
  <c r="H40" i="81"/>
  <c r="F40" i="81"/>
  <c r="Q39" i="81"/>
  <c r="Z39" i="81" s="1"/>
  <c r="J39" i="81"/>
  <c r="H39" i="81"/>
  <c r="F39" i="81"/>
  <c r="Q38" i="81"/>
  <c r="Z38" i="81" s="1"/>
  <c r="J38" i="81"/>
  <c r="H38" i="81"/>
  <c r="F38" i="81"/>
  <c r="Q37" i="81"/>
  <c r="Z37" i="81" s="1"/>
  <c r="C37" i="81"/>
  <c r="Q36" i="81"/>
  <c r="Z36" i="81" s="1"/>
  <c r="J36" i="81"/>
  <c r="H36" i="81"/>
  <c r="F36" i="81"/>
  <c r="Q35" i="81"/>
  <c r="Z35" i="81" s="1"/>
  <c r="J35" i="81"/>
  <c r="H35" i="81"/>
  <c r="F35" i="81"/>
  <c r="Q34" i="81"/>
  <c r="Z34" i="81" s="1"/>
  <c r="C34" i="81"/>
  <c r="Q33" i="81"/>
  <c r="Z33" i="81" s="1"/>
  <c r="J33" i="81"/>
  <c r="H33" i="81"/>
  <c r="F33" i="81"/>
  <c r="Q32" i="81"/>
  <c r="Z32" i="81" s="1"/>
  <c r="J32" i="81"/>
  <c r="H32" i="81"/>
  <c r="F32" i="81"/>
  <c r="Q31" i="81"/>
  <c r="Z31" i="81" s="1"/>
  <c r="J31" i="81"/>
  <c r="H31" i="81"/>
  <c r="F31" i="81"/>
  <c r="Q30" i="81"/>
  <c r="Z30" i="81" s="1"/>
  <c r="J30" i="81"/>
  <c r="H30" i="81"/>
  <c r="F30" i="81"/>
  <c r="Q29" i="81"/>
  <c r="Z29" i="81" s="1"/>
  <c r="J29" i="81"/>
  <c r="H29" i="81"/>
  <c r="F29" i="81"/>
  <c r="Q28" i="81"/>
  <c r="Z28" i="81" s="1"/>
  <c r="J28" i="81"/>
  <c r="H28" i="81"/>
  <c r="F28" i="81"/>
  <c r="Q27" i="81"/>
  <c r="Z27" i="81" s="1"/>
  <c r="J27" i="81"/>
  <c r="H27" i="81"/>
  <c r="F27" i="81"/>
  <c r="Q25" i="81"/>
  <c r="Z25" i="81" s="1"/>
  <c r="J25" i="81"/>
  <c r="H25" i="81"/>
  <c r="F25" i="81"/>
  <c r="Q23" i="81"/>
  <c r="Z23" i="81" s="1"/>
  <c r="J23" i="81"/>
  <c r="H23" i="81"/>
  <c r="F23" i="81"/>
  <c r="C23" i="81"/>
  <c r="Q21" i="81"/>
  <c r="Z21" i="81" s="1"/>
  <c r="J21" i="81"/>
  <c r="H21" i="81"/>
  <c r="F21" i="81"/>
  <c r="C21" i="81"/>
  <c r="Q19" i="81"/>
  <c r="Z19" i="81" s="1"/>
  <c r="J19" i="81"/>
  <c r="H19" i="81"/>
  <c r="F19" i="81"/>
  <c r="C19" i="81"/>
  <c r="Q17" i="81"/>
  <c r="Z17" i="81" s="1"/>
  <c r="J17" i="81"/>
  <c r="H17" i="81"/>
  <c r="F17" i="81"/>
  <c r="C17" i="81"/>
  <c r="Q15" i="81"/>
  <c r="Z15" i="81" s="1"/>
  <c r="J15" i="81"/>
  <c r="H15" i="81"/>
  <c r="F15" i="81"/>
  <c r="C15" i="81"/>
  <c r="Q14" i="81"/>
  <c r="Z14" i="81" s="1"/>
  <c r="J14" i="81"/>
  <c r="H14" i="81"/>
  <c r="F14" i="81"/>
  <c r="Q13" i="81"/>
  <c r="Z13" i="81" s="1"/>
  <c r="J13" i="81"/>
  <c r="H13" i="81"/>
  <c r="F13" i="81"/>
  <c r="Q12" i="81"/>
  <c r="Z12" i="81" s="1"/>
  <c r="J12" i="81"/>
  <c r="H12" i="81"/>
  <c r="F12" i="81"/>
  <c r="Q11" i="81"/>
  <c r="Z11" i="81" s="1"/>
  <c r="J11" i="81"/>
  <c r="H11" i="81"/>
  <c r="F11" i="81"/>
  <c r="Q10" i="81"/>
  <c r="Z10" i="81" s="1"/>
  <c r="G10" i="81"/>
  <c r="E10" i="81"/>
  <c r="F10" i="81" s="1"/>
  <c r="Q9" i="81"/>
  <c r="Z9" i="81" s="1"/>
  <c r="J9" i="81"/>
  <c r="H9" i="81"/>
  <c r="F9" i="81"/>
  <c r="J8" i="81"/>
  <c r="H8" i="81"/>
  <c r="F8" i="81"/>
  <c r="C7" i="81"/>
  <c r="I5" i="81"/>
  <c r="G5" i="81"/>
  <c r="E5" i="81"/>
  <c r="D3" i="81"/>
  <c r="D2" i="81"/>
  <c r="B14" i="74"/>
  <c r="D14" i="9"/>
  <c r="I37" i="34"/>
  <c r="G37" i="34"/>
  <c r="E37" i="34"/>
  <c r="C37" i="34"/>
  <c r="C34" i="34"/>
  <c r="I34" i="34"/>
  <c r="G34" i="34"/>
  <c r="E34" i="34"/>
  <c r="I48" i="34"/>
  <c r="G48" i="34"/>
  <c r="E48" i="34"/>
  <c r="I10" i="34"/>
  <c r="I5" i="34"/>
  <c r="G5" i="34"/>
  <c r="E5" i="34"/>
  <c r="G10" i="34"/>
  <c r="E10" i="34"/>
  <c r="C59" i="81" l="1"/>
  <c r="D59" i="81" s="1"/>
  <c r="E59" i="81" s="1"/>
  <c r="F59" i="81" s="1"/>
  <c r="G59" i="81" s="1"/>
  <c r="H59" i="81" s="1"/>
  <c r="I59" i="81" s="1"/>
  <c r="J59" i="81" s="1"/>
  <c r="K59" i="81" s="1"/>
  <c r="L59" i="81" s="1"/>
  <c r="M59" i="81" s="1"/>
  <c r="N59" i="81" s="1"/>
  <c r="O59" i="81" s="1"/>
  <c r="I7" i="81"/>
  <c r="J7" i="81" s="1"/>
  <c r="G7" i="81"/>
  <c r="H7" i="81" s="1"/>
  <c r="E7" i="81"/>
  <c r="F7" i="81" s="1"/>
  <c r="AA8" i="81"/>
  <c r="S8" i="81"/>
  <c r="AB8" i="81"/>
  <c r="U8" i="81"/>
  <c r="AC8" i="81"/>
  <c r="W8" i="81"/>
  <c r="AA9" i="81"/>
  <c r="S9" i="81"/>
  <c r="AB9" i="81"/>
  <c r="U9" i="81"/>
  <c r="AC9" i="81"/>
  <c r="W9" i="81"/>
  <c r="AA10" i="81"/>
  <c r="S10" i="81"/>
  <c r="I10" i="81"/>
  <c r="J10" i="81" s="1"/>
  <c r="H10" i="81"/>
  <c r="AA11" i="81"/>
  <c r="S11" i="81"/>
  <c r="AB11" i="81"/>
  <c r="U11" i="81"/>
  <c r="AC11" i="81"/>
  <c r="W11" i="81"/>
  <c r="AA12" i="81"/>
  <c r="S12" i="81"/>
  <c r="AB12" i="81"/>
  <c r="U12" i="81"/>
  <c r="AC12" i="81"/>
  <c r="W12" i="81"/>
  <c r="AA13" i="81"/>
  <c r="S13" i="81"/>
  <c r="AB13" i="81"/>
  <c r="U13" i="81"/>
  <c r="AC13" i="81"/>
  <c r="W13" i="81"/>
  <c r="AA14" i="81"/>
  <c r="S14" i="81"/>
  <c r="AB14" i="81"/>
  <c r="U14" i="81"/>
  <c r="AC14" i="81"/>
  <c r="W14" i="81"/>
  <c r="AA15" i="81"/>
  <c r="S15" i="81"/>
  <c r="AB15" i="81"/>
  <c r="U15" i="81"/>
  <c r="AC15" i="81"/>
  <c r="W15" i="81"/>
  <c r="AA17" i="81"/>
  <c r="S17" i="81"/>
  <c r="AB17" i="81"/>
  <c r="U17" i="81"/>
  <c r="AC17" i="81"/>
  <c r="W17" i="81"/>
  <c r="AA19" i="81"/>
  <c r="S19" i="81"/>
  <c r="AB19" i="81"/>
  <c r="U19" i="81"/>
  <c r="AC19" i="81"/>
  <c r="W19" i="81"/>
  <c r="AA21" i="81"/>
  <c r="S21" i="81"/>
  <c r="AB21" i="81"/>
  <c r="U21" i="81"/>
  <c r="AC21" i="81"/>
  <c r="W21" i="81"/>
  <c r="AA23" i="81"/>
  <c r="S23" i="81"/>
  <c r="AB23" i="81"/>
  <c r="U23" i="81"/>
  <c r="AC23" i="81"/>
  <c r="W23" i="81"/>
  <c r="AA25" i="81"/>
  <c r="S25" i="81"/>
  <c r="AB25" i="81"/>
  <c r="U25" i="81"/>
  <c r="AC25" i="81"/>
  <c r="W25" i="81"/>
  <c r="AA27" i="81"/>
  <c r="S27" i="81"/>
  <c r="AB27" i="81"/>
  <c r="U27" i="81"/>
  <c r="AC27" i="81"/>
  <c r="W27" i="81"/>
  <c r="AA28" i="81"/>
  <c r="S28" i="81"/>
  <c r="AB28" i="81"/>
  <c r="U28" i="81"/>
  <c r="AC28" i="81"/>
  <c r="W28" i="81"/>
  <c r="AA29" i="81"/>
  <c r="S29" i="81"/>
  <c r="AB29" i="81"/>
  <c r="U29" i="81"/>
  <c r="AC29" i="81"/>
  <c r="W29" i="81"/>
  <c r="AA30" i="81"/>
  <c r="S30" i="81"/>
  <c r="AB30" i="81"/>
  <c r="U30" i="81"/>
  <c r="AC30" i="81"/>
  <c r="W30" i="81"/>
  <c r="AA31" i="81"/>
  <c r="S31" i="81"/>
  <c r="AB31" i="81"/>
  <c r="U31" i="81"/>
  <c r="AC31" i="81"/>
  <c r="W31" i="81"/>
  <c r="AA32" i="81"/>
  <c r="S32" i="81"/>
  <c r="AB32" i="81"/>
  <c r="U32" i="81"/>
  <c r="AC32" i="81"/>
  <c r="W32" i="81"/>
  <c r="AA33" i="81"/>
  <c r="S33" i="81"/>
  <c r="AB33" i="81"/>
  <c r="U33" i="81"/>
  <c r="AC33" i="81"/>
  <c r="W33" i="81"/>
  <c r="F34" i="81"/>
  <c r="H34" i="81"/>
  <c r="J34" i="81"/>
  <c r="AA35" i="81"/>
  <c r="S35" i="81"/>
  <c r="AB35" i="81"/>
  <c r="U35" i="81"/>
  <c r="AC35" i="81"/>
  <c r="W35" i="81"/>
  <c r="AA36" i="81"/>
  <c r="S36" i="81"/>
  <c r="AB36" i="81"/>
  <c r="U36" i="81"/>
  <c r="AC36" i="81"/>
  <c r="W36" i="81"/>
  <c r="I37" i="81"/>
  <c r="J37" i="81" s="1"/>
  <c r="G37" i="81"/>
  <c r="H37" i="81" s="1"/>
  <c r="E37" i="81"/>
  <c r="F37" i="81" s="1"/>
  <c r="AA38" i="81"/>
  <c r="S38" i="81"/>
  <c r="AB38" i="81"/>
  <c r="U38" i="81"/>
  <c r="AC38" i="81"/>
  <c r="W38" i="81"/>
  <c r="AA39" i="81"/>
  <c r="S39" i="81"/>
  <c r="AB39" i="81"/>
  <c r="U39" i="81"/>
  <c r="AC39" i="81"/>
  <c r="W39" i="81"/>
  <c r="AA40" i="81"/>
  <c r="S40" i="81"/>
  <c r="AB40" i="81"/>
  <c r="U40" i="81"/>
  <c r="AC40" i="81"/>
  <c r="W40" i="81"/>
  <c r="AA41" i="81"/>
  <c r="S41" i="81"/>
  <c r="AB41" i="81"/>
  <c r="U41" i="81"/>
  <c r="AC41" i="81"/>
  <c r="W41" i="81"/>
  <c r="AA42" i="81"/>
  <c r="S42" i="81"/>
  <c r="AB42" i="81"/>
  <c r="U42" i="81"/>
  <c r="AC42" i="81"/>
  <c r="W42" i="81"/>
  <c r="AA43" i="81"/>
  <c r="S43" i="81"/>
  <c r="AB43" i="81"/>
  <c r="U43" i="81"/>
  <c r="AC43" i="81"/>
  <c r="W43" i="81"/>
  <c r="AA44" i="81"/>
  <c r="S44" i="81"/>
  <c r="AB44" i="81"/>
  <c r="U44" i="81"/>
  <c r="AC44" i="81"/>
  <c r="W44" i="81"/>
  <c r="AA45" i="81"/>
  <c r="S45" i="81"/>
  <c r="AB45" i="81"/>
  <c r="U45" i="81"/>
  <c r="AC45" i="81"/>
  <c r="W45" i="81"/>
  <c r="AA46" i="81"/>
  <c r="S46" i="81"/>
  <c r="AB46" i="81"/>
  <c r="U46" i="81"/>
  <c r="AC46" i="81"/>
  <c r="W46" i="81"/>
  <c r="AA47" i="81"/>
  <c r="S47" i="81"/>
  <c r="AB47" i="81"/>
  <c r="U47" i="81"/>
  <c r="AC47" i="81"/>
  <c r="W47" i="81"/>
  <c r="E55" i="81"/>
  <c r="F55" i="81" s="1"/>
  <c r="R48" i="81"/>
  <c r="G55" i="81"/>
  <c r="H55" i="81" s="1"/>
  <c r="T48" i="81"/>
  <c r="I55" i="81"/>
  <c r="J55" i="81" s="1"/>
  <c r="V48" i="81"/>
  <c r="AA37" i="81" l="1"/>
  <c r="S37" i="81"/>
  <c r="AB37" i="81"/>
  <c r="U37" i="81"/>
  <c r="AC37" i="81"/>
  <c r="W37" i="81"/>
  <c r="AC34" i="81"/>
  <c r="W34" i="81"/>
  <c r="AB34" i="81"/>
  <c r="U34" i="81"/>
  <c r="AA34" i="81"/>
  <c r="S34" i="81"/>
  <c r="AB10" i="81"/>
  <c r="U10" i="81"/>
  <c r="AC10" i="81"/>
  <c r="W10" i="81"/>
  <c r="AA7" i="81"/>
  <c r="R49" i="81" s="1"/>
  <c r="S7" i="81"/>
  <c r="AB7" i="81"/>
  <c r="T49" i="81" s="1"/>
  <c r="G49" i="81" s="1"/>
  <c r="U7" i="81"/>
  <c r="AC7" i="81"/>
  <c r="V49" i="81" s="1"/>
  <c r="I49" i="81" s="1"/>
  <c r="W7" i="81"/>
  <c r="I53" i="81" l="1"/>
  <c r="J53" i="81" s="1"/>
  <c r="G54" i="81"/>
  <c r="H54" i="81" s="1"/>
  <c r="G53" i="81"/>
  <c r="H53" i="81" s="1"/>
  <c r="R50" i="81"/>
  <c r="E49" i="81"/>
  <c r="E54" i="81" l="1"/>
  <c r="F54" i="81" s="1"/>
  <c r="E53" i="81"/>
  <c r="F53" i="81" s="1"/>
  <c r="I54" i="81"/>
  <c r="J54" i="81" s="1"/>
  <c r="C50" i="81"/>
  <c r="C49" i="81"/>
  <c r="U6" i="1" s="1"/>
  <c r="B3" i="81" l="1"/>
  <c r="B2" i="81"/>
  <c r="I7" i="34" l="1"/>
  <c r="G7" i="34"/>
  <c r="E7" i="34"/>
  <c r="Y6" i="1"/>
  <c r="O19" i="1"/>
  <c r="N19" i="1"/>
  <c r="F19" i="6"/>
  <c r="D3" i="4"/>
  <c r="L26" i="79" l="1"/>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40" i="67"/>
  <c r="F37" i="67"/>
  <c r="F43" i="67"/>
  <c r="F7" i="15"/>
  <c r="M26" i="67"/>
  <c r="E7" i="76"/>
  <c r="AO13" i="1"/>
  <c r="F8" i="67"/>
  <c r="F6" i="67"/>
  <c r="F43" i="15"/>
  <c r="M24" i="15"/>
  <c r="B10" i="76"/>
  <c r="L47" i="67"/>
  <c r="F37" i="15"/>
  <c r="F26" i="67"/>
  <c r="F42" i="67"/>
  <c r="L47" i="15"/>
  <c r="M28" i="67"/>
  <c r="E13" i="76"/>
  <c r="F5" i="73"/>
  <c r="E9" i="76"/>
  <c r="D6" i="73"/>
  <c r="L48" i="15"/>
  <c r="M6" i="15"/>
  <c r="M6" i="67"/>
  <c r="C76" i="15"/>
  <c r="M8" i="67"/>
  <c r="B8" i="76"/>
  <c r="F9" i="67"/>
  <c r="M23" i="15"/>
  <c r="B9" i="76"/>
  <c r="F42" i="15"/>
  <c r="F7" i="67"/>
  <c r="J15" i="67"/>
  <c r="F8" i="15"/>
  <c r="E2" i="68"/>
  <c r="B7" i="76"/>
  <c r="E8" i="76"/>
  <c r="F9" i="15"/>
  <c r="J15" i="15"/>
  <c r="M28" i="15"/>
  <c r="E11" i="76"/>
  <c r="D3" i="73"/>
  <c r="F26" i="15"/>
  <c r="F7" i="73"/>
  <c r="E10" i="76"/>
  <c r="B12" i="76"/>
  <c r="M23" i="67"/>
  <c r="M24" i="67"/>
  <c r="F36" i="67"/>
  <c r="F40" i="15"/>
  <c r="M8" i="15"/>
  <c r="F16" i="67"/>
  <c r="M29" i="15"/>
  <c r="L48" i="67"/>
  <c r="B11" i="76"/>
  <c r="M26" i="15"/>
  <c r="F36" i="15"/>
  <c r="D4" i="73"/>
  <c r="F20" i="31"/>
  <c r="F16" i="15"/>
  <c r="F6" i="73"/>
  <c r="F3" i="73"/>
  <c r="D7" i="73"/>
  <c r="E12" i="76"/>
  <c r="F6" i="15"/>
  <c r="M29" i="67"/>
  <c r="F13" i="67"/>
  <c r="C76" i="67"/>
  <c r="M9" i="15"/>
  <c r="D5" i="73"/>
  <c r="F13" i="15"/>
  <c r="M22" i="15"/>
  <c r="E2" i="69"/>
  <c r="F38" i="15"/>
  <c r="F38" i="67"/>
  <c r="M9" i="67"/>
  <c r="F4" i="73"/>
  <c r="B13" i="76"/>
  <c r="M22" i="67"/>
  <c r="C16" i="71" l="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B15" i="71" l="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15" i="71" l="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AY6" i="3"/>
  <c r="E3" i="6"/>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66" i="67"/>
  <c r="C60" i="67"/>
  <c r="C34" i="69"/>
  <c r="C14" i="67"/>
  <c r="C17" i="67"/>
  <c r="C17" i="15"/>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C18" i="12" s="1"/>
  <c r="D10" i="69"/>
  <c r="D10"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I69" i="39"/>
  <c r="J67" i="39"/>
  <c r="I63" i="40"/>
  <c r="H65" i="40"/>
  <c r="I58" i="21"/>
  <c r="J58" i="21" s="1"/>
  <c r="K58" i="21" s="1"/>
  <c r="L58" i="21" s="1"/>
  <c r="M58" i="21" s="1"/>
  <c r="N58" i="21" s="1"/>
  <c r="O58" i="21" s="1"/>
  <c r="H7" i="21" s="1"/>
  <c r="J7" i="21"/>
  <c r="F7" i="21"/>
  <c r="J48" i="35"/>
  <c r="D27" i="6" l="1"/>
  <c r="D16" i="6"/>
  <c r="D11" i="71"/>
  <c r="C10" i="71"/>
  <c r="C10" i="68"/>
  <c r="D19" i="68"/>
  <c r="C10" i="69"/>
  <c r="C8" i="69" s="1"/>
  <c r="C5" i="69" s="1"/>
  <c r="C23" i="69" s="1"/>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0" i="12"/>
  <c r="C28" i="12" s="1"/>
  <c r="C38" i="11"/>
  <c r="C35" i="11"/>
  <c r="H27" i="6"/>
  <c r="R19" i="6"/>
  <c r="C27" i="12"/>
  <c r="C25" i="12" s="1"/>
  <c r="J69" i="39"/>
  <c r="K67" i="39"/>
  <c r="U7" i="21"/>
  <c r="AB7" i="21"/>
  <c r="T48" i="21" s="1"/>
  <c r="G48" i="21" s="1"/>
  <c r="S7" i="21"/>
  <c r="AA7" i="21"/>
  <c r="R48" i="21" s="1"/>
  <c r="J63" i="40"/>
  <c r="I65" i="40"/>
  <c r="K48" i="35"/>
  <c r="L48" i="35" s="1"/>
  <c r="M48" i="35" s="1"/>
  <c r="N48" i="35" s="1"/>
  <c r="O48" i="35" s="1"/>
  <c r="H7" i="35" s="1"/>
  <c r="J7" i="35"/>
  <c r="AC7" i="21"/>
  <c r="V48" i="21" s="1"/>
  <c r="I48" i="21" s="1"/>
  <c r="W7" i="21"/>
  <c r="I5" i="6" l="1"/>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32" i="12"/>
  <c r="B2" i="12" s="1"/>
  <c r="B3" i="12" s="1"/>
  <c r="C23" i="15"/>
  <c r="C29" i="15" s="1"/>
  <c r="R27" i="6"/>
  <c r="R6" i="1"/>
  <c r="H37" i="34"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U37" i="34" l="1"/>
  <c r="AB37" i="34"/>
  <c r="T49" i="34"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G53" i="34"/>
  <c r="H53" i="34" s="1"/>
  <c r="G54" i="34"/>
  <c r="H54" i="34" s="1"/>
  <c r="E54" i="34"/>
  <c r="F54" i="34" s="1"/>
  <c r="C28" i="69"/>
  <c r="C27" i="69" s="1"/>
  <c r="C25" i="69"/>
  <c r="C22" i="69" s="1"/>
  <c r="C31" i="69" s="1"/>
  <c r="C43" i="69"/>
  <c r="C41" i="69" s="1"/>
  <c r="C46" i="69"/>
  <c r="C45" i="69" s="1"/>
  <c r="C28" i="68"/>
  <c r="C27" i="68" s="1"/>
  <c r="C25" i="68"/>
  <c r="C22" i="68" s="1"/>
  <c r="C31" i="68" s="1"/>
  <c r="C52" i="68" s="1"/>
  <c r="B2" i="68" s="1"/>
  <c r="B3"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C49" i="34" l="1"/>
  <c r="C50" i="34"/>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9" l="1"/>
  <c r="B2" i="69" s="1"/>
  <c r="B3" i="69" s="1"/>
  <c r="C57" i="69"/>
  <c r="C56"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4"/>
  <c r="L51" i="15"/>
  <c r="D2" i="36"/>
  <c r="D19" i="9" l="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6" i="1"/>
  <c r="AO10" i="1"/>
  <c r="AO8" i="1"/>
  <c r="B3" i="34" l="1"/>
  <c r="C20" i="9" s="1"/>
  <c r="C103" i="9" s="1"/>
  <c r="C19" i="9"/>
  <c r="D20" i="9"/>
  <c r="D35" i="9"/>
  <c r="D34" i="9"/>
  <c r="D103" i="9"/>
  <c r="G20" i="9"/>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4" i="74" l="1"/>
  <c r="D31" i="74" s="1"/>
  <c r="C102" i="9"/>
  <c r="C21" i="9"/>
  <c r="D22" i="9"/>
  <c r="G19"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32" i="9"/>
  <c r="C42" i="40"/>
  <c r="C43" i="40"/>
  <c r="E47" i="40"/>
  <c r="F47" i="40" s="1"/>
  <c r="E46" i="40"/>
  <c r="F46" i="40" s="1"/>
  <c r="I47" i="40"/>
  <c r="J47" i="40" s="1"/>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S26" i="79"/>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23" i="4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C39" i="43"/>
  <c r="C42" i="43"/>
  <c r="E42" i="43"/>
  <c r="C38" i="43"/>
  <c r="C34" i="43"/>
  <c r="E34" i="43"/>
  <c r="E33" i="43"/>
  <c r="G42" i="43"/>
  <c r="I42" i="43"/>
  <c r="E41" i="43"/>
  <c r="G41" i="43"/>
  <c r="I41" i="43"/>
  <c r="E37" i="43"/>
  <c r="G37" i="43"/>
  <c r="I37" i="43"/>
  <c r="G38" i="43"/>
  <c r="I38" i="43"/>
  <c r="E38" i="43"/>
  <c r="E40" i="43"/>
  <c r="G40" i="43"/>
  <c r="I40" i="43"/>
  <c r="E39" i="43"/>
  <c r="G39" i="43"/>
  <c r="I39" i="43"/>
  <c r="C30" i="43"/>
  <c r="C31" i="43"/>
  <c r="B2" i="43"/>
  <c r="B3" i="43"/>
  <c r="B6" i="76"/>
  <c r="E6" i="76"/>
  <c r="E2" i="76"/>
  <c r="B2" i="76"/>
  <c r="B3" i="76"/>
  <c r="F118" i="9"/>
  <c r="F4" i="52"/>
  <c r="B51" i="72"/>
  <c r="D118" i="9"/>
  <c r="D4" i="52" s="1"/>
  <c r="B47" i="72" s="1"/>
  <c r="D119" i="9"/>
  <c r="D5" i="52"/>
  <c r="B49" i="72"/>
  <c r="H118" i="9"/>
  <c r="H101" i="9"/>
  <c r="D45" i="9"/>
  <c r="D55" i="9"/>
  <c r="M53" i="9"/>
  <c r="C78" i="9" l="1"/>
  <c r="C73" i="9" s="1"/>
  <c r="C93" i="9"/>
  <c r="C86" i="9" s="1"/>
  <c r="C85" i="9"/>
  <c r="C95" i="9" s="1"/>
  <c r="C72" i="9"/>
  <c r="C79" i="9" s="1"/>
  <c r="C64" i="9"/>
  <c r="C63" i="9" s="1"/>
  <c r="C67" i="9" s="1"/>
  <c r="D52" i="9"/>
  <c r="D53" i="9"/>
  <c r="D5" i="53"/>
  <c r="M48" i="9"/>
  <c r="H107" i="9"/>
  <c r="H119" i="9"/>
  <c r="H5" i="52" s="1"/>
  <c r="H4" i="52"/>
  <c r="C104" i="9"/>
  <c r="I118" i="9"/>
  <c r="F119" i="9"/>
  <c r="F5" i="52" s="1"/>
  <c r="B53" i="72" s="1"/>
  <c r="G118" i="9"/>
  <c r="G4" i="52" s="1"/>
  <c r="B52" i="72" s="1"/>
  <c r="C105" i="9" l="1"/>
  <c r="I4" i="52"/>
  <c r="H102" i="9"/>
  <c r="E118" i="9"/>
  <c r="E4" i="52" s="1"/>
  <c r="B48" i="72" s="1"/>
  <c r="D122" i="9"/>
  <c r="H108" i="9"/>
  <c r="D13" i="53"/>
  <c r="D6" i="53"/>
  <c r="B22" i="72" s="1"/>
  <c r="B20" i="72"/>
  <c r="D59" i="9"/>
  <c r="M55" i="9" s="1"/>
  <c r="C68" i="9"/>
  <c r="D54" i="9" s="1"/>
  <c r="C80" i="9"/>
  <c r="E80" i="9" s="1"/>
  <c r="E81" i="9" s="1"/>
  <c r="C81" i="9"/>
  <c r="C96" i="9"/>
  <c r="E96" i="9" s="1"/>
  <c r="E97" i="9" s="1"/>
  <c r="C97" i="9"/>
  <c r="D58" i="9" s="1"/>
  <c r="D56" i="9" s="1"/>
  <c r="M54" i="9" s="1"/>
  <c r="N57" i="9" s="1"/>
  <c r="N58" i="9" l="1"/>
  <c r="P57" i="9"/>
  <c r="N59" i="9"/>
  <c r="D14" i="53"/>
  <c r="B32" i="72" s="1"/>
  <c r="B30" i="72"/>
  <c r="D15" i="53"/>
  <c r="B31" i="72" s="1"/>
  <c r="C6" i="74"/>
  <c r="D123" i="9"/>
  <c r="D9" i="52" s="1"/>
  <c r="D8" i="52"/>
  <c r="D7" i="53"/>
  <c r="B21" i="72" s="1"/>
  <c r="N60" i="9" l="1"/>
  <c r="N61" i="9"/>
  <c r="B5" i="74"/>
  <c r="F14" i="74"/>
  <c r="C5" i="74" l="1"/>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A64A993F-18E1-405D-954E-215CA6565769}">
      <text>
        <r>
          <rPr>
            <b/>
            <sz val="9"/>
            <color indexed="81"/>
            <rFont val="宋体"/>
            <family val="3"/>
            <charset val="134"/>
          </rPr>
          <t>权重验证</t>
        </r>
        <r>
          <rPr>
            <sz val="9"/>
            <color indexed="81"/>
            <rFont val="宋体"/>
            <family val="3"/>
            <charset val="134"/>
          </rPr>
          <t xml:space="preserve">
</t>
        </r>
      </text>
    </comment>
    <comment ref="C59" authorId="1" shapeId="0" xr:uid="{84386E64-E158-45EC-8AC7-7C0F9A0DA68A}">
      <text>
        <r>
          <rPr>
            <b/>
            <sz val="12"/>
            <color indexed="81"/>
            <rFont val="宋体"/>
            <family val="3"/>
            <charset val="134"/>
          </rPr>
          <t>价值时点所在月度</t>
        </r>
        <r>
          <rPr>
            <sz val="12"/>
            <color indexed="81"/>
            <rFont val="宋体"/>
            <family val="3"/>
            <charset val="134"/>
          </rPr>
          <t xml:space="preserve">
</t>
        </r>
      </text>
    </comment>
    <comment ref="B103" authorId="1" shapeId="0" xr:uid="{CE422BEB-4648-4800-8EFC-826A2A90806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<sst xmlns="http://schemas.openxmlformats.org/spreadsheetml/2006/main" count="8231" uniqueCount="3446">
  <si>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</si>
  <si>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</si>
  <si>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</si>
  <si>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</si>
  <si>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</si>
  <si>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</si>
  <si>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</si>
  <si>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</si>
  <si>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</si>
  <si>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</si>
  <si>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</si>
  <si>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</si>
  <si>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</si>
  <si>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</si>
  <si>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</si>
  <si>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</si>
  <si>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</si>
  <si>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</si>
  <si>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</si>
  <si>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</si>
  <si>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</si>
  <si>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</si>
  <si>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</si>
  <si>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</si>
  <si>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</si>
  <si>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</si>
  <si>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</si>
  <si>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</si>
  <si>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</si>
  <si>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</si>
  <si>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</si>
  <si>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</si>
  <si>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</si>
  <si>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</si>
  <si>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</si>
  <si>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</si>
  <si>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</si>
  <si>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</si>
  <si>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</si>
  <si>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</si>
  <si>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</si>
  <si>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</si>
  <si>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</si>
  <si>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</si>
  <si>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</si>
  <si>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</si>
  <si>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</si>
  <si>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</si>
  <si>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</si>
  <si>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</si>
  <si>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</si>
  <si>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</si>
  <si>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</si>
  <si>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</si>
  <si>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</si>
  <si>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</si>
  <si>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</si>
  <si>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</si>
  <si>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</si>
  <si>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</si>
  <si>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</si>
  <si>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</si>
  <si>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</si>
  <si>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</si>
  <si>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</si>
  <si>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</si>
  <si>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</si>
  <si>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</si>
  <si>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</si>
  <si>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</si>
  <si>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</si>
  <si>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</si>
  <si>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</si>
  <si>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</si>
  <si>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</si>
  <si>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</si>
  <si>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</si>
  <si>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</si>
  <si>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</si>
  <si>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</si>
  <si>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</si>
  <si>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</si>
  <si>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</si>
  <si>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</si>
  <si>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</si>
  <si>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</si>
  <si>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</si>
  <si>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</si>
  <si>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</si>
  <si>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</si>
  <si>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</si>
  <si>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</si>
  <si>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</si>
  <si>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</si>
  <si>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</si>
  <si>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</si>
  <si>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</si>
  <si>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</si>
  <si>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</si>
  <si>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</si>
  <si>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</si>
  <si>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</si>
  <si>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</si>
  <si>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</si>
  <si>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</si>
  <si>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</si>
  <si>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</si>
  <si>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</si>
  <si>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</si>
  <si>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</si>
  <si>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</si>
  <si>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</si>
  <si>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</si>
  <si>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</si>
  <si>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</si>
  <si>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</si>
  <si>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</si>
  <si>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</si>
  <si>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</si>
  <si>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</si>
  <si>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</si>
  <si>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</si>
  <si>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</si>
  <si>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</si>
  <si>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</si>
  <si>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</si>
  <si>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</si>
  <si>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</si>
  <si>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</si>
  <si>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</si>
  <si>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</si>
  <si>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</si>
  <si>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</si>
  <si>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</si>
  <si>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</si>
  <si>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</si>
  <si>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</si>
  <si>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</si>
  <si>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</si>
  <si>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</si>
  <si>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</si>
  <si>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</si>
  <si>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</si>
  <si>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</si>
  <si>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</si>
  <si>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</si>
  <si>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</si>
  <si>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</si>
  <si>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</si>
  <si>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</si>
  <si>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</si>
  <si>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</si>
  <si>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</si>
  <si>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</si>
  <si>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</si>
  <si>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</si>
  <si>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</si>
  <si>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</si>
  <si>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</si>
  <si>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</si>
  <si>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</si>
  <si>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</si>
  <si>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</si>
  <si>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</si>
  <si>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</si>
  <si>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</si>
  <si>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</si>
  <si>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</si>
  <si>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</si>
  <si>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</si>
  <si>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</si>
  <si>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</si>
  <si>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</si>
  <si>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</si>
  <si>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</si>
  <si>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</si>
  <si>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</si>
  <si>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</si>
  <si>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</si>
  <si>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</si>
  <si>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</si>
  <si>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</si>
  <si>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</si>
  <si>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</si>
  <si>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</si>
  <si>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</si>
  <si>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</si>
  <si>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</si>
  <si>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</si>
  <si>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</si>
  <si>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</si>
  <si>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</si>
  <si>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</si>
  <si>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</si>
  <si>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</si>
  <si>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</si>
  <si>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</si>
  <si>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</si>
  <si>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</si>
  <si>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</si>
  <si>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</si>
  <si>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</si>
  <si>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</si>
  <si>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</si>
  <si>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</si>
  <si>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</si>
  <si>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</si>
  <si>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</si>
  <si>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</si>
  <si>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</si>
  <si>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</si>
  <si>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</si>
  <si>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</si>
  <si>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</si>
  <si>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</si>
  <si>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</si>
  <si>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</si>
  <si>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</si>
  <si>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</si>
  <si>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</si>
  <si>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</si>
  <si>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</si>
  <si>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</si>
  <si>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</si>
  <si>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</si>
  <si>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</si>
  <si>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</si>
  <si>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</si>
  <si>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</si>
  <si>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</si>
  <si>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</si>
  <si>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</si>
  <si>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</si>
  <si>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</si>
  <si>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</si>
  <si>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</si>
  <si>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</si>
  <si>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</si>
  <si>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</si>
  <si>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</si>
  <si>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</si>
  <si>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</si>
  <si>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</si>
  <si>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</si>
  <si>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</si>
  <si>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</si>
  <si>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</si>
  <si>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</si>
  <si>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</si>
  <si>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</si>
  <si>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</si>
  <si>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</si>
  <si>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</si>
  <si>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</si>
  <si>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</si>
  <si>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</si>
  <si>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</si>
  <si>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</si>
  <si>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</si>
  <si>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</si>
  <si>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</si>
  <si>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</si>
  <si>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</si>
  <si>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</si>
  <si>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</si>
  <si>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</si>
  <si>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</si>
  <si>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</si>
  <si>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</si>
  <si>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</si>
  <si>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</si>
  <si>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</si>
  <si>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</si>
  <si>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</si>
  <si>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</si>
  <si>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</si>
  <si>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</si>
  <si>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</si>
  <si>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</si>
  <si>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</si>
  <si>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</si>
  <si>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</si>
  <si>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</si>
  <si>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</si>
  <si>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</si>
  <si>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</si>
  <si>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</si>
  <si>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</si>
  <si>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</si>
  <si>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</si>
  <si>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</si>
  <si>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</si>
  <si>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</si>
  <si>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</si>
  <si>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</si>
  <si>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</si>
  <si>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</si>
  <si>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</si>
  <si>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</si>
  <si>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</si>
  <si>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</si>
  <si>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</si>
  <si>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</si>
  <si>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</si>
  <si>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</si>
  <si>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</si>
  <si>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</si>
  <si>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</si>
  <si>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</si>
  <si>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</si>
  <si>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</si>
  <si>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</si>
  <si>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</si>
  <si>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</si>
  <si>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</si>
  <si>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</si>
  <si>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</si>
  <si>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</si>
  <si>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</si>
  <si>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</si>
  <si>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</si>
  <si>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</si>
  <si>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</si>
  <si>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</si>
  <si>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</si>
  <si>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</si>
  <si>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</si>
  <si>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</si>
  <si>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</si>
  <si>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</si>
  <si>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</si>
  <si>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</si>
  <si>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</si>
  <si>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</si>
  <si>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</si>
  <si>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</si>
  <si>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</si>
  <si>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</si>
  <si>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</si>
  <si>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</si>
  <si>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</si>
  <si>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</si>
  <si>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</si>
  <si>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</si>
  <si>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</si>
  <si>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</si>
  <si>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</si>
  <si>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</si>
  <si>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</si>
  <si>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</si>
  <si>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</si>
  <si>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</si>
  <si>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</si>
  <si>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</si>
  <si>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</si>
  <si>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</si>
  <si>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</si>
  <si>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</si>
  <si>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</si>
  <si>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</si>
  <si>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</si>
  <si>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</si>
  <si>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</si>
  <si>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</si>
  <si>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</si>
  <si>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</si>
  <si>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</si>
  <si>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</si>
  <si>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</si>
  <si>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</si>
  <si>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</si>
  <si>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</si>
  <si>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</si>
  <si>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</si>
  <si>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</si>
  <si>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</si>
  <si>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</si>
  <si>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</si>
  <si>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</si>
  <si>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</si>
  <si>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</si>
  <si>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</si>
  <si>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</si>
  <si>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</si>
  <si>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</si>
  <si>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</si>
  <si>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</si>
  <si>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</si>
  <si>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</si>
  <si>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</si>
  <si>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</si>
  <si>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</si>
  <si>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</si>
  <si>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</si>
  <si>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</si>
  <si>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</si>
  <si>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</si>
  <si>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</si>
  <si>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</si>
  <si>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</si>
  <si>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</si>
  <si>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</si>
  <si>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</si>
  <si>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</si>
  <si>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</si>
  <si>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</si>
  <si>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</si>
  <si>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</si>
  <si>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</si>
  <si>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</si>
  <si>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</si>
  <si>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</si>
  <si>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</si>
  <si>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</si>
  <si>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</si>
  <si>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</si>
  <si>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</si>
  <si>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</si>
  <si>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</si>
  <si>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</si>
  <si>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</si>
  <si>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</si>
  <si>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</si>
  <si>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</si>
  <si>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</si>
  <si>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</si>
  <si>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</si>
  <si>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</si>
  <si>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</si>
  <si>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</si>
  <si>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</si>
  <si>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</si>
  <si>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</si>
  <si>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</si>
  <si>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</si>
  <si>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</si>
  <si>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</si>
  <si>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</si>
  <si>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</si>
  <si>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</si>
  <si>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</si>
  <si>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</si>
  <si>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</si>
  <si>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</si>
  <si>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</si>
  <si>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</si>
  <si>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</si>
  <si>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</si>
  <si>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</si>
  <si>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</si>
  <si>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</si>
  <si>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</si>
  <si>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</si>
  <si>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</si>
  <si>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</si>
  <si>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</si>
  <si>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</si>
  <si>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</si>
  <si>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</si>
  <si>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</si>
  <si>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</si>
  <si>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</si>
  <si>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</si>
  <si>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</si>
  <si>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</si>
  <si>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</si>
  <si>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</si>
  <si>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</si>
  <si>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</si>
  <si>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</si>
  <si>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</si>
  <si>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</si>
  <si>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</si>
  <si>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</si>
  <si>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</si>
  <si>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</si>
  <si>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</si>
  <si>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</si>
  <si>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</si>
  <si>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</si>
  <si>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</si>
  <si>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</si>
  <si>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</si>
  <si>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</si>
  <si>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</si>
  <si>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</si>
  <si>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</si>
  <si>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</si>
  <si>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</si>
  <si>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</si>
  <si>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</si>
  <si>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</si>
  <si>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</si>
  <si>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</si>
  <si>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</si>
  <si>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</si>
  <si>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</si>
  <si>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</si>
  <si>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</si>
  <si>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</si>
  <si>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</si>
  <si>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</si>
  <si>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</si>
  <si>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</si>
  <si>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</si>
  <si>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</si>
  <si>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</si>
  <si>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</si>
  <si>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</si>
  <si>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</si>
  <si>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</si>
  <si>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</si>
  <si>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</si>
  <si>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</si>
  <si>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</si>
  <si>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</si>
  <si>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</si>
  <si>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</si>
  <si>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</si>
  <si>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</si>
  <si>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</si>
  <si>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</si>
  <si>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</si>
  <si>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</si>
  <si>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</si>
  <si>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</si>
  <si>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</si>
  <si>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</si>
  <si>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</si>
  <si>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</si>
  <si>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</si>
  <si>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</si>
  <si>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</si>
  <si>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</si>
  <si>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</si>
  <si>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</si>
  <si>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</si>
  <si>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</si>
  <si>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</si>
  <si>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</si>
  <si>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</si>
  <si>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</si>
  <si>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</si>
  <si>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</si>
  <si>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</si>
  <si>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</si>
  <si>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</si>
  <si>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</si>
  <si>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</si>
  <si>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</si>
  <si>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</si>
  <si>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</si>
  <si>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</si>
  <si>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</si>
  <si>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</si>
  <si>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</si>
  <si>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</si>
  <si>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</si>
  <si>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</si>
  <si>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</si>
  <si>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</si>
  <si>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</si>
  <si>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</si>
  <si>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</si>
  <si>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</si>
  <si>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</si>
  <si>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</si>
  <si>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</si>
  <si>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</si>
  <si>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</si>
  <si>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</si>
  <si>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</si>
  <si>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</si>
  <si>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</si>
  <si>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</si>
  <si>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</si>
  <si>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</si>
  <si>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</si>
  <si>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</si>
  <si>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</si>
  <si>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</si>
  <si>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</si>
  <si>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</si>
  <si>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</si>
  <si>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</si>
  <si>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</si>
  <si>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</si>
  <si>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</si>
  <si>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</si>
  <si>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</si>
  <si>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</si>
  <si>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</si>
  <si>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</si>
  <si>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</si>
  <si>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</si>
  <si>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</si>
  <si>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</si>
  <si>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</si>
  <si>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</si>
  <si>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</si>
  <si>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</si>
  <si>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</si>
  <si>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</si>
  <si>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</si>
  <si>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</si>
  <si>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</si>
  <si>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</si>
  <si>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</si>
  <si>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</si>
  <si>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</si>
  <si>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</si>
  <si>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</si>
  <si>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</si>
  <si>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</si>
  <si>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</si>
  <si>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</si>
  <si>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</si>
  <si>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</si>
  <si>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</si>
  <si>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</si>
  <si>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</si>
  <si>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</si>
  <si>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</si>
  <si>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</si>
  <si>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</si>
  <si>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</si>
  <si>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</si>
  <si>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</si>
  <si>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</si>
  <si>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</si>
  <si>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</si>
  <si>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</si>
  <si>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</si>
  <si>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</si>
  <si>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</si>
  <si>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</si>
  <si>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</si>
  <si>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</si>
  <si>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</si>
  <si>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</si>
  <si>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</si>
  <si>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</si>
  <si>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</si>
  <si>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</si>
  <si>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</si>
  <si>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</si>
  <si>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</si>
  <si>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</si>
  <si>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</si>
  <si>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</si>
  <si>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</si>
  <si>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</si>
  <si>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</si>
  <si>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</si>
  <si>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</si>
  <si>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</si>
  <si>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</si>
  <si>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</si>
  <si>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</si>
  <si>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</si>
  <si>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</si>
  <si>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</si>
  <si>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</si>
  <si>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</si>
  <si>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</si>
  <si>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</si>
  <si>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</si>
  <si>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</si>
  <si>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</si>
  <si>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</si>
  <si>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</si>
  <si>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</si>
  <si>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</si>
  <si>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</si>
  <si>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</si>
  <si>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</si>
  <si>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</si>
  <si>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</si>
  <si>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</si>
  <si>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</si>
  <si>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</si>
  <si>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</si>
  <si>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</si>
  <si>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</si>
  <si>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</si>
  <si>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</si>
  <si>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</si>
  <si>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</si>
  <si>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</si>
  <si>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</si>
  <si>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</si>
  <si>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</si>
  <si>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</si>
  <si>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</si>
  <si>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</si>
  <si>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</si>
  <si>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</si>
  <si>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</si>
  <si>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</si>
  <si>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</si>
  <si>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</si>
  <si>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</si>
  <si>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</si>
  <si>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</si>
  <si>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</si>
  <si>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</si>
  <si>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</si>
  <si>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</si>
  <si>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</si>
  <si>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</si>
  <si>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</si>
  <si>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</si>
  <si>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</si>
  <si>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</si>
  <si>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</si>
  <si>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</si>
  <si>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</si>
  <si>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</si>
  <si>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</si>
  <si>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</si>
  <si>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</si>
  <si>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</si>
  <si>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</si>
  <si>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</si>
  <si>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</si>
  <si>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</si>
  <si>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</si>
  <si>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</si>
  <si>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</si>
  <si>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</si>
  <si>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</si>
  <si>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</si>
  <si>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</si>
  <si>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</si>
  <si>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</si>
  <si>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</si>
  <si>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</si>
  <si>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</si>
  <si>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</si>
  <si>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</si>
  <si>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</si>
  <si>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</si>
  <si>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</si>
  <si>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</si>
  <si>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</si>
  <si>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</si>
  <si>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</si>
  <si>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</si>
  <si>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</si>
  <si>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</si>
  <si>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</si>
  <si>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</si>
  <si>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</si>
  <si>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</si>
  <si>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</si>
  <si>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</si>
  <si>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</si>
  <si>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</si>
  <si>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</si>
  <si>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</si>
  <si>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</si>
  <si>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</si>
  <si>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</si>
  <si>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</si>
  <si>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</si>
  <si>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</si>
  <si>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</si>
  <si>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</si>
  <si>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</si>
  <si>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</si>
  <si>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</si>
  <si>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</si>
  <si>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</si>
  <si>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</si>
  <si>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</si>
  <si>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</si>
  <si>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</si>
  <si>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</si>
  <si>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</si>
  <si>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</si>
  <si>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</si>
  <si>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</si>
  <si>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</si>
  <si>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</si>
  <si>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</si>
  <si>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</si>
  <si>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</si>
  <si>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</si>
  <si>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</si>
  <si>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</si>
  <si>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</si>
  <si>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</si>
  <si>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</si>
  <si>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</si>
  <si>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</si>
  <si>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</si>
  <si>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</si>
  <si>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</si>
  <si>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</si>
  <si>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</si>
  <si>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</si>
  <si>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</si>
  <si>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</si>
  <si>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</si>
  <si>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</si>
  <si>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</si>
  <si>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</si>
  <si>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</si>
  <si>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</si>
  <si>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</si>
  <si>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</si>
  <si>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</si>
  <si>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</si>
  <si>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</si>
  <si>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</si>
  <si>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</si>
  <si>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</si>
  <si>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</si>
  <si>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</si>
  <si>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</si>
  <si>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</si>
  <si>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</si>
  <si>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</si>
  <si>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</si>
  <si>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</si>
  <si>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</si>
  <si>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</si>
  <si>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</si>
  <si>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</si>
  <si>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</si>
  <si>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</si>
  <si>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</si>
  <si>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</si>
  <si>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</si>
  <si>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</si>
  <si>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</si>
  <si>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</si>
  <si>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</si>
  <si>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</si>
  <si>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</si>
  <si>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</si>
  <si>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</si>
  <si>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</si>
  <si>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</si>
  <si>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</si>
  <si>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</si>
  <si>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</si>
  <si>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</si>
  <si>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</si>
  <si>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</si>
  <si>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</si>
  <si>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</si>
  <si>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</si>
  <si>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</si>
  <si>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</si>
  <si>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</si>
  <si>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</si>
  <si>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</si>
  <si>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</si>
  <si>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</si>
  <si>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</si>
  <si>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</si>
  <si>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</si>
  <si>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</si>
  <si>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</si>
  <si>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</si>
  <si>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</si>
  <si>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</si>
  <si>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</si>
  <si>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</si>
  <si>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</si>
  <si>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</si>
  <si>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</si>
  <si>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</si>
  <si>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</si>
  <si>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</si>
  <si>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</si>
  <si>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</si>
  <si>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</si>
  <si>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</si>
  <si>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</si>
  <si>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</si>
  <si>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</si>
  <si>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</si>
  <si>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</si>
  <si>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</si>
  <si>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</si>
  <si>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</si>
  <si>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</si>
  <si>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</si>
  <si>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</si>
  <si>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</si>
  <si>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</si>
  <si>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</si>
  <si>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</si>
  <si>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</si>
  <si>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</si>
  <si>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</si>
  <si>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</si>
  <si>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</si>
  <si>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</si>
  <si>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</si>
  <si>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</si>
  <si>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</si>
  <si>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</si>
  <si>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</si>
  <si>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</si>
  <si>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</si>
  <si>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</si>
  <si>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</si>
  <si>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</si>
  <si>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</si>
  <si>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</si>
  <si>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</si>
  <si>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</si>
  <si>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</si>
  <si>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</si>
  <si>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</si>
  <si>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</si>
  <si>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</si>
  <si>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</si>
  <si>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</si>
  <si>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</si>
  <si>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</si>
  <si>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</si>
  <si>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</si>
  <si>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</si>
  <si>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</si>
  <si>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</si>
  <si>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</si>
  <si>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</si>
  <si>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</si>
  <si>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</si>
  <si>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</si>
  <si>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</si>
  <si>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</si>
  <si>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</si>
  <si>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</si>
  <si>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</si>
  <si>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</si>
  <si>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</si>
  <si>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</si>
  <si>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</si>
  <si>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</si>
  <si>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</si>
  <si>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</si>
  <si>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</si>
  <si>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</si>
  <si>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</si>
  <si>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</si>
  <si>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</si>
  <si>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</si>
  <si>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</si>
  <si>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</si>
  <si>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</si>
  <si>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</si>
  <si>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</si>
  <si>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</si>
  <si>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</si>
  <si>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</si>
  <si>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</si>
  <si>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</si>
  <si>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</si>
  <si>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</si>
  <si>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</si>
  <si>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</si>
  <si>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</si>
  <si>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</si>
  <si>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</si>
  <si>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</si>
  <si>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</si>
  <si>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</si>
  <si>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</si>
  <si>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</si>
  <si>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</si>
  <si>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</si>
  <si>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</si>
  <si>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</si>
  <si>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</si>
  <si>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</si>
  <si>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</si>
  <si>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</si>
  <si>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</si>
  <si>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</si>
  <si>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</si>
  <si>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</si>
  <si>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</si>
  <si>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</si>
  <si>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</si>
  <si>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</si>
  <si>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</si>
  <si>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</si>
  <si>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</si>
  <si>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</si>
  <si>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</si>
  <si>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</si>
  <si>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</si>
  <si>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</si>
  <si>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</si>
  <si>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</si>
  <si>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</si>
  <si>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</si>
  <si>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</si>
  <si>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</si>
  <si>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</si>
  <si>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</si>
  <si>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</si>
  <si>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</si>
  <si>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</si>
  <si>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</si>
  <si>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</si>
  <si>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</si>
  <si>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</si>
  <si>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</si>
  <si>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</si>
  <si>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</si>
  <si>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</si>
  <si>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</si>
  <si>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</si>
  <si>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</si>
  <si>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</si>
  <si>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</si>
  <si>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</si>
  <si>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</si>
  <si>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</si>
  <si>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</si>
  <si>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</si>
  <si>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</si>
  <si>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</si>
  <si>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</si>
  <si>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</si>
  <si>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</si>
  <si>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</si>
  <si>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</si>
  <si>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</si>
  <si>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</si>
  <si>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</si>
  <si>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</si>
  <si>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</si>
  <si>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</si>
  <si>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</si>
  <si>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</si>
  <si>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</si>
  <si>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</si>
  <si>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</si>
  <si>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</si>
  <si>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</si>
  <si>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</si>
  <si>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</si>
  <si>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</si>
  <si>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</si>
  <si>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</si>
  <si>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</si>
  <si>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</si>
  <si>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</si>
  <si>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</si>
  <si>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</si>
  <si>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</si>
  <si>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</si>
  <si>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</si>
  <si>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</si>
  <si>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</si>
  <si>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</si>
  <si>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</si>
  <si>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</si>
  <si>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</si>
  <si>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</si>
  <si>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</si>
  <si>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</si>
  <si>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</si>
  <si>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</si>
  <si>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</si>
  <si>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</si>
  <si>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</si>
  <si>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</si>
  <si>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</si>
  <si>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</si>
  <si>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</si>
  <si>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</si>
  <si>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</si>
  <si>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</si>
  <si>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</si>
  <si>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</si>
  <si>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</si>
  <si>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</si>
  <si>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</si>
  <si>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</si>
  <si>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</si>
  <si>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</si>
  <si>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</si>
  <si>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</si>
  <si>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</si>
  <si>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</si>
  <si>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</si>
  <si>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</si>
  <si>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</si>
  <si>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</si>
  <si>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</si>
  <si>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</si>
  <si>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</si>
  <si>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</si>
  <si>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</si>
  <si>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</si>
  <si>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</si>
  <si>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</si>
  <si>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</si>
  <si>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</si>
  <si>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</si>
  <si>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</si>
  <si>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</si>
  <si>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</si>
  <si>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</si>
  <si>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</si>
  <si>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</si>
  <si>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</si>
  <si>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</si>
  <si>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</si>
  <si>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</si>
  <si>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</si>
  <si>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</si>
  <si>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</si>
  <si>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</si>
  <si>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</si>
  <si>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</si>
  <si>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</si>
  <si>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</si>
  <si>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</si>
  <si>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</si>
  <si>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</si>
  <si>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</si>
  <si>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</si>
  <si>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</si>
  <si>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</si>
  <si>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</si>
  <si>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</si>
  <si>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</si>
  <si>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</si>
  <si>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</si>
  <si>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</si>
  <si>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</si>
  <si>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</si>
  <si>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</si>
  <si>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</si>
  <si>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</si>
  <si>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</si>
  <si>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</si>
  <si>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</si>
  <si>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</si>
  <si>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</si>
  <si>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</si>
  <si>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</si>
  <si>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</si>
  <si>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</si>
  <si>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</si>
  <si>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</si>
  <si>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</si>
  <si>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</si>
  <si>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</si>
  <si>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</si>
  <si>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</si>
  <si>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</si>
  <si>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</si>
  <si>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</si>
  <si>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</si>
  <si>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</si>
  <si>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</si>
  <si>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</si>
  <si>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</si>
  <si>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</si>
  <si>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</si>
  <si>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</si>
  <si>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</si>
  <si>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</si>
  <si>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</si>
  <si>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</si>
  <si>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</si>
  <si>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</si>
  <si>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</si>
  <si>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</si>
  <si>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</si>
  <si>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</si>
  <si>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</si>
  <si>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</si>
  <si>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</si>
  <si>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</si>
  <si>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</si>
  <si>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</si>
  <si>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</si>
  <si>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</si>
  <si>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</si>
  <si>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</si>
  <si>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</si>
  <si>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</si>
  <si>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</si>
  <si>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</si>
  <si>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</si>
  <si>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</si>
  <si>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</si>
  <si>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</si>
  <si>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</si>
  <si>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</si>
  <si>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</si>
  <si>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</si>
  <si>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</si>
  <si>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</si>
  <si>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</si>
  <si>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</si>
  <si>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</si>
  <si>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</si>
  <si>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</si>
  <si>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</si>
  <si>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</si>
  <si>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</si>
  <si>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</si>
  <si>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</si>
  <si>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</si>
  <si>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</si>
  <si>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</si>
  <si>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</si>
  <si>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</si>
  <si>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</si>
  <si>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</si>
  <si>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</si>
  <si>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</si>
  <si>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</si>
  <si>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</si>
  <si>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</si>
  <si>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</si>
  <si>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</si>
  <si>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</si>
  <si>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</si>
  <si>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</si>
  <si>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</si>
  <si>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</si>
  <si>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</si>
  <si>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</si>
  <si>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</si>
  <si>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</si>
  <si>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</si>
  <si>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</si>
  <si>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</si>
  <si>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</si>
  <si>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</si>
  <si>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</si>
  <si>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</si>
  <si>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</si>
  <si>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</si>
  <si>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</si>
  <si>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</si>
  <si>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</si>
  <si>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</si>
  <si>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</si>
  <si>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</si>
  <si>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</si>
  <si>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</si>
  <si>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</si>
  <si>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</si>
  <si>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</si>
  <si>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</si>
  <si>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</si>
  <si>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</si>
  <si>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</si>
  <si>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</si>
  <si>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</si>
  <si>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</si>
  <si>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</si>
  <si>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</si>
  <si>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</si>
  <si>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</si>
  <si>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</si>
  <si>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</si>
  <si>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</si>
  <si>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</si>
  <si>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</si>
  <si>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</si>
  <si>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</si>
  <si>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</si>
  <si>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</si>
  <si>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</si>
  <si>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</si>
  <si>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</si>
  <si>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</si>
  <si>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</si>
  <si>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</si>
  <si>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</si>
  <si>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</si>
  <si>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</si>
  <si>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</si>
  <si>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</si>
  <si>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</si>
  <si>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</si>
  <si>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</si>
  <si>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</si>
  <si>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</si>
  <si>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</si>
  <si>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</si>
  <si>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</si>
  <si>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</si>
  <si>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</si>
  <si>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</si>
  <si>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</si>
  <si>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</si>
  <si>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</si>
  <si>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</si>
  <si>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</si>
  <si>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</si>
  <si>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</si>
  <si>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</si>
  <si>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</si>
  <si>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</si>
  <si>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</si>
  <si>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</si>
  <si>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</si>
  <si>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</si>
  <si>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</si>
  <si>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</si>
  <si>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</si>
  <si>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</si>
  <si>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</si>
  <si>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</si>
  <si>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</si>
  <si>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</si>
  <si>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</si>
  <si>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</si>
  <si>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</si>
  <si>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</si>
  <si>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</si>
  <si>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</si>
  <si>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</si>
  <si>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</si>
  <si>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</si>
  <si>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</si>
  <si>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</si>
  <si>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</si>
  <si>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</si>
  <si>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</si>
  <si>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</si>
  <si>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</si>
  <si>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</si>
  <si>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</si>
  <si>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</si>
  <si>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</si>
  <si>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</si>
  <si>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</si>
  <si>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</si>
  <si>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</si>
  <si>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</si>
  <si>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</si>
  <si>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</si>
  <si>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</si>
  <si>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</si>
  <si>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</si>
  <si>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</si>
  <si>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</si>
  <si>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</si>
  <si>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</si>
  <si>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</si>
  <si>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</si>
  <si>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</si>
  <si>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</si>
  <si>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</si>
  <si>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</si>
  <si>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</si>
  <si>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</si>
  <si>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</si>
  <si>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</si>
  <si>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</si>
  <si>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</si>
  <si>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</si>
  <si>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</si>
  <si>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</si>
  <si>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</si>
  <si>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</si>
  <si>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</si>
  <si>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</si>
  <si>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</si>
  <si>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</si>
  <si>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</si>
  <si>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</si>
  <si>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</si>
  <si>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</si>
  <si>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</si>
  <si>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</si>
  <si>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</si>
  <si>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</si>
  <si>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</si>
  <si>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</si>
  <si>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</si>
  <si>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</si>
  <si>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</si>
  <si>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</si>
  <si>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</si>
  <si>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</si>
  <si>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</si>
  <si>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</si>
  <si>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</si>
  <si>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</si>
  <si>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</si>
  <si>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</si>
  <si>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</si>
  <si>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</si>
  <si>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</si>
  <si>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</si>
  <si>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</si>
  <si>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</si>
  <si>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</si>
  <si>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</si>
  <si>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</si>
  <si>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</si>
  <si>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</si>
  <si>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</si>
  <si>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</si>
  <si>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</si>
  <si>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</si>
  <si>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</si>
  <si>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</si>
  <si>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</si>
  <si>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</si>
  <si>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</si>
  <si>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</si>
  <si>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</si>
  <si>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</si>
  <si>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</si>
  <si>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</si>
  <si>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</si>
  <si>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</si>
  <si>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</si>
  <si>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</si>
  <si>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</si>
  <si>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</si>
  <si>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</si>
  <si>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</si>
  <si>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</si>
  <si>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</si>
  <si>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</si>
  <si>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</si>
  <si>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</si>
  <si>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</si>
  <si>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</si>
  <si>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</si>
  <si>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</si>
  <si>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</si>
  <si>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</si>
  <si>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</si>
  <si>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</si>
  <si>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</si>
  <si>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</si>
  <si>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</si>
  <si>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</si>
  <si>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</si>
  <si>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</si>
  <si>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</si>
  <si>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</si>
  <si>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</si>
  <si>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</si>
  <si>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</si>
  <si>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</si>
  <si>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</si>
  <si>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</si>
  <si>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</si>
  <si>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</si>
  <si>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</si>
  <si>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</si>
  <si>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</si>
  <si>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</si>
  <si>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</si>
  <si>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</si>
  <si>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</si>
  <si>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</si>
  <si>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</si>
  <si>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</si>
  <si>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</si>
  <si>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</si>
  <si>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</si>
  <si>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</si>
  <si>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</si>
  <si>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</si>
  <si>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</si>
  <si>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</si>
  <si>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</si>
  <si>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</si>
  <si>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</si>
  <si>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</si>
  <si>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</si>
  <si>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</si>
  <si>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</si>
  <si>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</si>
  <si>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</si>
  <si>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</si>
  <si>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</si>
  <si>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</si>
  <si>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</si>
  <si>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</si>
  <si>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</si>
  <si>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</si>
  <si>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</si>
  <si>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</si>
  <si>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</si>
  <si>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</si>
  <si>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</si>
  <si>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</si>
  <si>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</si>
  <si>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</si>
  <si>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</si>
  <si>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</si>
  <si>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</si>
  <si>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</si>
  <si>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</si>
  <si>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</si>
  <si>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</si>
  <si>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</si>
  <si>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</si>
  <si>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</si>
  <si>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</si>
  <si>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</si>
  <si>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</si>
  <si>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</si>
  <si>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</si>
  <si>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</si>
  <si>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</si>
  <si>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</si>
  <si>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</si>
  <si>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</si>
  <si>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</si>
  <si>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</si>
  <si>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</si>
  <si>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</si>
  <si>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</si>
  <si>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</si>
  <si>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</si>
  <si>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</si>
  <si>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</si>
  <si>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</si>
  <si>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</si>
  <si>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</si>
  <si>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</si>
  <si>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</si>
  <si>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</si>
  <si>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</si>
  <si>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</si>
  <si>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</si>
  <si>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</si>
  <si>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</si>
  <si>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</si>
  <si>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</si>
  <si>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</si>
  <si>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</si>
  <si>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</si>
  <si>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</si>
  <si>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</si>
  <si>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</si>
  <si>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</si>
  <si>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</si>
  <si>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</si>
  <si>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</si>
  <si>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</si>
  <si>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</si>
  <si>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</si>
  <si>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</si>
  <si>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</si>
  <si>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</si>
  <si>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</si>
  <si>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</si>
  <si>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</si>
  <si>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</si>
  <si>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</si>
  <si>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</si>
  <si>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</si>
  <si>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</si>
  <si>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</si>
  <si>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</si>
  <si>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</si>
  <si>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</si>
  <si>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</si>
  <si>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</si>
  <si>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</si>
  <si>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</si>
  <si>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</si>
  <si>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</si>
  <si>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</si>
  <si>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</si>
  <si>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</si>
  <si>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</si>
  <si>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</si>
  <si>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</si>
  <si>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</si>
  <si>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</si>
  <si>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</si>
  <si>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</si>
  <si>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</si>
  <si>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</si>
  <si>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</si>
  <si>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</si>
  <si>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</si>
  <si>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</si>
  <si>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</si>
  <si>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</si>
  <si>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</si>
  <si>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</si>
  <si>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</si>
  <si>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</si>
  <si>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</si>
  <si>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</si>
  <si>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</si>
  <si>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</si>
  <si>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</si>
  <si>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</si>
  <si>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</si>
  <si>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</si>
  <si>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</si>
  <si>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</si>
  <si>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</si>
  <si>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</si>
  <si>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</si>
  <si>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</si>
  <si>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</si>
  <si>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</si>
  <si>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</si>
  <si>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</si>
  <si>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</si>
  <si>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</si>
  <si>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</si>
  <si>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</si>
  <si>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</si>
  <si>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</si>
  <si>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</si>
  <si>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</si>
  <si>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</si>
  <si>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</si>
  <si>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</si>
  <si>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</si>
  <si>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</si>
  <si>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</si>
  <si>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</si>
  <si>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</si>
  <si>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</si>
  <si>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</si>
  <si>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</si>
  <si>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</si>
  <si>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</si>
  <si>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</si>
  <si>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</si>
  <si>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</si>
  <si>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</si>
  <si>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</si>
  <si>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</si>
  <si>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</si>
  <si>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</si>
  <si>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</si>
  <si>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</si>
  <si>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</si>
  <si>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</si>
  <si>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</si>
  <si>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</si>
  <si>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</si>
  <si>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</si>
  <si>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</si>
  <si>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</si>
  <si>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</si>
  <si>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</si>
  <si>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</si>
  <si>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</si>
  <si>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</si>
  <si>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</si>
  <si>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</si>
  <si>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</si>
  <si>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</si>
  <si>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</si>
  <si>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</si>
  <si>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</si>
  <si>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</si>
  <si>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</si>
  <si>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</si>
  <si>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</si>
  <si>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</si>
  <si>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</si>
  <si>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</si>
  <si>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</si>
  <si>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</si>
  <si>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</si>
  <si>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</si>
  <si>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</si>
  <si>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</si>
  <si>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</si>
  <si>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</si>
  <si>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</si>
  <si>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</si>
  <si>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</si>
  <si>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</si>
  <si>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</si>
  <si>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</si>
  <si>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</si>
  <si>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</si>
  <si>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</si>
  <si>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</si>
  <si>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</si>
  <si>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</si>
  <si>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</si>
  <si>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</si>
  <si>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</si>
  <si>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</si>
  <si>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</si>
  <si>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</si>
  <si>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</si>
  <si>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</si>
  <si>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</si>
  <si>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</si>
  <si>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</si>
  <si>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</si>
  <si>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</si>
  <si>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</si>
  <si>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</si>
  <si>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</si>
  <si>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</si>
  <si>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</si>
  <si>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</si>
  <si>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</si>
  <si>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</si>
  <si>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</si>
  <si>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</si>
  <si>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</si>
  <si>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</si>
  <si>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</si>
  <si>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</si>
  <si>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</si>
  <si>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</si>
  <si>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</si>
  <si>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</si>
  <si>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</si>
  <si>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</si>
  <si>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</si>
  <si>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</si>
  <si>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</si>
  <si>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</si>
  <si>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</si>
  <si>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</si>
  <si>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</si>
  <si>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</si>
  <si>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</si>
  <si>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</si>
  <si>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</si>
  <si>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</si>
  <si>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</si>
  <si>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</si>
  <si>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</si>
  <si>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</si>
  <si>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</si>
  <si>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</si>
  <si>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</si>
  <si>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</si>
  <si>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</si>
  <si>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</si>
  <si>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</si>
  <si>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</si>
  <si>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</si>
  <si>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</si>
  <si>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</si>
  <si>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</si>
  <si>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</si>
  <si>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</si>
  <si>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</si>
  <si>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</si>
  <si>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</si>
  <si>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</si>
  <si>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</si>
  <si>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</si>
  <si>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</si>
  <si>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</si>
  <si>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</si>
  <si>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</si>
  <si>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</si>
  <si>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</si>
  <si>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</si>
  <si>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</si>
  <si>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</si>
  <si>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</si>
  <si>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</si>
  <si>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</si>
  <si>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</si>
  <si>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</si>
  <si>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</si>
  <si>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</si>
  <si>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</si>
  <si>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</si>
  <si>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</si>
  <si>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</si>
  <si>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</si>
  <si>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</si>
  <si>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</si>
  <si>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</si>
  <si>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</si>
  <si>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</si>
  <si>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</si>
  <si>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</si>
  <si>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</si>
  <si>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</si>
  <si>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</si>
  <si>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</si>
  <si>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</si>
  <si>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</si>
  <si>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</si>
  <si>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</si>
  <si>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</si>
  <si>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</si>
  <si>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</si>
  <si>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</si>
  <si>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</si>
  <si>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</si>
  <si>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</si>
  <si>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</si>
  <si>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</si>
  <si>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</si>
  <si>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</si>
  <si>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</si>
  <si>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</si>
  <si>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</si>
  <si>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</si>
  <si>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</si>
  <si>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</si>
  <si>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</si>
  <si>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</si>
  <si>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</si>
  <si>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</si>
  <si>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</si>
  <si>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</si>
  <si>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</si>
  <si>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</si>
  <si>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</si>
  <si>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</si>
  <si>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</si>
  <si>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</si>
  <si>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</si>
  <si>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</si>
  <si>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</si>
  <si>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</si>
  <si>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</si>
  <si>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</si>
  <si>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</si>
  <si>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</si>
  <si>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</si>
  <si>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</si>
  <si>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</si>
  <si>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</si>
  <si>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</si>
  <si>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</si>
  <si>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</si>
  <si>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</si>
  <si>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</si>
  <si>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</si>
  <si>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</si>
  <si>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</si>
  <si>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</si>
  <si>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</si>
  <si>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</si>
  <si>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</si>
  <si>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</si>
  <si>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</si>
  <si>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</si>
  <si>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</si>
  <si>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</si>
  <si>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</si>
  <si>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</si>
  <si>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</si>
  <si>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</si>
  <si>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</si>
  <si>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</si>
  <si>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</si>
  <si>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</si>
  <si>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</si>
  <si>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</si>
  <si>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</si>
  <si>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</si>
  <si>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</si>
  <si>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</si>
  <si>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</si>
  <si>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</si>
  <si>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</si>
  <si>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</si>
  <si>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</si>
  <si>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</si>
  <si>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</si>
  <si>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</si>
  <si>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</si>
  <si>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</si>
  <si>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</si>
  <si>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</si>
  <si>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</si>
  <si>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</si>
  <si>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</si>
  <si>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</si>
  <si>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</si>
  <si>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</si>
  <si>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</si>
  <si>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</si>
  <si>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</si>
  <si>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</si>
  <si>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</si>
  <si>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</si>
  <si>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</si>
  <si>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</si>
  <si>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</si>
  <si>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</si>
  <si>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</si>
  <si>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</si>
  <si>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</si>
  <si>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</si>
  <si>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</si>
  <si>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</si>
  <si>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</si>
  <si>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</si>
  <si>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</si>
  <si>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</si>
  <si>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</si>
  <si>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</si>
  <si>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</si>
  <si>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</si>
  <si>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</si>
  <si>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</si>
  <si>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</si>
  <si>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</si>
  <si>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</si>
  <si>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</si>
  <si>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</si>
  <si>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</si>
  <si>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</si>
  <si>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</si>
  <si>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</si>
  <si>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</si>
  <si>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</si>
  <si>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</si>
  <si>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</si>
  <si>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</si>
  <si>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</si>
  <si>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</si>
  <si>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</si>
  <si>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</si>
  <si>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</si>
  <si>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</si>
  <si>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</si>
  <si>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</si>
  <si>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</si>
  <si>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</si>
  <si>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</si>
  <si>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</si>
  <si>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</si>
  <si>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</si>
  <si>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</si>
  <si>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</si>
  <si>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</si>
  <si>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</si>
  <si>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</si>
  <si>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</si>
  <si>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</si>
  <si>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</si>
  <si>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</si>
  <si>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</si>
  <si>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</si>
  <si>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</si>
  <si>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</si>
  <si>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</si>
  <si>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</si>
  <si>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</si>
  <si>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</si>
  <si>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</si>
  <si>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</si>
  <si>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</si>
  <si>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</si>
  <si>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</si>
  <si>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</si>
  <si>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</si>
  <si>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</si>
  <si>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</si>
  <si>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</si>
  <si>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</si>
  <si>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</si>
  <si>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</si>
  <si>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</si>
  <si>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</si>
  <si>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</si>
  <si>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</si>
  <si>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</si>
  <si>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</si>
  <si>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</si>
  <si>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</si>
  <si>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</si>
  <si>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</si>
  <si>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</si>
  <si>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</si>
  <si>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</si>
  <si>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</si>
  <si>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</si>
  <si>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</si>
  <si>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</si>
  <si>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</si>
  <si>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</si>
  <si>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</si>
  <si>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</si>
  <si>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</si>
  <si>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</si>
  <si>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</si>
  <si>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</si>
  <si>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</si>
  <si>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</si>
  <si>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</si>
  <si>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</si>
  <si>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</si>
  <si>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</si>
  <si>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</si>
  <si>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</si>
  <si>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</si>
  <si>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</si>
  <si>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</si>
  <si>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</si>
  <si>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</si>
  <si>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</si>
  <si>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</si>
  <si>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</si>
  <si>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</si>
  <si>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</si>
  <si>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</si>
  <si>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</si>
  <si>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</si>
  <si>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</si>
  <si>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</si>
  <si>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</si>
  <si>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</si>
  <si>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</si>
  <si>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</si>
  <si>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</si>
  <si>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</si>
  <si>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</si>
  <si>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</si>
  <si>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</si>
  <si>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</si>
  <si>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</si>
  <si>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</si>
  <si>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</si>
  <si>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</si>
  <si>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</si>
  <si>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</si>
  <si>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</si>
  <si>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</si>
  <si>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</si>
  <si>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</si>
  <si>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</si>
  <si>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</si>
  <si>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</si>
  <si>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</si>
  <si>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</si>
  <si>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</si>
  <si>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</si>
  <si>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</si>
  <si>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</si>
  <si>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</si>
  <si>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</si>
  <si>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</si>
  <si>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</si>
  <si>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</si>
  <si>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</si>
  <si>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</si>
  <si>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</si>
  <si>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</si>
  <si>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</si>
  <si>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</si>
  <si>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</si>
  <si>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</si>
  <si>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</si>
  <si>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</si>
  <si>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</si>
  <si>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</si>
  <si>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</si>
  <si>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</si>
  <si>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</si>
  <si>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</si>
  <si>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</si>
  <si>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</si>
  <si>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</si>
  <si>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</si>
  <si>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</si>
  <si>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</si>
  <si>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</si>
  <si>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</si>
  <si>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</si>
  <si>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</si>
  <si>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</si>
  <si>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</si>
  <si>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</si>
  <si>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</si>
  <si>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</si>
  <si>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</si>
  <si>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</si>
  <si>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</si>
  <si>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</si>
  <si>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</si>
  <si>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</si>
  <si>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</si>
  <si>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</si>
  <si>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</si>
  <si>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</si>
  <si>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</si>
  <si>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</si>
  <si>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</si>
  <si>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</si>
  <si>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</si>
  <si>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</si>
  <si>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</si>
  <si>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</si>
  <si>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</si>
  <si>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</si>
  <si>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</si>
  <si>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</si>
  <si>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</si>
  <si>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</si>
  <si>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</si>
  <si>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</si>
  <si>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</si>
  <si>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</si>
  <si>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</si>
  <si>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</si>
  <si>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</si>
  <si>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</si>
  <si>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</si>
  <si>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</si>
  <si>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</si>
  <si>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</si>
  <si>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</si>
  <si>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</si>
  <si>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</si>
  <si>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</si>
  <si>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</si>
  <si>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</si>
  <si>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</si>
  <si>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</si>
  <si>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</si>
  <si>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</si>
  <si>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</si>
  <si>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</si>
  <si>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</si>
  <si>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</si>
  <si>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</si>
  <si>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</si>
  <si>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</si>
  <si>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</si>
  <si>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</si>
  <si>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</si>
  <si>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</si>
  <si>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</si>
  <si>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</si>
  <si>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</si>
  <si>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</si>
  <si>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</si>
  <si>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</si>
  <si>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</si>
  <si>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</si>
  <si>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</si>
  <si>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</si>
  <si>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</si>
  <si>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</si>
  <si>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</si>
  <si>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</si>
  <si>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</si>
  <si>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</si>
  <si>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</si>
  <si>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</si>
  <si>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</si>
  <si>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</si>
  <si>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</si>
  <si>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</si>
  <si>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</si>
  <si>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</si>
  <si>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</si>
  <si>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</si>
  <si>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</si>
  <si>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</si>
  <si>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</si>
  <si>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</si>
  <si>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</si>
  <si>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</si>
  <si>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</si>
  <si>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</si>
  <si>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</si>
  <si>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</si>
  <si>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</si>
  <si>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</si>
  <si>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</si>
  <si>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</si>
  <si>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</si>
  <si>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</si>
  <si>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</si>
  <si>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</si>
  <si>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</si>
  <si>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</si>
  <si>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</si>
  <si>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</si>
  <si>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</si>
  <si>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</si>
  <si>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</si>
  <si>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</si>
  <si>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</si>
  <si>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</si>
  <si>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</si>
  <si>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</si>
  <si>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</si>
  <si>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</si>
  <si>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</si>
  <si>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</si>
  <si>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</si>
  <si>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</si>
  <si>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</si>
  <si>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</si>
  <si>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</si>
  <si>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</si>
  <si>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</si>
  <si>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</si>
  <si>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</si>
  <si>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</si>
  <si>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</si>
  <si>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</si>
  <si>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</si>
  <si>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</si>
  <si>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</si>
  <si>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</si>
  <si>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</si>
  <si>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</si>
  <si>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</si>
  <si>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</si>
  <si>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</si>
  <si>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</si>
  <si>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</si>
  <si>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</si>
  <si>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</si>
  <si>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</si>
  <si>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</si>
  <si>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</si>
  <si>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</si>
  <si>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</si>
  <si>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</si>
  <si>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</si>
  <si>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</si>
  <si>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</si>
  <si>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</si>
  <si>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</si>
  <si>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</si>
  <si>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</si>
  <si>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</si>
  <si>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</si>
  <si>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</si>
  <si>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</si>
  <si>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</si>
  <si>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</si>
  <si>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</si>
  <si>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</si>
  <si>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</si>
  <si>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</si>
  <si>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</si>
  <si>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</si>
  <si>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</si>
  <si>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</si>
  <si>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</si>
  <si>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</si>
  <si>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</si>
  <si>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</si>
  <si>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</si>
  <si>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</si>
  <si>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</si>
  <si>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</si>
  <si>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</si>
  <si>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</si>
  <si>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</si>
  <si>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</si>
  <si>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</si>
  <si>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</si>
  <si>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</si>
  <si>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</si>
  <si>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</si>
  <si>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</si>
  <si>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</si>
  <si>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</si>
  <si>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</si>
  <si>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</si>
  <si>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</si>
  <si>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</si>
  <si>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</si>
  <si>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</si>
  <si>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</si>
  <si>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</si>
  <si>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</si>
  <si>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</si>
  <si>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</si>
  <si>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</si>
  <si>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</si>
  <si>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</si>
  <si>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</si>
  <si>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</si>
  <si>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</si>
  <si>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</si>
  <si>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</si>
  <si>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</si>
  <si>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</si>
  <si>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</si>
  <si>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</si>
  <si>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</si>
  <si>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</si>
  <si>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</si>
  <si>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</si>
  <si>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</si>
  <si>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</si>
  <si>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</si>
  <si>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</si>
  <si>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</si>
  <si>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</si>
  <si>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</si>
  <si>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</si>
  <si>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</si>
  <si>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</si>
  <si>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</si>
  <si>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</si>
  <si>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</si>
  <si>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</si>
  <si>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</si>
  <si>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</si>
  <si>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</si>
  <si>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</si>
  <si>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</si>
  <si>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</si>
  <si>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</si>
  <si>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</si>
  <si>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</si>
  <si>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</si>
  <si>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</si>
  <si>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</si>
  <si>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</si>
  <si>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</si>
  <si>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</si>
  <si>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</si>
  <si>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</si>
  <si>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</si>
  <si>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</si>
  <si>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</si>
  <si>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</si>
  <si>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</si>
  <si>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</si>
  <si>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</si>
  <si>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</si>
  <si>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</si>
  <si>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</si>
  <si>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</si>
  <si>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</si>
  <si>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</si>
  <si>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</si>
  <si>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</si>
  <si>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</si>
  <si>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</si>
  <si>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</si>
  <si>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</si>
  <si>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</si>
  <si>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</si>
  <si>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</si>
  <si>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</si>
  <si>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</si>
  <si>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</si>
  <si>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</si>
  <si>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</si>
  <si>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</si>
  <si>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</si>
  <si>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</si>
  <si>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</si>
  <si>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</si>
  <si>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</si>
  <si>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</si>
  <si>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</si>
  <si>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</si>
  <si>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</si>
  <si>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</si>
  <si>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</si>
  <si>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</si>
  <si>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</si>
  <si>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</si>
  <si>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</si>
  <si>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</si>
  <si>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</si>
  <si>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</si>
  <si>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</si>
  <si>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</si>
  <si>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</si>
  <si>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</si>
  <si>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</si>
  <si>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</si>
  <si>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</si>
  <si>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</si>
  <si>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</si>
  <si>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</si>
  <si>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</si>
  <si>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</si>
  <si>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</si>
  <si>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</si>
  <si>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</si>
  <si>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</si>
  <si>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</si>
  <si>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</si>
  <si>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</si>
  <si>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</si>
  <si>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</si>
  <si>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</si>
  <si>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</si>
  <si>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</si>
  <si>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</si>
  <si>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</si>
  <si>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</si>
  <si>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</si>
  <si>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</si>
  <si>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</si>
  <si>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</si>
  <si>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</si>
  <si>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</si>
  <si>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</si>
  <si>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</si>
  <si>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</si>
  <si>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</si>
  <si>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</si>
  <si>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</si>
  <si>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</si>
  <si>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</si>
  <si>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</si>
  <si>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</si>
  <si>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</si>
  <si>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</si>
  <si>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</si>
  <si>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</si>
  <si>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</si>
  <si>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</si>
  <si>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</si>
  <si>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</si>
  <si>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</si>
  <si>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</si>
  <si>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</si>
  <si>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</si>
  <si>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</si>
  <si>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</si>
  <si>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</si>
  <si>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</si>
  <si>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</si>
  <si>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</si>
  <si>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</si>
  <si>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</si>
  <si>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</si>
  <si>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</si>
  <si>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</si>
  <si>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</si>
  <si>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</si>
  <si>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</si>
  <si>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</si>
  <si>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</si>
  <si>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</si>
  <si>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</si>
  <si>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</si>
  <si>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</si>
  <si>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</si>
  <si>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</si>
  <si>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</si>
  <si>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</si>
  <si>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</si>
  <si>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</si>
  <si>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</si>
  <si>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</si>
  <si>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</si>
  <si>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</si>
  <si>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</si>
  <si>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</si>
  <si>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</si>
  <si>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</si>
  <si>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</si>
  <si>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</si>
  <si>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</si>
  <si>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</si>
  <si>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</si>
  <si>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</si>
  <si>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</si>
  <si>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</si>
  <si>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</si>
  <si>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</si>
  <si>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</si>
  <si>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</si>
  <si>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</si>
  <si>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</si>
  <si>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</si>
  <si>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</si>
  <si>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</si>
  <si>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</si>
  <si>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</si>
  <si>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</si>
  <si>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</si>
  <si>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</si>
  <si>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</si>
  <si>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</si>
  <si>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</si>
  <si>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</si>
  <si>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</si>
  <si>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</si>
  <si>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</si>
  <si>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</si>
  <si>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</si>
  <si>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</si>
  <si>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</si>
  <si>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</si>
  <si>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</si>
  <si>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</si>
  <si>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</si>
  <si>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</si>
  <si>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</si>
  <si>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</si>
  <si>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</si>
  <si>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</si>
  <si>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</si>
  <si>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</si>
  <si>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</si>
  <si>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</si>
  <si>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</si>
  <si>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</si>
  <si>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</si>
  <si>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</si>
  <si>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</si>
  <si>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</si>
  <si>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</si>
  <si>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</si>
  <si>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</si>
  <si>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</si>
  <si>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</si>
  <si>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</si>
  <si>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</si>
  <si>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</si>
  <si>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</si>
  <si>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</si>
  <si>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</si>
  <si>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</si>
  <si>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</si>
  <si>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</si>
  <si>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</si>
  <si>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</si>
  <si>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</si>
  <si>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</si>
  <si>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</si>
  <si>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</si>
  <si>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</si>
  <si>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</si>
  <si>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</si>
  <si>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</si>
  <si>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</si>
  <si>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</si>
  <si>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</si>
  <si>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</si>
  <si>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</si>
  <si>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</si>
  <si>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</si>
  <si>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</si>
  <si>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</si>
  <si>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</si>
  <si>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</si>
  <si>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</si>
  <si>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</si>
  <si>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</si>
  <si>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</si>
  <si>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</si>
  <si>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</si>
  <si>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</si>
  <si>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</si>
  <si>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</si>
  <si>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</si>
  <si>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</si>
  <si>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</si>
  <si>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</si>
  <si>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</si>
  <si>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</si>
  <si>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</si>
  <si>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</si>
  <si>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</si>
  <si>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</si>
  <si>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</si>
  <si>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</si>
  <si>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</si>
  <si>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</si>
  <si>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</si>
  <si>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</si>
  <si>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</si>
  <si>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</si>
  <si>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</si>
  <si>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</si>
  <si>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</si>
  <si>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</si>
  <si>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</si>
  <si>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</si>
  <si>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</si>
  <si>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</si>
  <si>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</si>
  <si>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</si>
  <si>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</si>
  <si>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</si>
  <si>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</si>
  <si>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</si>
  <si>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</si>
  <si>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</si>
  <si>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</si>
  <si>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</si>
  <si>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</si>
  <si>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</si>
  <si>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</si>
  <si>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</si>
  <si>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</si>
  <si>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</si>
  <si>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</si>
  <si>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</si>
  <si>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</si>
  <si>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</si>
  <si>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</si>
  <si>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</si>
  <si>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</si>
  <si>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</si>
  <si>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</si>
  <si>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</si>
  <si>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</si>
  <si>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</si>
  <si>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</si>
  <si>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</si>
  <si>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</si>
  <si>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</si>
  <si>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</si>
  <si>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</si>
  <si>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</si>
  <si>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</si>
  <si>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</si>
  <si>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</si>
  <si>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</si>
  <si>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</si>
  <si>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</si>
  <si>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</si>
  <si>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</si>
  <si>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</si>
  <si>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</si>
  <si>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</si>
  <si>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</si>
  <si>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</si>
  <si>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</si>
  <si>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</si>
  <si>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</si>
  <si>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</si>
  <si>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</si>
  <si>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</si>
  <si>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</si>
  <si>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</si>
  <si>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</si>
  <si>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</si>
  <si>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</si>
  <si>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</si>
  <si>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</si>
  <si>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</si>
  <si>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</si>
  <si>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</si>
  <si>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</si>
  <si>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</si>
  <si>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</si>
  <si>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</si>
  <si>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</si>
  <si>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</si>
  <si>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</si>
  <si>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</si>
  <si>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</si>
  <si>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</si>
  <si>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</si>
  <si>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</si>
  <si>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</si>
  <si>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</si>
  <si>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</si>
  <si>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</si>
  <si>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</si>
  <si>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</si>
  <si>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</si>
  <si>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</si>
  <si>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</si>
  <si>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</si>
  <si>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</si>
  <si>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</si>
  <si>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</si>
  <si>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</si>
  <si>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</si>
  <si>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</si>
  <si>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</si>
  <si>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</si>
  <si>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</si>
  <si>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</si>
  <si>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</si>
  <si>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</si>
  <si>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</si>
  <si>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</si>
  <si>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</si>
  <si>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</si>
  <si>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</si>
  <si>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</si>
  <si>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</si>
  <si>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</si>
  <si>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</si>
  <si>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</si>
  <si>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</si>
  <si>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</si>
  <si>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</si>
  <si>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</si>
  <si>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</si>
  <si>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</si>
  <si>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</si>
  <si>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</si>
  <si>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</si>
  <si>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</si>
  <si>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</si>
  <si>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</si>
  <si>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</si>
  <si>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</si>
  <si>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</si>
  <si>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</si>
  <si>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</si>
  <si>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</si>
  <si>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</si>
  <si>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</si>
  <si>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</si>
  <si>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</si>
  <si>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</si>
  <si>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</si>
  <si>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</si>
  <si>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</si>
  <si>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</si>
  <si>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</si>
  <si>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</si>
  <si>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</si>
  <si>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</si>
  <si>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</si>
  <si>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</si>
  <si>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</si>
  <si>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</si>
  <si>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</si>
  <si>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</si>
  <si>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</si>
  <si>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</si>
  <si>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</si>
  <si>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</si>
  <si>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</si>
  <si>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</si>
  <si>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</si>
  <si>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</si>
  <si>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</si>
  <si>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</si>
  <si>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</si>
  <si>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</si>
  <si>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</si>
  <si>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</si>
  <si>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</si>
  <si>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</si>
  <si>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</si>
  <si>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</si>
  <si>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</si>
  <si>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</si>
  <si>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</si>
  <si>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</si>
  <si>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</si>
  <si>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</si>
  <si>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</si>
  <si>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</si>
  <si>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</si>
  <si>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</si>
  <si>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</si>
  <si>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</si>
  <si>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</si>
  <si>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</si>
  <si>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</si>
  <si>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</si>
  <si>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</si>
  <si>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</si>
  <si>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</si>
  <si>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</si>
  <si>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</si>
  <si>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</si>
  <si>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</si>
  <si>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</si>
  <si>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</si>
  <si>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</si>
  <si>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</si>
  <si>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</si>
  <si>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</si>
  <si>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</si>
  <si>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</si>
  <si>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</si>
  <si>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</si>
  <si>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</si>
  <si>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</si>
  <si>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</si>
  <si>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</si>
  <si>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</si>
  <si>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</si>
  <si>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</si>
  <si>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</si>
  <si>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</si>
  <si>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</si>
  <si>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</si>
  <si>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</si>
  <si>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</si>
  <si>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</si>
  <si>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</si>
  <si>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</si>
  <si>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</si>
  <si>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</si>
  <si>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</si>
  <si>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</si>
  <si>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</si>
  <si>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</si>
  <si>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</si>
  <si>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</si>
  <si>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</si>
  <si>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</si>
  <si>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</si>
  <si>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</si>
  <si>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</si>
  <si>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</si>
  <si>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</si>
  <si>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</si>
  <si>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</si>
  <si>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</si>
  <si>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</si>
  <si>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</si>
  <si>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</si>
  <si>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</si>
  <si>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</si>
  <si>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</si>
  <si>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</si>
  <si>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</si>
  <si>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</si>
  <si>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</si>
  <si>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</si>
  <si>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</si>
  <si>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</si>
  <si>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</si>
  <si>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</si>
  <si>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</si>
  <si>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</si>
  <si>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</si>
  <si>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</si>
  <si>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</si>
  <si>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</si>
  <si>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</si>
  <si>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</si>
  <si>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</si>
  <si>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</si>
  <si>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</si>
  <si>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</si>
  <si>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</si>
  <si>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</si>
  <si>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</si>
  <si>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</si>
  <si>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</si>
  <si>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</si>
  <si>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</si>
  <si>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</si>
  <si>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</si>
  <si>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</si>
  <si>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</si>
  <si>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</si>
  <si>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</si>
  <si>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</si>
  <si>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</si>
  <si>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</si>
  <si>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</si>
  <si>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</si>
  <si>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</si>
  <si>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</si>
  <si>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</si>
  <si>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</si>
  <si>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</si>
  <si>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</si>
  <si>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</si>
  <si>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</si>
  <si>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</si>
  <si>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</si>
  <si>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</si>
  <si>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</si>
  <si>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</si>
  <si>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</si>
  <si>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</si>
  <si>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</si>
  <si>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</si>
  <si>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</si>
  <si>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</si>
  <si>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</si>
  <si>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</si>
  <si>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</si>
  <si>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</si>
  <si>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</si>
  <si>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</si>
  <si>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</si>
  <si>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</si>
  <si>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</si>
  <si>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</si>
  <si>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</si>
  <si>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</si>
  <si>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</si>
  <si>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</si>
  <si>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</si>
  <si>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</si>
  <si>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</si>
  <si>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</si>
  <si>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</si>
  <si>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</si>
  <si>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</si>
  <si>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</si>
  <si>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</si>
  <si>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</si>
  <si>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</si>
  <si>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</si>
  <si>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</si>
  <si>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</si>
  <si>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</si>
  <si>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</si>
  <si>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</si>
  <si>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</si>
  <si>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</si>
  <si>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</si>
  <si>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</si>
  <si>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</si>
  <si>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</si>
  <si>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</si>
  <si>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</si>
  <si>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</si>
  <si>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</si>
  <si>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</si>
  <si>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</si>
  <si>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</si>
  <si>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</si>
  <si>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</si>
  <si>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</si>
  <si>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</si>
  <si>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</si>
  <si>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</si>
  <si>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</si>
  <si>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</si>
  <si>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</si>
  <si>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</si>
  <si>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</si>
  <si>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</si>
  <si>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</si>
  <si>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</si>
  <si>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</si>
  <si>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</si>
  <si>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</si>
  <si>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</si>
  <si>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</si>
  <si>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</si>
  <si>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</si>
  <si>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</si>
  <si>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</si>
  <si>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</si>
  <si>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</si>
  <si>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</si>
  <si>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</si>
  <si>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</si>
  <si>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</si>
  <si>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</si>
  <si>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</si>
  <si>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</si>
  <si>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</si>
  <si>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</si>
  <si>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</si>
  <si>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</si>
  <si>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</si>
  <si>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</si>
  <si>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</si>
  <si>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</si>
  <si>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</si>
  <si>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</si>
  <si>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</si>
  <si>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</si>
  <si>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</si>
  <si>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</si>
  <si>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</si>
  <si>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</si>
  <si>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</si>
  <si>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</si>
  <si>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</si>
  <si>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</si>
  <si>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</si>
  <si>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</si>
  <si>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</si>
  <si>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</si>
  <si>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</si>
  <si>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</si>
  <si>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</si>
  <si>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</si>
  <si>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</si>
  <si>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</si>
  <si>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</si>
  <si>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</si>
  <si>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</si>
  <si>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</si>
  <si>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</si>
  <si>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</si>
  <si>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</si>
  <si>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</si>
  <si>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</si>
  <si>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</si>
  <si>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</si>
  <si>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</si>
  <si>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</si>
  <si>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</si>
  <si>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</si>
  <si>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</si>
  <si>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</si>
  <si>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</si>
  <si>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</si>
  <si>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</si>
  <si>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</si>
  <si>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</si>
  <si>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</si>
  <si>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</si>
  <si>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</si>
  <si>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</si>
  <si>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</si>
  <si>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</si>
  <si>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</si>
  <si>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</si>
  <si>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</si>
  <si>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</si>
  <si>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</si>
  <si>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</si>
  <si>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</si>
  <si>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</si>
  <si>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</si>
  <si>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</si>
  <si>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</si>
  <si>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</si>
  <si>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</si>
  <si>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</si>
  <si>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</si>
  <si>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</si>
  <si>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</si>
  <si>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</si>
  <si>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</si>
  <si>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</si>
  <si>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</si>
  <si>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</si>
  <si>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</si>
  <si>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</si>
  <si>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</si>
  <si>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</si>
  <si>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</si>
  <si>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</si>
  <si>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</si>
  <si>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</si>
  <si>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</si>
  <si>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</si>
  <si>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</si>
  <si>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</si>
  <si>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</si>
  <si>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</si>
  <si>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</si>
  <si>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</si>
  <si>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</si>
  <si>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</si>
  <si>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</si>
  <si>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</si>
  <si>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</si>
  <si>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</si>
  <si>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</si>
  <si>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</si>
  <si>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</si>
  <si>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</si>
  <si>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</si>
  <si>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</si>
  <si>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</si>
  <si>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</si>
  <si>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</si>
  <si>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</si>
  <si>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</si>
  <si>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</si>
  <si>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</si>
  <si>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</si>
  <si>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</si>
  <si>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</si>
  <si>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</si>
  <si>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</si>
  <si>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</si>
  <si>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</si>
  <si>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</si>
  <si>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</si>
  <si>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</si>
  <si>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</si>
  <si>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</si>
  <si>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</si>
  <si>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</si>
  <si>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</si>
  <si>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</si>
  <si>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</si>
  <si>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</si>
  <si>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</si>
  <si>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</si>
  <si>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</si>
  <si>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</si>
  <si>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</si>
  <si>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</si>
  <si>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</si>
  <si>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</si>
  <si>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</si>
  <si>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</si>
  <si>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</si>
  <si>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</si>
  <si>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</si>
  <si>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</si>
  <si>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</si>
  <si>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</si>
  <si>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</si>
  <si>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</si>
  <si>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</si>
  <si>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</si>
  <si>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</si>
  <si>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</si>
  <si>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</si>
  <si>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</si>
  <si>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</si>
  <si>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</si>
  <si>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</si>
  <si>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</si>
  <si>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</si>
  <si>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</si>
  <si>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</si>
  <si>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</si>
  <si>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</si>
  <si>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</si>
  <si>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</si>
  <si>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</si>
  <si>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</si>
  <si>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</si>
  <si>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</si>
  <si>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</si>
  <si>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</si>
  <si>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</si>
  <si>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</si>
  <si>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</si>
  <si>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</si>
  <si>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</si>
  <si>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</si>
  <si>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</si>
  <si>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</si>
  <si>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</si>
  <si>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</si>
  <si>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</si>
  <si>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</si>
  <si>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</si>
  <si>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</si>
  <si>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</si>
  <si>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</si>
  <si>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</si>
  <si>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</si>
  <si>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</si>
  <si>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</si>
  <si>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</si>
  <si>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</si>
  <si>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</si>
  <si>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</si>
  <si>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</si>
  <si>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</si>
  <si>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</si>
  <si>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</si>
  <si>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</si>
  <si>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</si>
  <si>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</si>
  <si>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</si>
  <si>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</si>
  <si>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</si>
  <si>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</si>
  <si>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</si>
  <si>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</si>
  <si>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</si>
  <si>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</si>
  <si>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</si>
  <si>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</si>
  <si>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</si>
  <si>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</si>
  <si>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</si>
  <si>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</si>
  <si>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</si>
  <si>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</si>
  <si>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</si>
  <si>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</si>
  <si>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</si>
  <si>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</si>
  <si>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</si>
  <si>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</si>
  <si>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</si>
  <si>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</si>
  <si>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</si>
  <si>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</si>
  <si>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</si>
  <si>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</si>
  <si>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</si>
  <si>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</si>
  <si>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</si>
  <si>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</si>
  <si>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</si>
  <si>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</si>
  <si>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</si>
  <si>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</si>
  <si>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</si>
  <si>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</si>
  <si>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</si>
  <si>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</si>
  <si>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</si>
  <si>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</si>
  <si>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</si>
  <si>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</si>
  <si>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</si>
  <si>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</si>
  <si>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</si>
  <si>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</si>
  <si>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</si>
  <si>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</si>
  <si>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</si>
  <si>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</si>
  <si>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</si>
  <si>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</si>
  <si>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</si>
  <si>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</si>
  <si>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</si>
  <si>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</si>
  <si>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</si>
  <si>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</si>
  <si>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</si>
  <si>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</si>
  <si>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</si>
  <si>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</si>
  <si>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</si>
  <si>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</si>
  <si>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</si>
  <si>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</si>
  <si>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</si>
  <si>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</si>
  <si>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</si>
  <si>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</si>
  <si>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</si>
  <si>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</si>
  <si>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</si>
  <si>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</si>
  <si>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</si>
  <si>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</si>
  <si>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</si>
  <si>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</si>
  <si>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</si>
  <si>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</si>
  <si>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</si>
  <si>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</si>
  <si>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</si>
  <si>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</si>
  <si>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</si>
  <si>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</si>
  <si>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</si>
  <si>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</si>
  <si>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</si>
  <si>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</si>
  <si>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</si>
  <si>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</si>
  <si>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</si>
  <si>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</si>
  <si>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</si>
  <si>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</si>
  <si>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</si>
  <si>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</si>
  <si>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</si>
  <si>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</si>
  <si>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</si>
  <si>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</si>
  <si>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</si>
  <si>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</si>
  <si>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</si>
  <si>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</si>
  <si>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</si>
  <si>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</si>
  <si>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</si>
  <si>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</si>
  <si>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</si>
  <si>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</si>
  <si>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</si>
  <si>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</si>
  <si>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</si>
  <si>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</si>
  <si>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</si>
  <si>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</si>
  <si>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</si>
  <si>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</si>
  <si>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</si>
  <si>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</si>
  <si>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</si>
  <si>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</si>
  <si>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</si>
  <si>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</si>
  <si>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</si>
  <si>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</si>
  <si>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</si>
  <si>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</si>
  <si>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</si>
  <si>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</si>
  <si>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</si>
  <si>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</si>
  <si>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</si>
  <si>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</si>
  <si>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</si>
  <si>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</si>
  <si>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</si>
  <si>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</si>
  <si>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</si>
  <si>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</si>
  <si>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</si>
  <si>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</si>
  <si>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</si>
  <si>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</si>
  <si>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</si>
  <si>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</si>
  <si>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</si>
  <si>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</si>
  <si>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</si>
  <si>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</si>
  <si>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</si>
  <si>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</si>
  <si>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</si>
  <si>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</si>
  <si>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</si>
  <si>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</si>
  <si>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</si>
  <si>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</si>
  <si>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</si>
  <si>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</si>
  <si>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</si>
  <si>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</si>
  <si>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</si>
  <si>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</si>
  <si>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</si>
  <si>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</si>
  <si>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</si>
  <si>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</si>
  <si>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</si>
  <si>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</si>
  <si>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</si>
  <si>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</si>
  <si>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</si>
  <si>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</si>
  <si>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</si>
  <si>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</si>
  <si>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</si>
  <si>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</si>
  <si>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</si>
  <si>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</si>
  <si>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</si>
  <si>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</si>
  <si>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</si>
  <si>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</si>
  <si>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</si>
  <si>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</si>
  <si>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</si>
  <si>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</si>
  <si>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</si>
  <si>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</si>
  <si>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</si>
  <si>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</si>
  <si>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</si>
  <si>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</si>
  <si>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</si>
  <si>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</si>
  <si>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</si>
  <si>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</si>
  <si>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</si>
  <si>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</si>
  <si>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</si>
  <si>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</si>
  <si>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</si>
  <si>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</si>
  <si>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</si>
  <si>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 xml:space="preserve"> </t>
    <phoneticPr fontId="6" type="noConversion"/>
  </si>
  <si>
    <t>是</t>
  </si>
  <si>
    <t>地上</t>
  </si>
  <si>
    <t>办公楼</t>
  </si>
  <si>
    <t>办公楼</t>
    <phoneticPr fontId="7" type="noConversion"/>
  </si>
  <si>
    <t>成新度</t>
  </si>
  <si>
    <t>收益法 (元)</t>
  </si>
  <si>
    <t>好</t>
  </si>
  <si>
    <t>好</t>
    <phoneticPr fontId="24" type="noConversion"/>
  </si>
  <si>
    <t>七通</t>
    <phoneticPr fontId="24" type="noConversion"/>
  </si>
  <si>
    <t>较好</t>
    <phoneticPr fontId="24" type="noConversion"/>
  </si>
  <si>
    <t>利息：取LPR加浮动点数</t>
  </si>
  <si>
    <t>挂牌</t>
    <phoneticPr fontId="31" type="noConversion"/>
  </si>
  <si>
    <t>单套模式</t>
  </si>
  <si>
    <t>售价</t>
  </si>
  <si>
    <r>
      <t>40</t>
    </r>
    <r>
      <rPr>
        <sz val="11"/>
        <rFont val="宋体"/>
        <family val="3"/>
        <charset val="134"/>
      </rPr>
      <t>（含）</t>
    </r>
    <r>
      <rPr>
        <sz val="11"/>
        <rFont val="Arial"/>
        <family val="2"/>
      </rPr>
      <t>-50</t>
    </r>
    <phoneticPr fontId="31" type="noConversion"/>
  </si>
  <si>
    <r>
      <t>30</t>
    </r>
    <r>
      <rPr>
        <sz val="11"/>
        <rFont val="宋体"/>
        <family val="3"/>
        <charset val="134"/>
      </rPr>
      <t>（含）</t>
    </r>
    <r>
      <rPr>
        <sz val="11"/>
        <rFont val="Arial"/>
        <family val="2"/>
      </rPr>
      <t>-40</t>
    </r>
    <phoneticPr fontId="31" type="noConversion"/>
  </si>
  <si>
    <r>
      <t>20</t>
    </r>
    <r>
      <rPr>
        <sz val="11"/>
        <rFont val="宋体"/>
        <family val="3"/>
        <charset val="134"/>
      </rPr>
      <t>（含）</t>
    </r>
    <r>
      <rPr>
        <sz val="11"/>
        <rFont val="Arial"/>
        <family val="2"/>
      </rPr>
      <t>-30</t>
    </r>
    <phoneticPr fontId="31" type="noConversion"/>
  </si>
  <si>
    <r>
      <t>10</t>
    </r>
    <r>
      <rPr>
        <sz val="11"/>
        <rFont val="宋体"/>
        <family val="3"/>
        <charset val="134"/>
      </rPr>
      <t>（含）</t>
    </r>
    <r>
      <rPr>
        <sz val="11"/>
        <rFont val="Arial"/>
        <family val="2"/>
      </rPr>
      <t>-20</t>
    </r>
    <phoneticPr fontId="31" type="noConversion"/>
  </si>
  <si>
    <t>高区</t>
    <phoneticPr fontId="31" type="noConversion"/>
  </si>
  <si>
    <t>中区</t>
    <phoneticPr fontId="31" type="noConversion"/>
  </si>
  <si>
    <t>低区</t>
    <phoneticPr fontId="31" type="noConversion"/>
  </si>
  <si>
    <t>高速路及快速路</t>
    <phoneticPr fontId="31" type="noConversion"/>
  </si>
  <si>
    <t>主干道</t>
    <phoneticPr fontId="31" type="noConversion"/>
  </si>
  <si>
    <t>次干道</t>
    <phoneticPr fontId="31" type="noConversion"/>
  </si>
  <si>
    <t>支路</t>
    <phoneticPr fontId="31" type="noConversion"/>
  </si>
  <si>
    <t>标准写字楼</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</si>
  <si>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</si>
  <si>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</si>
  <si>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</si>
  <si>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</si>
  <si>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</si>
  <si>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</si>
  <si>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</si>
  <si>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phoneticPr fontId="31" type="noConversion"/>
  </si>
  <si>
    <t>专业</t>
    <phoneticPr fontId="31" type="noConversion"/>
  </si>
  <si>
    <t>普通</t>
    <phoneticPr fontId="31" type="noConversion"/>
  </si>
  <si>
    <t>甲级</t>
    <phoneticPr fontId="31" type="noConversion"/>
  </si>
  <si>
    <t>乙级</t>
    <phoneticPr fontId="31" type="noConversion"/>
  </si>
  <si>
    <t>正常</t>
  </si>
  <si>
    <t>办公</t>
    <phoneticPr fontId="31" type="noConversion"/>
  </si>
  <si>
    <r>
      <t>20</t>
    </r>
    <r>
      <rPr>
        <sz val="11"/>
        <color indexed="8"/>
        <rFont val="宋体"/>
        <family val="3"/>
        <charset val="134"/>
      </rPr>
      <t>（含）</t>
    </r>
    <r>
      <rPr>
        <sz val="11"/>
        <color indexed="8"/>
        <rFont val="Arial"/>
        <family val="2"/>
      </rPr>
      <t>-30</t>
    </r>
    <phoneticPr fontId="31" type="noConversion"/>
  </si>
  <si>
    <t>高区</t>
  </si>
  <si>
    <t>高区</t>
    <phoneticPr fontId="134" type="noConversion"/>
  </si>
  <si>
    <t>中区</t>
  </si>
  <si>
    <t>中区</t>
    <phoneticPr fontId="134" type="noConversion"/>
  </si>
  <si>
    <t>富尔大厦</t>
    <phoneticPr fontId="3" type="noConversion"/>
  </si>
  <si>
    <t>较好</t>
  </si>
  <si>
    <t>七通</t>
  </si>
  <si>
    <t>标准写字楼</t>
  </si>
  <si>
    <t>钢混</t>
  </si>
  <si>
    <t>精装修</t>
  </si>
  <si>
    <t>框架</t>
  </si>
  <si>
    <t>框架</t>
    <phoneticPr fontId="31" type="noConversion"/>
  </si>
  <si>
    <t>甲级</t>
  </si>
  <si>
    <t>专业</t>
  </si>
  <si>
    <t>五通</t>
  </si>
  <si>
    <t>标准层高</t>
  </si>
  <si>
    <t>普通装修</t>
  </si>
  <si>
    <t>比较法-办公</t>
  </si>
  <si>
    <t>押一</t>
  </si>
  <si>
    <t>非生产用房</t>
  </si>
  <si>
    <t>总价</t>
  </si>
  <si>
    <t>收益比率</t>
  </si>
  <si>
    <t>租金</t>
  </si>
  <si>
    <t>高区</t>
    <phoneticPr fontId="134" type="noConversion"/>
  </si>
  <si>
    <t>中区</t>
    <phoneticPr fontId="134" type="noConversion"/>
  </si>
  <si>
    <t>低区</t>
  </si>
  <si>
    <t>低区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</si>
</sst>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19" fillId="0" borderId="24" xfId="0" applyNumberFormat="1" applyFont="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222"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08" fillId="0" borderId="23" xfId="0" applyFont="1" applyBorder="1" applyAlignment="1" applyProtection="1">
      <alignment horizontal="center" vertical="center" wrapText="1"/>
      <protection locked="0"/>
    </xf>
    <xf numFmtId="10" fontId="44" fillId="22" borderId="1" xfId="0" applyNumberFormat="1" applyFont="1" applyFill="1" applyBorder="1" applyAlignment="1" applyProtection="1">
      <alignment horizontal="center" vertical="center"/>
      <protection locked="0"/>
    </xf>
    <xf numFmtId="182" fontId="44" fillId="22" borderId="1"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26</xdr:row>
      <xdr:rowOff>148166</xdr:rowOff>
    </xdr:to>
    <xdr:pic>
      <xdr:nvPicPr>
        <xdr:cNvPr id="3" name="图片 2">
          <a:extLst>
            <a:ext uri="{FF2B5EF4-FFF2-40B4-BE49-F238E27FC236}">
              <a16:creationId xmlns:a16="http://schemas.microsoft.com/office/drawing/2014/main" id="{0ED3EF5A-8274-D988-B826-288BE209FB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605866"/>
        </a:xfrm>
        <a:prstGeom prst="rect">
          <a:avLst/>
        </a:prstGeom>
      </xdr:spPr>
    </xdr:pic>
    <xdr:clientData/>
  </xdr:twoCellAnchor>
  <xdr:twoCellAnchor editAs="oneCell">
    <xdr:from>
      <xdr:col>0</xdr:col>
      <xdr:colOff>0</xdr:colOff>
      <xdr:row>28</xdr:row>
      <xdr:rowOff>0</xdr:rowOff>
    </xdr:from>
    <xdr:to>
      <xdr:col>11</xdr:col>
      <xdr:colOff>228600</xdr:colOff>
      <xdr:row>56</xdr:row>
      <xdr:rowOff>13314</xdr:rowOff>
    </xdr:to>
    <xdr:pic>
      <xdr:nvPicPr>
        <xdr:cNvPr id="5" name="图片 4">
          <a:extLst>
            <a:ext uri="{FF2B5EF4-FFF2-40B4-BE49-F238E27FC236}">
              <a16:creationId xmlns:a16="http://schemas.microsoft.com/office/drawing/2014/main" id="{5C91B150-70E8-9BFF-8C84-997429B79A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800600"/>
          <a:ext cx="7772400" cy="4813914"/>
        </a:xfrm>
        <a:prstGeom prst="rect">
          <a:avLst/>
        </a:prstGeom>
      </xdr:spPr>
    </xdr:pic>
    <xdr:clientData/>
  </xdr:twoCellAnchor>
  <xdr:twoCellAnchor editAs="oneCell">
    <xdr:from>
      <xdr:col>0</xdr:col>
      <xdr:colOff>0</xdr:colOff>
      <xdr:row>57</xdr:row>
      <xdr:rowOff>0</xdr:rowOff>
    </xdr:from>
    <xdr:to>
      <xdr:col>11</xdr:col>
      <xdr:colOff>228600</xdr:colOff>
      <xdr:row>83</xdr:row>
      <xdr:rowOff>52840</xdr:rowOff>
    </xdr:to>
    <xdr:pic>
      <xdr:nvPicPr>
        <xdr:cNvPr id="7" name="图片 6">
          <a:extLst>
            <a:ext uri="{FF2B5EF4-FFF2-40B4-BE49-F238E27FC236}">
              <a16:creationId xmlns:a16="http://schemas.microsoft.com/office/drawing/2014/main" id="{8734FFC3-316C-BD23-4D3B-680B2CE8222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2650"/>
          <a:ext cx="7772400" cy="4510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32</xdr:row>
      <xdr:rowOff>79924</xdr:rowOff>
    </xdr:to>
    <xdr:pic>
      <xdr:nvPicPr>
        <xdr:cNvPr id="3" name="图片 2">
          <a:extLst>
            <a:ext uri="{FF2B5EF4-FFF2-40B4-BE49-F238E27FC236}">
              <a16:creationId xmlns:a16="http://schemas.microsoft.com/office/drawing/2014/main" id="{805129EE-DD59-31B4-FEC0-9523CFEEA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566324"/>
        </a:xfrm>
        <a:prstGeom prst="rect">
          <a:avLst/>
        </a:prstGeom>
      </xdr:spPr>
    </xdr:pic>
    <xdr:clientData/>
  </xdr:twoCellAnchor>
  <xdr:twoCellAnchor editAs="oneCell">
    <xdr:from>
      <xdr:col>0</xdr:col>
      <xdr:colOff>0</xdr:colOff>
      <xdr:row>34</xdr:row>
      <xdr:rowOff>0</xdr:rowOff>
    </xdr:from>
    <xdr:to>
      <xdr:col>11</xdr:col>
      <xdr:colOff>228600</xdr:colOff>
      <xdr:row>70</xdr:row>
      <xdr:rowOff>89923</xdr:rowOff>
    </xdr:to>
    <xdr:pic>
      <xdr:nvPicPr>
        <xdr:cNvPr id="5" name="图片 4">
          <a:extLst>
            <a:ext uri="{FF2B5EF4-FFF2-40B4-BE49-F238E27FC236}">
              <a16:creationId xmlns:a16="http://schemas.microsoft.com/office/drawing/2014/main" id="{CA997268-BF23-0E84-CC00-49DB155B81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29300"/>
          <a:ext cx="7772400" cy="6262123"/>
        </a:xfrm>
        <a:prstGeom prst="rect">
          <a:avLst/>
        </a:prstGeom>
      </xdr:spPr>
    </xdr:pic>
    <xdr:clientData/>
  </xdr:twoCellAnchor>
  <xdr:twoCellAnchor editAs="oneCell">
    <xdr:from>
      <xdr:col>0</xdr:col>
      <xdr:colOff>0</xdr:colOff>
      <xdr:row>72</xdr:row>
      <xdr:rowOff>0</xdr:rowOff>
    </xdr:from>
    <xdr:to>
      <xdr:col>11</xdr:col>
      <xdr:colOff>228600</xdr:colOff>
      <xdr:row>106</xdr:row>
      <xdr:rowOff>127699</xdr:rowOff>
    </xdr:to>
    <xdr:pic>
      <xdr:nvPicPr>
        <xdr:cNvPr id="7" name="图片 6">
          <a:extLst>
            <a:ext uri="{FF2B5EF4-FFF2-40B4-BE49-F238E27FC236}">
              <a16:creationId xmlns:a16="http://schemas.microsoft.com/office/drawing/2014/main" id="{96F962C9-BDDA-B9E3-8CFD-2698041F146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344400"/>
          <a:ext cx="7772400" cy="5956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估价对象为北京市房地产，为所有。根据，估价对象（分摊）出让国有建设用地使用权面积为0平方米，建筑面积为455.09平方米。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估价对象为北京市房地产,属开发建设的，该项目尚在开发建设中。根据，估价对象（分摊）出让国有建设用地使用权面积为0平方米，规划建筑面积为455.09平方米。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2023年3月3日（评估专业人员实地查勘之日）</v>
      </c>
    </row>
    <row r="13" spans="1:2">
      <c r="A13" s="1119" t="s">
        <v>529</v>
      </c>
      <c r="B13" s="1120"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2234</v>
      </c>
    </row>
    <row r="21" spans="1:2">
      <c r="A21" s="1119" t="s">
        <v>537</v>
      </c>
      <c r="B21" s="1120">
        <f ca="1">'预评函-2'!D7</f>
        <v>49089</v>
      </c>
    </row>
    <row r="22" spans="1:2">
      <c r="A22" s="1119" t="s">
        <v>538</v>
      </c>
      <c r="B22" s="1120" t="str">
        <f ca="1">'预评函-2'!D6</f>
        <v>贰仟贰佰叁拾肆万元整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2234</v>
      </c>
    </row>
    <row r="31" spans="1:2">
      <c r="A31" s="1119" t="s">
        <v>576</v>
      </c>
      <c r="B31" s="1120">
        <f ca="1">'预评函-2'!D15</f>
        <v>49089</v>
      </c>
    </row>
    <row r="32" spans="1:2">
      <c r="A32" s="1119" t="s">
        <v>543</v>
      </c>
      <c r="B32" s="1120" t="str">
        <f ca="1">'预评函-2'!D14</f>
        <v>贰仟贰佰叁拾肆万元整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455.09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1964</v>
      </c>
    </row>
    <row r="48" spans="1:2">
      <c r="A48" s="1119" t="s">
        <v>549</v>
      </c>
      <c r="B48" s="1120">
        <f ca="1">'预评函-3'!E4</f>
        <v>43156</v>
      </c>
    </row>
    <row r="49" spans="1:2">
      <c r="A49" s="1119" t="s">
        <v>550</v>
      </c>
      <c r="B49" s="1120" t="str">
        <f ca="1">'预评函-3'!D5</f>
        <v>壹仟玖佰陆拾肆万元整</v>
      </c>
    </row>
    <row r="50" spans="1:2">
      <c r="A50" s="1119" t="s">
        <v>574</v>
      </c>
      <c r="B50" s="1120" t="str">
        <f>'预评函-3'!F2</f>
        <v>在建建筑物价值</v>
      </c>
    </row>
    <row r="51" spans="1:2">
      <c r="A51" s="1119" t="s">
        <v>551</v>
      </c>
      <c r="B51" s="1120">
        <f ca="1">'预评函-3'!F4</f>
        <v>270</v>
      </c>
    </row>
    <row r="52" spans="1:2">
      <c r="A52" s="1119" t="s">
        <v>552</v>
      </c>
      <c r="B52" s="1120">
        <f ca="1">'预评函-3'!G4</f>
        <v>5933</v>
      </c>
    </row>
    <row r="53" spans="1:2">
      <c r="A53" s="1119" t="s">
        <v>580</v>
      </c>
      <c r="B53" s="1120" t="str">
        <f ca="1">'预评函-3'!F5</f>
        <v>贰佰柒拾万元整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2574</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2575</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2287</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2497</v>
      </c>
      <c r="B1" s="2756"/>
      <c r="C1" s="2756"/>
      <c r="D1" s="2756"/>
      <c r="E1" s="2756"/>
      <c r="F1" s="2757"/>
      <c r="I1" s="3134" t="s">
        <v>2590</v>
      </c>
      <c r="J1" s="2782"/>
      <c r="K1" s="2782"/>
      <c r="L1" s="2782"/>
      <c r="M1" s="2782"/>
      <c r="N1" s="2967"/>
      <c r="O1" s="2967"/>
      <c r="P1" s="2967"/>
      <c r="Q1" s="2967"/>
      <c r="R1" s="2967"/>
    </row>
    <row r="2" spans="1:18">
      <c r="A2" s="2759"/>
      <c r="B2" s="2760"/>
      <c r="C2" s="2760"/>
      <c r="D2" s="2760"/>
      <c r="E2" s="2760"/>
      <c r="F2" s="2761"/>
      <c r="I2" s="3193" t="s">
        <v>2577</v>
      </c>
      <c r="J2" s="3193"/>
      <c r="K2" s="3193"/>
      <c r="L2" s="3193"/>
      <c r="M2" s="3193"/>
      <c r="N2" s="3193"/>
      <c r="O2" s="3193"/>
      <c r="P2" s="3193"/>
      <c r="Q2" s="3193"/>
      <c r="R2" s="3193"/>
    </row>
    <row r="3" spans="1:18">
      <c r="A3" s="2762" t="s">
        <v>2498</v>
      </c>
      <c r="B3" s="2763">
        <f>项目基本情况!D3</f>
        <v>44988</v>
      </c>
      <c r="C3" s="2765"/>
      <c r="D3" s="2765"/>
      <c r="E3" s="2765"/>
      <c r="F3" s="2761"/>
      <c r="I3" s="2777"/>
      <c r="J3" s="2777" t="s">
        <v>2581</v>
      </c>
      <c r="K3" s="2777" t="s">
        <v>2582</v>
      </c>
      <c r="L3" s="2777" t="s">
        <v>2583</v>
      </c>
      <c r="M3" s="2777" t="s">
        <v>2584</v>
      </c>
      <c r="N3" s="3135" t="s">
        <v>2585</v>
      </c>
      <c r="O3" s="3135" t="s">
        <v>2586</v>
      </c>
      <c r="P3" s="3135" t="s">
        <v>2587</v>
      </c>
      <c r="Q3" s="3135" t="s">
        <v>2588</v>
      </c>
      <c r="R3" s="3135" t="s">
        <v>2589</v>
      </c>
    </row>
    <row r="4" spans="1:18">
      <c r="A4" s="2762" t="s">
        <v>2499</v>
      </c>
      <c r="B4" s="2765" t="s">
        <v>2500</v>
      </c>
      <c r="C4" s="2765" t="s">
        <v>2501</v>
      </c>
      <c r="D4" s="2765" t="s">
        <v>2502</v>
      </c>
      <c r="E4" s="2765" t="s">
        <v>2503</v>
      </c>
      <c r="F4" s="2761"/>
      <c r="I4" s="2777" t="s">
        <v>2578</v>
      </c>
      <c r="J4" s="2777">
        <v>80</v>
      </c>
      <c r="K4" s="2777">
        <v>70</v>
      </c>
      <c r="L4" s="2777">
        <v>20</v>
      </c>
      <c r="M4" s="2777">
        <v>30</v>
      </c>
      <c r="N4" s="2765">
        <v>45</v>
      </c>
      <c r="O4" s="2765">
        <v>60</v>
      </c>
      <c r="P4" s="2765">
        <v>50</v>
      </c>
      <c r="Q4" s="2765">
        <v>20</v>
      </c>
      <c r="R4" s="2765">
        <v>375</v>
      </c>
    </row>
    <row r="5" spans="1:18">
      <c r="A5" s="2766">
        <v>40</v>
      </c>
      <c r="B5" s="2763">
        <v>46375</v>
      </c>
      <c r="C5" s="2765">
        <f>ROUNDDOWN(MIN((B5-B3)/365,A5),2)</f>
        <v>3.8</v>
      </c>
      <c r="D5" s="2767">
        <f>IF(ISERROR(ROUND(POWER(1+E5,A5-C5)*(POWER(1+E5,C5)-1)/(POWER(1+E5,A5)-1),3)),0,ROUND(POWER(1+E5,A5-C5)*(POWER(1+E5,C5)-1)/(POWER(1+E5,A5)-1),4))</f>
        <v>0.1749</v>
      </c>
      <c r="E5" s="2768">
        <v>0.04</v>
      </c>
      <c r="F5" s="2761"/>
      <c r="I5" s="2777" t="s">
        <v>2579</v>
      </c>
      <c r="J5" s="2777">
        <v>70</v>
      </c>
      <c r="K5" s="2777">
        <v>60</v>
      </c>
      <c r="L5" s="2777">
        <v>15</v>
      </c>
      <c r="M5" s="2777">
        <v>25</v>
      </c>
      <c r="N5" s="2765">
        <v>40</v>
      </c>
      <c r="O5" s="2765">
        <v>50</v>
      </c>
      <c r="P5" s="2765">
        <v>40</v>
      </c>
      <c r="Q5" s="2765">
        <v>15</v>
      </c>
      <c r="R5" s="2765">
        <v>315</v>
      </c>
    </row>
    <row r="6" spans="1:18">
      <c r="A6" s="2766">
        <v>50</v>
      </c>
      <c r="B6" s="2763">
        <v>50028</v>
      </c>
      <c r="C6" s="2765">
        <f>ROUNDDOWN(MIN((B6-B3)/365,A6),2)</f>
        <v>13.8</v>
      </c>
      <c r="D6" s="2767">
        <f>IF(ISERROR(ROUND(POWER(1+E6,A6-C6)*(POWER(1+E6,C6)-1)/(POWER(1+E6,A6)-1),3)),0,ROUND(POWER(1+E6,A6-C6)*(POWER(1+E6,C6)-1)/(POWER(1+E6,A6)-1),4))</f>
        <v>0.4864</v>
      </c>
      <c r="E6" s="2768">
        <v>0.04</v>
      </c>
      <c r="F6" s="2761"/>
      <c r="I6" s="2777" t="s">
        <v>2580</v>
      </c>
      <c r="J6" s="2777">
        <v>60</v>
      </c>
      <c r="K6" s="2777">
        <v>50</v>
      </c>
      <c r="L6" s="2777">
        <v>10</v>
      </c>
      <c r="M6" s="2777">
        <v>20</v>
      </c>
      <c r="N6" s="2765">
        <v>35</v>
      </c>
      <c r="O6" s="2765">
        <v>40</v>
      </c>
      <c r="P6" s="2765">
        <v>30</v>
      </c>
      <c r="Q6" s="2765">
        <v>10</v>
      </c>
      <c r="R6" s="2765">
        <v>255</v>
      </c>
    </row>
    <row r="7" spans="1:18">
      <c r="A7" s="2766">
        <v>70</v>
      </c>
      <c r="B7" s="2763">
        <v>57333</v>
      </c>
      <c r="C7" s="2765">
        <f>ROUNDDOWN(MIN((B7-B3)/365,A7),2)</f>
        <v>33.82</v>
      </c>
      <c r="D7" s="2767">
        <f>IF(ISERROR(ROUND(POWER(1+E7,A7-C7)*(POWER(1+E7,C7)-1)/(POWER(1+E7,A7)-1),3)),0,ROUND(POWER(1+E7,A7-C7)*(POWER(1+E7,C7)-1)/(POWER(1+E7,A7)-1),4))</f>
        <v>0.78500000000000003</v>
      </c>
      <c r="E7" s="2768">
        <v>0.04</v>
      </c>
      <c r="F7" s="2761"/>
    </row>
    <row r="8" spans="1:18">
      <c r="A8" s="2759"/>
      <c r="B8" s="2760"/>
      <c r="C8" s="2760"/>
      <c r="D8" s="2760"/>
      <c r="E8" s="2760"/>
      <c r="F8" s="2761"/>
    </row>
    <row r="9" spans="1:18">
      <c r="A9" s="2762" t="s">
        <v>2504</v>
      </c>
      <c r="B9" s="2765"/>
      <c r="C9" s="2765"/>
      <c r="D9" s="2765"/>
      <c r="E9" s="2765"/>
      <c r="F9" s="2769"/>
    </row>
    <row r="10" spans="1:18">
      <c r="A10" s="2762" t="s">
        <v>2505</v>
      </c>
      <c r="B10" s="2765"/>
      <c r="C10" s="2765"/>
      <c r="D10" s="2765" t="s">
        <v>2503</v>
      </c>
      <c r="E10" s="2765"/>
      <c r="F10" s="2769" t="s">
        <v>2502</v>
      </c>
    </row>
    <row r="11" spans="1:18">
      <c r="A11" s="2762" t="s">
        <v>2506</v>
      </c>
      <c r="B11" s="2770">
        <v>70</v>
      </c>
      <c r="C11" s="2765" t="s">
        <v>2507</v>
      </c>
      <c r="D11" s="2770">
        <v>4.4999999999999998E-2</v>
      </c>
      <c r="E11" s="2765" t="s">
        <v>2508</v>
      </c>
      <c r="F11" s="2771">
        <f>ROUND(1-(1/(POWER(1+D11,B11))),4)</f>
        <v>0.95409999999999995</v>
      </c>
    </row>
    <row r="12" spans="1:18">
      <c r="A12" s="2762" t="s">
        <v>2509</v>
      </c>
      <c r="B12" s="2770">
        <v>40</v>
      </c>
      <c r="C12" s="2765" t="s">
        <v>2510</v>
      </c>
      <c r="D12" s="2770">
        <v>4.4999999999999998E-2</v>
      </c>
      <c r="E12" s="2765" t="s">
        <v>2511</v>
      </c>
      <c r="F12" s="2771">
        <f>ROUND(1-(1/(POWER(1+D12,B12))),4)</f>
        <v>0.82809999999999995</v>
      </c>
    </row>
    <row r="13" spans="1:18">
      <c r="A13" s="2762" t="s">
        <v>2512</v>
      </c>
      <c r="B13" s="2765"/>
      <c r="C13" s="2765"/>
      <c r="D13" s="2760"/>
      <c r="E13" s="2760"/>
      <c r="F13" s="2761"/>
    </row>
    <row r="14" spans="1:18">
      <c r="A14" s="2762" t="s">
        <v>2513</v>
      </c>
      <c r="B14" s="2770">
        <v>5000</v>
      </c>
      <c r="C14" s="2764"/>
      <c r="D14" s="2760"/>
      <c r="E14" s="2760"/>
      <c r="F14" s="2761"/>
    </row>
    <row r="15" spans="1:18">
      <c r="A15" s="2762" t="s">
        <v>2514</v>
      </c>
      <c r="B15" s="2765">
        <f>ROUND(B14*F12/F11,2)</f>
        <v>4339.6899999999996</v>
      </c>
      <c r="C15" s="2765">
        <f>ROUND(F12/F11,4)</f>
        <v>0.8679</v>
      </c>
      <c r="D15" s="2760"/>
      <c r="E15" s="2760"/>
      <c r="F15" s="2761"/>
    </row>
    <row r="16" spans="1:18">
      <c r="A16" s="2762" t="s">
        <v>2515</v>
      </c>
      <c r="B16" s="2765"/>
      <c r="C16" s="2765"/>
      <c r="D16" s="2760"/>
      <c r="E16" s="2760"/>
      <c r="F16" s="2761"/>
    </row>
    <row r="17" spans="1:13">
      <c r="A17" s="2762" t="s">
        <v>2514</v>
      </c>
      <c r="B17" s="2770">
        <v>4810</v>
      </c>
      <c r="C17" s="2764"/>
      <c r="D17" s="2760"/>
      <c r="E17" s="2760"/>
      <c r="F17" s="2761"/>
    </row>
    <row r="18" spans="1:13" ht="14.25" thickBot="1">
      <c r="A18" s="2772" t="s">
        <v>2513</v>
      </c>
      <c r="B18" s="2773">
        <f>ROUND(B17*F11/F12,2)</f>
        <v>5541.87</v>
      </c>
      <c r="C18" s="2773">
        <f>ROUND(F11/F12,4)</f>
        <v>1.1521999999999999</v>
      </c>
      <c r="D18" s="2774"/>
      <c r="E18" s="2774"/>
      <c r="F18" s="2775"/>
    </row>
    <row r="19" spans="1:13" ht="14.25" thickBot="1"/>
    <row r="20" spans="1:13" s="2808" customFormat="1" ht="14.25" thickTop="1">
      <c r="A20" s="2805" t="s">
        <v>2516</v>
      </c>
      <c r="B20" s="2806"/>
      <c r="C20" s="2806"/>
      <c r="D20" s="2806"/>
      <c r="E20" s="2806"/>
      <c r="F20" s="2806"/>
      <c r="G20" s="2807"/>
      <c r="I20" s="2809" t="s">
        <v>2561</v>
      </c>
      <c r="J20" s="2809" t="s">
        <v>2566</v>
      </c>
      <c r="K20" s="2809"/>
      <c r="L20" s="2809"/>
      <c r="M20" s="2809"/>
    </row>
    <row r="21" spans="1:13">
      <c r="A21" s="2776"/>
      <c r="B21" s="2777" t="s">
        <v>2517</v>
      </c>
      <c r="C21" s="2777" t="s">
        <v>2518</v>
      </c>
      <c r="D21" s="2777" t="s">
        <v>2519</v>
      </c>
      <c r="E21" s="2777" t="s">
        <v>2520</v>
      </c>
      <c r="F21" s="2777" t="s">
        <v>2521</v>
      </c>
      <c r="G21" s="2778" t="s">
        <v>2522</v>
      </c>
      <c r="I21" s="2799">
        <v>5</v>
      </c>
      <c r="J21" s="2799">
        <v>54.2</v>
      </c>
    </row>
    <row r="22" spans="1:13">
      <c r="A22" s="2776" t="s">
        <v>2523</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2524</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2564</v>
      </c>
      <c r="M23" s="2799" t="s">
        <v>2565</v>
      </c>
    </row>
    <row r="24" spans="1:13">
      <c r="A24" s="2776" t="s">
        <v>2525</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2563</v>
      </c>
      <c r="M24" s="2799">
        <v>10</v>
      </c>
    </row>
    <row r="25" spans="1:13">
      <c r="A25" s="2776" t="s">
        <v>2526</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2567</v>
      </c>
      <c r="M25" s="2799">
        <v>8</v>
      </c>
    </row>
    <row r="26" spans="1:13">
      <c r="A26" s="2781"/>
      <c r="B26" s="2782"/>
      <c r="C26" s="2782"/>
      <c r="D26" s="2782"/>
      <c r="E26" s="2782"/>
      <c r="F26" s="2782"/>
      <c r="G26" s="2783"/>
      <c r="I26" s="2799">
        <v>30</v>
      </c>
      <c r="J26" s="2799">
        <v>90.5</v>
      </c>
      <c r="K26" s="2799">
        <f t="shared" si="2"/>
        <v>4.2000000000000028</v>
      </c>
      <c r="L26" s="2799" t="s">
        <v>2568</v>
      </c>
      <c r="M26" s="2799">
        <v>5</v>
      </c>
    </row>
    <row r="27" spans="1:13">
      <c r="A27" s="2781" t="s">
        <v>2527</v>
      </c>
      <c r="B27" s="2782"/>
      <c r="C27" s="2782"/>
      <c r="D27" s="2782"/>
      <c r="E27" s="2782"/>
      <c r="F27" s="2782"/>
      <c r="G27" s="2783"/>
      <c r="I27" s="2799">
        <v>35</v>
      </c>
      <c r="J27" s="2799">
        <v>93.8</v>
      </c>
      <c r="K27" s="2799">
        <f t="shared" si="2"/>
        <v>3.2999999999999972</v>
      </c>
      <c r="L27" s="2799" t="s">
        <v>2569</v>
      </c>
      <c r="M27" s="2799">
        <v>3</v>
      </c>
    </row>
    <row r="28" spans="1:13">
      <c r="A28" s="2781" t="s">
        <v>2528</v>
      </c>
      <c r="B28" s="2782"/>
      <c r="C28" s="2782"/>
      <c r="D28" s="2782"/>
      <c r="E28" s="2782"/>
      <c r="F28" s="2782"/>
      <c r="G28" s="2783"/>
      <c r="I28" s="2799">
        <v>40</v>
      </c>
      <c r="J28" s="2799">
        <v>96.4</v>
      </c>
      <c r="K28" s="2799">
        <f t="shared" si="2"/>
        <v>2.6000000000000085</v>
      </c>
      <c r="L28" s="2799" t="s">
        <v>2570</v>
      </c>
      <c r="M28" s="2799">
        <v>2</v>
      </c>
    </row>
    <row r="29" spans="1:13">
      <c r="A29" s="2781" t="s">
        <v>2529</v>
      </c>
      <c r="B29" s="2782"/>
      <c r="C29" s="2782"/>
      <c r="D29" s="2782"/>
      <c r="E29" s="2782"/>
      <c r="F29" s="2782"/>
      <c r="G29" s="2783"/>
      <c r="I29" s="2799">
        <v>45</v>
      </c>
      <c r="J29" s="2799">
        <v>98.4</v>
      </c>
      <c r="K29" s="2799">
        <f t="shared" si="2"/>
        <v>2</v>
      </c>
    </row>
    <row r="30" spans="1:13">
      <c r="A30" s="2781" t="s">
        <v>2530</v>
      </c>
      <c r="B30" s="2782"/>
      <c r="C30" s="2782"/>
      <c r="D30" s="2782"/>
      <c r="E30" s="2782"/>
      <c r="F30" s="2782"/>
      <c r="G30" s="2783"/>
      <c r="I30" s="2799">
        <v>50</v>
      </c>
      <c r="J30" s="2799">
        <v>100</v>
      </c>
      <c r="K30" s="2799">
        <f t="shared" si="2"/>
        <v>1.5999999999999943</v>
      </c>
    </row>
    <row r="31" spans="1:13">
      <c r="A31" s="2781" t="s">
        <v>2531</v>
      </c>
      <c r="B31" s="2782"/>
      <c r="C31" s="2782"/>
      <c r="D31" s="2782"/>
      <c r="E31" s="2782"/>
      <c r="F31" s="2782"/>
      <c r="G31" s="2783"/>
      <c r="I31" s="2799" t="s">
        <v>2562</v>
      </c>
    </row>
    <row r="32" spans="1:13">
      <c r="A32" s="2781" t="s">
        <v>2532</v>
      </c>
      <c r="B32" s="2782"/>
      <c r="C32" s="2782"/>
      <c r="D32" s="2782"/>
      <c r="E32" s="2782"/>
      <c r="F32" s="2782"/>
      <c r="G32" s="2783"/>
    </row>
    <row r="33" spans="1:13">
      <c r="A33" s="2781" t="s">
        <v>2533</v>
      </c>
      <c r="B33" s="2782"/>
      <c r="C33" s="2782"/>
      <c r="D33" s="2782"/>
      <c r="E33" s="2782"/>
      <c r="F33" s="2782"/>
      <c r="G33" s="2783"/>
      <c r="I33" s="2799" t="s">
        <v>2561</v>
      </c>
      <c r="J33" s="2799" t="s">
        <v>2571</v>
      </c>
    </row>
    <row r="34" spans="1:13">
      <c r="A34" s="2781" t="s">
        <v>2534</v>
      </c>
      <c r="B34" s="2782"/>
      <c r="C34" s="2782"/>
      <c r="D34" s="2782"/>
      <c r="E34" s="2782"/>
      <c r="F34" s="2782"/>
      <c r="G34" s="2783"/>
      <c r="I34" s="2799">
        <v>5</v>
      </c>
      <c r="J34" s="2799">
        <v>55.1</v>
      </c>
    </row>
    <row r="35" spans="1:13">
      <c r="A35" s="2781" t="s">
        <v>2535</v>
      </c>
      <c r="B35" s="2782"/>
      <c r="C35" s="2782"/>
      <c r="D35" s="2782"/>
      <c r="E35" s="2782"/>
      <c r="F35" s="2782"/>
      <c r="G35" s="2783"/>
      <c r="I35" s="2799">
        <v>10</v>
      </c>
      <c r="J35" s="2799">
        <v>67</v>
      </c>
      <c r="K35" s="2799">
        <f>J35-J34</f>
        <v>11.899999999999999</v>
      </c>
    </row>
    <row r="36" spans="1:13">
      <c r="A36" s="2781" t="s">
        <v>2536</v>
      </c>
      <c r="B36" s="2782"/>
      <c r="C36" s="2782"/>
      <c r="D36" s="2782"/>
      <c r="E36" s="2782"/>
      <c r="F36" s="2782"/>
      <c r="G36" s="2783"/>
      <c r="I36" s="2799">
        <v>15</v>
      </c>
      <c r="J36" s="2799">
        <v>76.3</v>
      </c>
      <c r="K36" s="2799">
        <f t="shared" ref="K36:K41" si="3">J36-J35</f>
        <v>9.2999999999999972</v>
      </c>
      <c r="L36" s="2799" t="s">
        <v>2564</v>
      </c>
      <c r="M36" s="2799" t="s">
        <v>2565</v>
      </c>
    </row>
    <row r="37" spans="1:13">
      <c r="A37" s="2781" t="s">
        <v>2537</v>
      </c>
      <c r="B37" s="2782"/>
      <c r="C37" s="2782"/>
      <c r="D37" s="2782"/>
      <c r="E37" s="2782"/>
      <c r="F37" s="2782"/>
      <c r="G37" s="2783"/>
      <c r="I37" s="2799">
        <v>20</v>
      </c>
      <c r="J37" s="2799">
        <v>83.6</v>
      </c>
      <c r="K37" s="2799">
        <f t="shared" si="3"/>
        <v>7.2999999999999972</v>
      </c>
      <c r="L37" s="2799" t="s">
        <v>2563</v>
      </c>
      <c r="M37" s="2799">
        <v>10</v>
      </c>
    </row>
    <row r="38" spans="1:13">
      <c r="A38" s="2781" t="s">
        <v>2538</v>
      </c>
      <c r="B38" s="2782"/>
      <c r="C38" s="2782"/>
      <c r="D38" s="2782"/>
      <c r="E38" s="2782"/>
      <c r="F38" s="2782"/>
      <c r="G38" s="2783"/>
      <c r="I38" s="2799">
        <v>25</v>
      </c>
      <c r="J38" s="2799">
        <v>89.3</v>
      </c>
      <c r="K38" s="2799">
        <f t="shared" si="3"/>
        <v>5.7000000000000028</v>
      </c>
      <c r="L38" s="2799" t="s">
        <v>2567</v>
      </c>
      <c r="M38" s="2799">
        <v>8</v>
      </c>
    </row>
    <row r="39" spans="1:13">
      <c r="A39" s="2781"/>
      <c r="B39" s="2782"/>
      <c r="C39" s="2782"/>
      <c r="D39" s="2782"/>
      <c r="E39" s="2782"/>
      <c r="F39" s="2782"/>
      <c r="G39" s="2783"/>
      <c r="I39" s="2799">
        <v>30</v>
      </c>
      <c r="J39" s="2799">
        <v>93.8</v>
      </c>
      <c r="K39" s="2799">
        <f t="shared" si="3"/>
        <v>4.5</v>
      </c>
      <c r="L39" s="2799" t="s">
        <v>2568</v>
      </c>
      <c r="M39" s="2799">
        <v>6</v>
      </c>
    </row>
    <row r="40" spans="1:13">
      <c r="A40" s="2784" t="s">
        <v>2539</v>
      </c>
      <c r="B40" s="2785"/>
      <c r="C40" s="2785"/>
      <c r="D40" s="2785"/>
      <c r="E40" s="2785"/>
      <c r="F40" s="2785"/>
      <c r="G40" s="2786"/>
      <c r="I40" s="2799">
        <v>35</v>
      </c>
      <c r="J40" s="2799">
        <v>97.2</v>
      </c>
      <c r="K40" s="2799">
        <f t="shared" si="3"/>
        <v>3.4000000000000057</v>
      </c>
      <c r="L40" s="2799" t="s">
        <v>2569</v>
      </c>
      <c r="M40" s="2799">
        <v>3</v>
      </c>
    </row>
    <row r="41" spans="1:13">
      <c r="A41" s="2787" t="s">
        <v>2540</v>
      </c>
      <c r="B41" s="2788" t="s">
        <v>2541</v>
      </c>
      <c r="C41" s="2789" t="s">
        <v>2542</v>
      </c>
      <c r="D41" s="2789" t="s">
        <v>2543</v>
      </c>
      <c r="E41" s="2790"/>
      <c r="F41" s="2791"/>
      <c r="G41" s="2792"/>
      <c r="I41" s="2799">
        <v>40</v>
      </c>
      <c r="J41" s="2799">
        <v>100</v>
      </c>
      <c r="K41" s="2799">
        <f t="shared" si="3"/>
        <v>2.7999999999999972</v>
      </c>
    </row>
    <row r="42" spans="1:13">
      <c r="A42" s="2787" t="s">
        <v>2544</v>
      </c>
      <c r="B42" s="2788" t="s">
        <v>2545</v>
      </c>
      <c r="C42" s="2789" t="s">
        <v>2546</v>
      </c>
      <c r="D42" s="2793" t="s">
        <v>2547</v>
      </c>
      <c r="E42" s="2785" t="s">
        <v>2548</v>
      </c>
      <c r="F42" s="2785"/>
      <c r="G42" s="2786"/>
    </row>
    <row r="43" spans="1:13">
      <c r="A43" s="2787" t="s">
        <v>2549</v>
      </c>
      <c r="B43" s="2788" t="s">
        <v>2550</v>
      </c>
      <c r="C43" s="2789" t="s">
        <v>2551</v>
      </c>
      <c r="D43" s="2789" t="s">
        <v>2552</v>
      </c>
      <c r="E43" s="2790" t="s">
        <v>2553</v>
      </c>
      <c r="F43" s="2791"/>
      <c r="G43" s="2792"/>
      <c r="I43" s="2799" t="s">
        <v>2561</v>
      </c>
      <c r="J43" s="2799" t="s">
        <v>2572</v>
      </c>
    </row>
    <row r="44" spans="1:13">
      <c r="A44" s="2787" t="s">
        <v>2554</v>
      </c>
      <c r="B44" s="2788" t="s">
        <v>2555</v>
      </c>
      <c r="C44" s="2789" t="s">
        <v>2556</v>
      </c>
      <c r="D44" s="2793">
        <v>0.5</v>
      </c>
      <c r="E44" s="2790" t="s">
        <v>2557</v>
      </c>
      <c r="F44" s="2791"/>
      <c r="G44" s="2792"/>
      <c r="I44" s="2799">
        <v>30</v>
      </c>
      <c r="J44" s="2799">
        <v>81.7</v>
      </c>
    </row>
    <row r="45" spans="1:13" ht="14.25" thickBot="1">
      <c r="A45" s="2794" t="s">
        <v>2558</v>
      </c>
      <c r="B45" s="2795" t="s">
        <v>2545</v>
      </c>
      <c r="C45" s="2796" t="s">
        <v>2545</v>
      </c>
      <c r="D45" s="2796" t="s">
        <v>2559</v>
      </c>
      <c r="E45" s="2797" t="s">
        <v>2560</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23" sqref="F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1" t="str">
        <f>IF(B10="北京市","北京市",C10)&amp;F10&amp;IF(结果表!G1="在建","出让国有建设用地使用权及在建建筑物",IF(结果表!G1="土地","出让国有建设用地使用权",))&amp;B9&amp;"预评估"</f>
        <v>北京市房地产抵押价值预评估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44988</v>
      </c>
      <c r="C3" s="2186" t="s">
        <v>2171</v>
      </c>
      <c r="D3" s="2185">
        <f>B3</f>
        <v>44988</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3373</v>
      </c>
      <c r="C8" s="2201"/>
      <c r="D8" s="3204" t="s">
        <v>2177</v>
      </c>
      <c r="E8" s="2202"/>
      <c r="F8" s="2203"/>
      <c r="G8" s="2441"/>
      <c r="H8" s="2441"/>
      <c r="I8" s="2441"/>
      <c r="J8" s="2245"/>
      <c r="K8" s="2399"/>
      <c r="L8" s="2398"/>
      <c r="M8" s="2398"/>
      <c r="N8" s="2245"/>
      <c r="O8" s="1670"/>
      <c r="P8" s="2245"/>
      <c r="Q8" s="2245"/>
      <c r="R8" s="2245"/>
    </row>
    <row r="9" spans="1:30" ht="13.5" thickBot="1">
      <c r="A9" s="2204" t="s">
        <v>2178</v>
      </c>
      <c r="B9" s="2205" t="s">
        <v>3374</v>
      </c>
      <c r="C9" s="2206"/>
      <c r="D9" s="3205"/>
      <c r="E9" s="2205"/>
      <c r="F9" s="2207"/>
      <c r="G9" s="2442"/>
      <c r="H9" s="2442"/>
      <c r="I9" s="2442"/>
      <c r="J9" s="2245"/>
      <c r="K9" s="2401"/>
      <c r="L9" s="2398"/>
      <c r="M9" s="2398"/>
      <c r="N9" s="2245"/>
      <c r="O9" s="1670"/>
      <c r="P9" s="2245"/>
      <c r="Q9" s="2245"/>
      <c r="R9" s="2245"/>
    </row>
    <row r="10" spans="1:30" ht="13.5" thickTop="1">
      <c r="A10" s="2208" t="s">
        <v>2179</v>
      </c>
      <c r="B10" s="2209" t="s">
        <v>3375</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3376</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2573</v>
      </c>
      <c r="J12" s="2802"/>
      <c r="K12" s="2398"/>
      <c r="L12" s="2398"/>
      <c r="M12" s="2245"/>
      <c r="N12" s="1670"/>
      <c r="O12" s="2245"/>
      <c r="P12" s="2245"/>
      <c r="Q12" s="2245"/>
      <c r="AD12" s="1618"/>
    </row>
    <row r="13" spans="1:30">
      <c r="A13" s="3121" t="s">
        <v>3333</v>
      </c>
      <c r="B13" s="2218" t="s">
        <v>2190</v>
      </c>
      <c r="C13" s="803"/>
      <c r="D13" s="803"/>
      <c r="E13" s="803">
        <v>55735</v>
      </c>
      <c r="F13" s="803"/>
      <c r="G13" s="803"/>
      <c r="H13" s="803"/>
      <c r="I13" s="803"/>
      <c r="J13" s="2802"/>
      <c r="K13" s="2398"/>
      <c r="L13" s="2398"/>
      <c r="M13" s="2245"/>
      <c r="N13" s="1670"/>
      <c r="O13" s="2245"/>
      <c r="P13" s="2245"/>
      <c r="Q13" s="2245"/>
      <c r="AD13" s="1618"/>
    </row>
    <row r="14" spans="1:30">
      <c r="A14" s="1018"/>
      <c r="B14" s="2218" t="s">
        <v>2191</v>
      </c>
      <c r="C14" s="2219"/>
      <c r="D14" s="2219"/>
      <c r="E14" s="2219">
        <v>50</v>
      </c>
      <c r="F14" s="2219"/>
      <c r="G14" s="2219"/>
      <c r="H14" s="2219"/>
      <c r="I14" s="2219"/>
      <c r="J14" s="2803"/>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29.44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11"/>
      <c r="C16" s="3212"/>
      <c r="D16" s="3213"/>
      <c r="E16" s="2222" t="s">
        <v>2194</v>
      </c>
      <c r="F16" s="3214"/>
      <c r="G16" s="3215"/>
      <c r="H16" s="3215"/>
      <c r="I16" s="3216"/>
      <c r="J16" s="2245"/>
      <c r="K16" s="2402"/>
      <c r="L16" s="1670"/>
      <c r="M16" s="1670"/>
      <c r="N16" s="2245"/>
      <c r="O16" s="1670"/>
      <c r="P16" s="2245"/>
      <c r="Q16" s="2245"/>
      <c r="R16" s="2245"/>
    </row>
    <row r="17" spans="1:28">
      <c r="A17" s="305" t="s">
        <v>2195</v>
      </c>
      <c r="B17" s="294" t="s">
        <v>2196</v>
      </c>
      <c r="C17" s="8">
        <f>'数据-汇总表'!E3</f>
        <v>455.09</v>
      </c>
      <c r="D17" s="1256" t="s">
        <v>2197</v>
      </c>
      <c r="E17" s="3217" t="s">
        <v>3377</v>
      </c>
      <c r="F17" s="3218"/>
      <c r="G17" s="3218"/>
      <c r="H17" s="3218"/>
      <c r="I17" s="3219"/>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0"/>
      <c r="F18" s="3221"/>
      <c r="G18" s="3221"/>
      <c r="H18" s="3221"/>
      <c r="I18" s="3222"/>
      <c r="J18" s="2245"/>
      <c r="K18" s="2403"/>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2203</v>
      </c>
      <c r="B20" s="3207" t="s">
        <v>2204</v>
      </c>
      <c r="C20" s="3208"/>
      <c r="D20" s="3209" t="s">
        <v>2205</v>
      </c>
      <c r="E20" s="3210"/>
      <c r="F20" s="2429" t="s">
        <v>1056</v>
      </c>
      <c r="G20" s="2441"/>
      <c r="H20" s="2441"/>
      <c r="I20" s="2441"/>
      <c r="J20" s="2245"/>
      <c r="K20" s="320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2207</v>
      </c>
      <c r="C21" s="2295" t="s">
        <v>1057</v>
      </c>
      <c r="D21" s="1460" t="s">
        <v>2208</v>
      </c>
      <c r="E21" s="2418" t="s">
        <v>1057</v>
      </c>
      <c r="F21" s="2430"/>
      <c r="G21" s="2441"/>
      <c r="H21" s="2441"/>
      <c r="I21" s="2441"/>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1058</v>
      </c>
      <c r="D22" s="2441"/>
      <c r="E22" s="2441"/>
      <c r="F22" s="2441"/>
      <c r="G22" s="2441"/>
      <c r="H22" s="2441"/>
      <c r="I22" s="2441"/>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195" t="s">
        <v>2212</v>
      </c>
      <c r="B27" s="312" t="s">
        <v>2213</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195"/>
      <c r="B28" s="294" t="s">
        <v>2214</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195"/>
      <c r="B29" s="294" t="s">
        <v>2215</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196"/>
      <c r="B30" s="294" t="s">
        <v>2216</v>
      </c>
      <c r="C30" s="3197"/>
      <c r="D30" s="3198"/>
      <c r="E30" s="2441"/>
      <c r="F30" s="2441"/>
      <c r="G30" s="2441"/>
      <c r="H30" s="2441"/>
      <c r="I30" s="2441"/>
      <c r="J30" s="2245"/>
      <c r="K30" s="2401"/>
      <c r="L30" s="2398"/>
      <c r="M30" s="2398"/>
      <c r="N30" s="2245"/>
      <c r="O30" s="1670"/>
      <c r="P30" s="2245"/>
      <c r="Q30" s="2245"/>
      <c r="R30" s="2245"/>
      <c r="S30" s="2245"/>
      <c r="T30" s="2245"/>
      <c r="U30" s="2245"/>
      <c r="V30" s="2245"/>
    </row>
    <row r="31" spans="1:28">
      <c r="A31" s="3199" t="s">
        <v>2217</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00"/>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00"/>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2218</v>
      </c>
      <c r="B34" s="1870"/>
      <c r="C34" s="1870"/>
      <c r="D34" s="1870"/>
      <c r="E34" s="1870"/>
      <c r="F34" s="1870"/>
      <c r="G34" s="1870"/>
      <c r="H34" s="1870"/>
      <c r="I34" s="2441"/>
      <c r="J34" s="2245"/>
      <c r="K34" s="8">
        <f>COUNTIF(B34:H34,"——")</f>
        <v>0</v>
      </c>
      <c r="L34" s="315" t="s">
        <v>2219</v>
      </c>
      <c r="M34" s="315" t="s">
        <v>2220</v>
      </c>
      <c r="N34" s="315" t="s">
        <v>2221</v>
      </c>
      <c r="O34" s="315" t="s">
        <v>2222</v>
      </c>
      <c r="P34" s="315" t="s">
        <v>2223</v>
      </c>
      <c r="Q34" s="315" t="s">
        <v>2224</v>
      </c>
      <c r="R34" s="315" t="s">
        <v>2225</v>
      </c>
      <c r="S34" s="3194" t="s">
        <v>2226</v>
      </c>
      <c r="T34" s="315" t="str">
        <f>NUMBERSTRING(7-K34,1)&amp;"通"</f>
        <v>七通</v>
      </c>
      <c r="U34" s="2245"/>
      <c r="V34" s="2245"/>
    </row>
    <row r="35" spans="1:30">
      <c r="A35" s="2236"/>
      <c r="B35" s="3194" t="s">
        <v>2227</v>
      </c>
      <c r="C35" s="3194"/>
      <c r="D35" s="3194"/>
      <c r="E35" s="3194"/>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2576</v>
      </c>
      <c r="G36" s="2441"/>
      <c r="H36" s="2441"/>
      <c r="I36" s="2441"/>
      <c r="J36" s="2245"/>
      <c r="K36" s="2401"/>
      <c r="L36" s="2398"/>
      <c r="M36" s="2398"/>
      <c r="N36" s="2245"/>
      <c r="O36" s="1670"/>
      <c r="P36" s="2245"/>
      <c r="Q36" s="2245"/>
      <c r="R36" s="2245"/>
      <c r="S36" s="2245"/>
      <c r="T36" s="2245"/>
      <c r="U36" s="2245"/>
      <c r="V36" s="2245"/>
    </row>
    <row r="37" spans="1:30">
      <c r="A37" s="2414" t="s">
        <v>2228</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2229</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6" sqref="G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455.09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455.09</v>
      </c>
      <c r="H5" s="13">
        <f t="shared" ref="H5:AT5" si="0">SUM(H13:H656)</f>
        <v>455.09</v>
      </c>
      <c r="I5" s="13">
        <f t="shared" si="0"/>
        <v>455.09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455.09</v>
      </c>
      <c r="BA5" s="15">
        <f t="shared" si="1"/>
        <v>455.09</v>
      </c>
      <c r="BB5" s="15">
        <f t="shared" si="1"/>
        <v>455.09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3380</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3378</v>
      </c>
      <c r="E13" s="13">
        <f>IF($C$3="是",ROUND($A$3*G13/$B$3,2),ROUND($A$3*(G13-AT13)/$B$3,2))</f>
        <v>0</v>
      </c>
      <c r="F13" s="29"/>
      <c r="G13" s="30">
        <f>H13+AC13+AT13</f>
        <v>455.09</v>
      </c>
      <c r="H13" s="17">
        <f>SUMIF(I$12:AB$12,"总值",I13:AB13)</f>
        <v>455.09</v>
      </c>
      <c r="I13" s="1514">
        <v>455.09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455.09</v>
      </c>
      <c r="BA13" s="13">
        <f>SUM(BB13:BK13)</f>
        <v>455.09</v>
      </c>
      <c r="BB13" s="13">
        <f>IF($D13="是",I13-J13,0)</f>
        <v>455.09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Normal="100" zoomScaleSheetLayoutView="100" workbookViewId="0">
      <selection activeCell="F15" sqref="F1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2" t="s">
        <v>1131</v>
      </c>
      <c r="B2" s="3232"/>
      <c r="C2" s="3232"/>
      <c r="D2" s="748" t="s">
        <v>1107</v>
      </c>
      <c r="E2" s="1523" t="s">
        <v>1108</v>
      </c>
      <c r="F2" s="2438"/>
      <c r="G2" s="2431"/>
      <c r="H2" s="2432"/>
      <c r="I2" s="2146" t="s">
        <v>1132</v>
      </c>
      <c r="J2" s="2438"/>
      <c r="K2" s="2438"/>
      <c r="L2" s="2438"/>
      <c r="M2" s="2438"/>
      <c r="N2" s="2439"/>
      <c r="O2" s="2438"/>
      <c r="P2" s="2438"/>
    </row>
    <row r="3" spans="1:16" ht="15.75" thickBot="1">
      <c r="A3" s="3233" t="s">
        <v>1105</v>
      </c>
      <c r="B3" s="3233"/>
      <c r="C3" s="3233"/>
      <c r="D3" s="41">
        <f>'数据-基础表'!AY6</f>
        <v>0</v>
      </c>
      <c r="E3" s="41">
        <f>'数据-基础表'!AZ5</f>
        <v>455.09</v>
      </c>
      <c r="F3" s="2438"/>
      <c r="G3" s="42"/>
      <c r="H3" s="43" t="s">
        <v>1106</v>
      </c>
      <c r="I3" s="802" t="e">
        <f>ROUND('数据-基础表'!B3/'数据-基础表'!A3,2)</f>
        <v>#DIV/0!</v>
      </c>
      <c r="J3" s="2438"/>
      <c r="K3" s="2438"/>
      <c r="L3" s="2438"/>
      <c r="M3" s="2438"/>
      <c r="N3" s="2439"/>
      <c r="O3" s="2438"/>
      <c r="P3" s="2438"/>
    </row>
    <row r="4" spans="1:16" ht="15">
      <c r="A4" s="3234"/>
      <c r="B4" s="3235"/>
      <c r="C4" s="323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37" t="s">
        <v>1110</v>
      </c>
      <c r="C5" s="323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37" t="s">
        <v>1111</v>
      </c>
      <c r="C6" s="3237"/>
      <c r="D6" s="43">
        <f>ROUND($D$3*E6/$E$3,2)</f>
        <v>0</v>
      </c>
      <c r="E6" s="44">
        <f>E3-E5</f>
        <v>455.09</v>
      </c>
      <c r="F6" s="2438"/>
      <c r="G6" s="1529" t="s">
        <v>1112</v>
      </c>
      <c r="H6" s="45" t="s">
        <v>1113</v>
      </c>
      <c r="I6" s="2434" t="e">
        <f>ROUND(F31/D31,2)</f>
        <v>#DIV/0!</v>
      </c>
      <c r="J6" s="2438"/>
      <c r="K6" s="2438"/>
      <c r="L6" s="2438"/>
      <c r="M6" s="2438"/>
      <c r="N6" s="2438"/>
      <c r="O6" s="2438"/>
      <c r="P6" s="2438"/>
    </row>
    <row r="7" spans="1:16" ht="15.75" thickBot="1">
      <c r="A7" s="3229"/>
      <c r="B7" s="3230"/>
      <c r="C7" s="3231"/>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455.09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455.09</v>
      </c>
      <c r="F16" s="2438"/>
      <c r="G16" s="2438"/>
      <c r="H16" s="1531" t="s">
        <v>1135</v>
      </c>
      <c r="I16" s="1532"/>
      <c r="J16" s="1071"/>
      <c r="K16" s="3226" t="s">
        <v>1135</v>
      </c>
      <c r="L16" s="3227"/>
      <c r="M16" s="3227"/>
      <c r="N16" s="3227"/>
      <c r="O16" s="3227"/>
      <c r="P16" s="3228"/>
    </row>
    <row r="17" spans="1:19" ht="15">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3381</v>
      </c>
      <c r="D19" s="43">
        <f>ROUND($D$3*E19/$E$3,2)</f>
        <v>0</v>
      </c>
      <c r="E19" s="51">
        <f t="shared" ref="E19:E26" si="1">SUM(F19:G19)</f>
        <v>455.09</v>
      </c>
      <c r="F19" s="2557">
        <f>'数据-基础表'!I13</f>
        <v>455.09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455.09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455.09</v>
      </c>
      <c r="F27" s="1072">
        <f>IF(SUM(F19:F26)=E8,SUM(F19:F26),"地上面积有误")</f>
        <v>455.09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455.09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455.09</v>
      </c>
      <c r="F31" s="644">
        <f>F27+F30</f>
        <v>455.09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44988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办公楼</v>
      </c>
      <c r="B6" s="1587" t="str">
        <f>IF(A6=0,"","经营性")</f>
        <v>经营性</v>
      </c>
      <c r="C6" s="1588" t="s">
        <v>21</v>
      </c>
      <c r="D6" s="805">
        <f>SUMIF(项目基本情况!C$12:I$12,C6,项目基本情况!C$14:I$14)</f>
        <v>50</v>
      </c>
      <c r="E6" s="804">
        <f>IF(B6="","",SUMIF(项目基本情况!C$12:I$12,C6,项目基本情况!C$13:I$13))</f>
        <v>55735</v>
      </c>
      <c r="F6" s="61">
        <f>SUMIF(项目基本情况!C$12:I$12,C6,项目基本情况!C$15:I$15)</f>
        <v>29.44</v>
      </c>
      <c r="G6" s="62">
        <f>IF(ISERROR(ROUND(POWER(1+H6,D6-F6)*(POWER(1+H6,F6)-1)/(POWER(1+H6,D6)-1),3)),0,ROUND(POWER(1+H6,D6-F6)*(POWER(1+H6,F6)-1)/(POWER(1+H6,D6)-1),3))</f>
        <v>0.83499999999999996</v>
      </c>
      <c r="H6" s="691">
        <v>0.05</v>
      </c>
      <c r="I6" s="691">
        <v>5.5E-2</v>
      </c>
      <c r="J6" s="63">
        <v>0.08</v>
      </c>
      <c r="K6" s="970">
        <f>SUMIF('数据-汇总表'!C$19:C$33,A6,'数据-汇总表'!E$19:E$33)</f>
        <v>455.09</v>
      </c>
      <c r="L6" s="692">
        <v>3500</v>
      </c>
      <c r="M6" s="64">
        <f t="shared" ref="M6:M14" si="0">ROUND(K6*L6/10000,0)</f>
        <v>159</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'比较法-办公 (租金)'!C49</f>
        <v>8.4</v>
      </c>
      <c r="V6" s="67">
        <v>0.03</v>
      </c>
      <c r="W6" s="67">
        <v>0.1</v>
      </c>
      <c r="X6" s="979"/>
      <c r="Y6" s="68">
        <f>N6</f>
        <v>0.7</v>
      </c>
      <c r="Z6" s="69"/>
      <c r="AA6" s="63"/>
      <c r="AB6" s="63"/>
      <c r="AC6" s="979"/>
      <c r="AD6" s="70"/>
      <c r="AE6" s="980">
        <f ca="1">IF(AN6="",0,SUMIF(INDIRECT("'"&amp;AN6&amp;"'"&amp;"!E:E"),$AE$5,INDIRECT("'"&amp;AN6&amp;"'"&amp;"!F:F")))</f>
        <v>29.44</v>
      </c>
      <c r="AF6" s="74"/>
      <c r="AG6" s="130">
        <f>IF(AF6="",0,AE6-AF6)</f>
        <v>0</v>
      </c>
      <c r="AH6" s="71"/>
      <c r="AI6" s="73">
        <v>365</v>
      </c>
      <c r="AJ6" s="74"/>
      <c r="AK6" s="3488">
        <v>0.01</v>
      </c>
      <c r="AL6" s="3489">
        <v>1E-3</v>
      </c>
      <c r="AM6" s="77">
        <v>1.4999999999999999E-2</v>
      </c>
      <c r="AN6" s="1589" t="s">
        <v>3383</v>
      </c>
      <c r="AO6" s="50">
        <f ca="1">SUMIF(INDIRECT("'"&amp;AN6&amp;"'"&amp;"!A:A"),"总价",INDIRECT("'"&amp;AN6&amp;"'"&amp;"!B:B"))</f>
        <v>2167.8602999999998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0.83499999999999996</v>
      </c>
      <c r="H16" s="84">
        <f>ROUND(SUMPRODUCT(H6:H13,K6:K13)/SUMPRODUCT((H6:H13&gt;0)*(K6:K13)),3)</f>
        <v>0.05</v>
      </c>
      <c r="I16" s="85"/>
      <c r="J16" s="85"/>
      <c r="K16" s="86">
        <f>SUM(K6:K15)</f>
        <v>455.09</v>
      </c>
      <c r="L16" s="87">
        <f>ROUND(M16*10000/SUM(K6:K14),0)</f>
        <v>3494</v>
      </c>
      <c r="M16" s="87">
        <f>SUM(M6:M14)</f>
        <v>159</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2299</v>
      </c>
      <c r="D19" s="2451"/>
      <c r="E19" s="2438"/>
      <c r="F19" s="2438"/>
      <c r="G19" s="2438"/>
      <c r="H19" s="2438"/>
      <c r="I19" s="2438"/>
      <c r="J19" s="2438"/>
      <c r="K19" s="2449"/>
      <c r="L19" s="2449"/>
      <c r="M19" s="2448"/>
      <c r="N19" s="2448">
        <f>2023-2005</f>
        <v>18</v>
      </c>
      <c r="O19" s="2448">
        <f>42/60</f>
        <v>0.7</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2297</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2301</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2288</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2289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2290</v>
      </c>
      <c r="D34" s="2459" t="s">
        <v>2298</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3388</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2294</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2295</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2294</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2296</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2300</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38" t="s">
        <v>2280</v>
      </c>
      <c r="B1" s="3239"/>
      <c r="C1" s="3239"/>
      <c r="D1" s="3239"/>
      <c r="E1" s="3239"/>
      <c r="F1" s="3239"/>
      <c r="G1" s="32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2276</v>
      </c>
      <c r="D2" s="1595"/>
      <c r="E2" s="2260"/>
      <c r="F2" s="2263"/>
      <c r="G2" s="2262" t="s">
        <v>2277</v>
      </c>
      <c r="H2" s="751"/>
      <c r="I2" s="751"/>
      <c r="J2" s="751"/>
      <c r="K2" s="751"/>
      <c r="L2" s="751"/>
      <c r="M2" s="751"/>
      <c r="N2" s="751"/>
      <c r="O2" s="751"/>
      <c r="P2" s="751"/>
      <c r="Q2" s="751"/>
    </row>
    <row r="3" spans="1:29" ht="25.5">
      <c r="A3" s="2247" t="s">
        <v>2278</v>
      </c>
      <c r="B3" s="2264" t="s">
        <v>2250</v>
      </c>
      <c r="C3" s="2265"/>
      <c r="D3" s="2266"/>
      <c r="E3" s="2248" t="s">
        <v>2278</v>
      </c>
      <c r="F3" s="2267" t="s">
        <v>2251</v>
      </c>
      <c r="G3" s="2268" t="s">
        <v>2279</v>
      </c>
      <c r="H3" s="751"/>
      <c r="I3" s="751"/>
      <c r="J3" s="751"/>
      <c r="K3" s="751"/>
      <c r="L3" s="751"/>
      <c r="M3" s="751"/>
      <c r="N3" s="751"/>
      <c r="O3" s="751"/>
      <c r="P3" s="751"/>
      <c r="Q3" s="751"/>
    </row>
    <row r="4" spans="1:29" ht="36">
      <c r="A4" s="2248"/>
      <c r="B4" s="315" t="s">
        <v>2252</v>
      </c>
      <c r="C4" s="2269"/>
      <c r="D4" s="2266"/>
      <c r="E4" s="2270"/>
      <c r="F4" s="1281" t="s">
        <v>2253</v>
      </c>
      <c r="G4" s="2271" t="s">
        <v>2254</v>
      </c>
      <c r="H4" s="751"/>
      <c r="I4" s="751"/>
      <c r="J4" s="751"/>
      <c r="K4" s="751"/>
      <c r="L4" s="751"/>
      <c r="M4" s="751"/>
      <c r="N4" s="751"/>
      <c r="O4" s="751"/>
      <c r="P4" s="751"/>
      <c r="Q4" s="751"/>
    </row>
    <row r="5" spans="1:29" ht="24">
      <c r="A5" s="2248"/>
      <c r="B5" s="315" t="s">
        <v>2255</v>
      </c>
      <c r="C5" s="3144" t="s">
        <v>3385</v>
      </c>
      <c r="D5" s="2266"/>
      <c r="E5" s="2270"/>
      <c r="F5" s="315" t="s">
        <v>2256</v>
      </c>
      <c r="G5" s="2271" t="s">
        <v>2257</v>
      </c>
      <c r="H5" s="751"/>
      <c r="I5" s="751"/>
      <c r="J5" s="751"/>
      <c r="K5" s="751"/>
      <c r="L5" s="751"/>
      <c r="M5" s="751"/>
      <c r="N5" s="751"/>
      <c r="O5" s="751"/>
      <c r="P5" s="751"/>
      <c r="Q5" s="751"/>
    </row>
    <row r="6" spans="1:29">
      <c r="A6" s="2248"/>
      <c r="B6" s="315" t="s">
        <v>2258</v>
      </c>
      <c r="C6" s="3145" t="s">
        <v>3385</v>
      </c>
      <c r="D6" s="2266"/>
      <c r="E6" s="2270"/>
      <c r="F6" s="315" t="s">
        <v>2259</v>
      </c>
      <c r="G6" s="2271" t="s">
        <v>2260</v>
      </c>
      <c r="H6" s="751"/>
      <c r="I6" s="751"/>
      <c r="J6" s="751"/>
      <c r="K6" s="751"/>
      <c r="L6" s="751"/>
      <c r="M6" s="751"/>
      <c r="N6" s="751"/>
      <c r="O6" s="751"/>
      <c r="P6" s="751"/>
      <c r="Q6" s="751"/>
    </row>
    <row r="7" spans="1:29" ht="24.75" thickBot="1">
      <c r="A7" s="2248"/>
      <c r="B7" s="315" t="s">
        <v>2256</v>
      </c>
      <c r="C7" s="3145" t="s">
        <v>3385</v>
      </c>
      <c r="D7" s="2245"/>
      <c r="E7" s="2272"/>
      <c r="F7" s="2273" t="s">
        <v>2261</v>
      </c>
      <c r="G7" s="2274" t="s">
        <v>2262</v>
      </c>
      <c r="H7" s="751"/>
      <c r="I7" s="751"/>
      <c r="J7" s="751"/>
      <c r="K7" s="751"/>
      <c r="L7" s="751"/>
      <c r="M7" s="751"/>
      <c r="N7" s="751"/>
      <c r="O7" s="751"/>
      <c r="P7" s="751"/>
      <c r="Q7" s="751"/>
    </row>
    <row r="8" spans="1:29">
      <c r="A8" s="2248"/>
      <c r="B8" s="315" t="s">
        <v>2259</v>
      </c>
      <c r="C8" s="3145" t="s">
        <v>3386</v>
      </c>
      <c r="D8" s="2245"/>
      <c r="E8" s="2245"/>
      <c r="F8" s="121"/>
      <c r="G8" s="121"/>
      <c r="H8" s="751"/>
      <c r="I8" s="751"/>
      <c r="J8" s="751"/>
      <c r="K8" s="751"/>
      <c r="L8" s="751"/>
      <c r="M8" s="751"/>
      <c r="N8" s="751"/>
      <c r="O8" s="751"/>
      <c r="P8" s="751"/>
      <c r="Q8" s="751"/>
    </row>
    <row r="9" spans="1:29">
      <c r="A9" s="2248"/>
      <c r="B9" s="315" t="s">
        <v>2263</v>
      </c>
      <c r="C9" s="3144" t="s">
        <v>3387</v>
      </c>
      <c r="D9" s="2266"/>
      <c r="E9" s="2245"/>
      <c r="F9" s="121"/>
      <c r="G9" s="121"/>
      <c r="H9" s="751"/>
      <c r="I9" s="751"/>
      <c r="J9" s="751"/>
      <c r="K9" s="751"/>
      <c r="L9" s="751"/>
      <c r="M9" s="751"/>
      <c r="N9" s="751"/>
      <c r="O9" s="751"/>
      <c r="P9" s="751"/>
      <c r="Q9" s="751"/>
    </row>
    <row r="10" spans="1:29" ht="15" thickBot="1">
      <c r="A10" s="2249"/>
      <c r="B10" s="2275" t="s">
        <v>2264</v>
      </c>
      <c r="C10" s="3146" t="s">
        <v>3387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2281</v>
      </c>
      <c r="B13" s="2279"/>
      <c r="C13" s="2279"/>
      <c r="D13" s="2278"/>
      <c r="E13" s="2279"/>
      <c r="F13" s="2279"/>
      <c r="G13" s="2279"/>
    </row>
    <row r="14" spans="1:29" ht="15" thickBot="1">
      <c r="A14" s="2284"/>
      <c r="B14" s="2284"/>
      <c r="C14" s="2285" t="s">
        <v>2265</v>
      </c>
      <c r="D14" s="2266"/>
      <c r="E14" s="2286"/>
      <c r="F14" s="2286"/>
      <c r="G14" s="2262" t="s">
        <v>2266</v>
      </c>
    </row>
    <row r="15" spans="1:29" ht="25.5">
      <c r="A15" s="2250" t="s">
        <v>2267</v>
      </c>
      <c r="B15" s="2287" t="s">
        <v>2250</v>
      </c>
      <c r="C15" s="2288">
        <f>C3</f>
        <v>0</v>
      </c>
      <c r="D15" s="2266"/>
      <c r="E15" s="2251" t="s">
        <v>2268</v>
      </c>
      <c r="F15" s="2287" t="s">
        <v>2269</v>
      </c>
      <c r="G15" s="2289" t="str">
        <f>G3</f>
        <v>估价对象位于XX开发区，园区建设成熟度XX，产业集聚程度XX</v>
      </c>
    </row>
    <row r="16" spans="1:29" ht="38.25">
      <c r="A16" s="2252"/>
      <c r="B16" s="2290" t="s">
        <v>2252</v>
      </c>
      <c r="C16" s="2291">
        <f>C4</f>
        <v>0</v>
      </c>
      <c r="D16" s="2266"/>
      <c r="E16" s="2253"/>
      <c r="F16" s="2292" t="s">
        <v>2253</v>
      </c>
      <c r="G16" s="2293" t="str">
        <f>G4</f>
        <v>估价对象周边道路状况、公共交通通达情况、停车便捷程度，综合评价交通便捷度较好</v>
      </c>
    </row>
    <row r="17" spans="1:17">
      <c r="A17" s="2252"/>
      <c r="B17" s="2290" t="s">
        <v>2255</v>
      </c>
      <c r="C17" s="2291" t="str">
        <f>C5</f>
        <v>好</v>
      </c>
      <c r="D17" s="2245"/>
      <c r="E17" s="2253"/>
      <c r="F17" s="2292" t="s">
        <v>2270</v>
      </c>
      <c r="G17" s="2294"/>
    </row>
    <row r="18" spans="1:17" ht="25.5">
      <c r="A18" s="2252"/>
      <c r="B18" s="2292" t="s">
        <v>2258</v>
      </c>
      <c r="C18" s="2293" t="str">
        <f>C6</f>
        <v>好</v>
      </c>
      <c r="D18" s="2245"/>
      <c r="E18" s="2253"/>
      <c r="F18" s="2292" t="s">
        <v>2261</v>
      </c>
      <c r="G18" s="2293" t="str">
        <f>G7</f>
        <v>该园区内是否有污染型企业，绿化情况，卫生条件，整体环境状况判断</v>
      </c>
    </row>
    <row r="19" spans="1:17" ht="25.5">
      <c r="A19" s="2252"/>
      <c r="B19" s="2292" t="s">
        <v>2271</v>
      </c>
      <c r="C19" s="2294"/>
      <c r="D19" s="2266"/>
      <c r="E19" s="2253"/>
      <c r="F19" s="315" t="s">
        <v>2256</v>
      </c>
      <c r="G19" s="2293" t="str">
        <f>G5</f>
        <v>估价对象所在区域公共配套设施齐备情况</v>
      </c>
    </row>
    <row r="20" spans="1:17">
      <c r="A20" s="2252"/>
      <c r="B20" s="2292" t="s">
        <v>2272</v>
      </c>
      <c r="C20" s="2291" t="str">
        <f>C9</f>
        <v>较好</v>
      </c>
      <c r="D20" s="2245"/>
      <c r="E20" s="2253"/>
      <c r="F20" s="315" t="s">
        <v>2259</v>
      </c>
      <c r="G20" s="2293" t="str">
        <f>G6</f>
        <v>估价对象所在区域基础设施水平</v>
      </c>
    </row>
    <row r="21" spans="1:17">
      <c r="A21" s="2252"/>
      <c r="B21" s="315" t="s">
        <v>2256</v>
      </c>
      <c r="C21" s="2293" t="str">
        <f>C7</f>
        <v>好</v>
      </c>
      <c r="D21" s="2266"/>
      <c r="E21" s="2253"/>
      <c r="F21" s="2292" t="s">
        <v>2273</v>
      </c>
      <c r="G21" s="2295"/>
    </row>
    <row r="22" spans="1:17" ht="13.5" customHeight="1">
      <c r="A22" s="2252"/>
      <c r="B22" s="315" t="s">
        <v>2259</v>
      </c>
      <c r="C22" s="2293" t="str">
        <f>C8</f>
        <v>七通</v>
      </c>
      <c r="D22" s="2266"/>
      <c r="E22" s="2253"/>
      <c r="F22" s="2292" t="s">
        <v>2264</v>
      </c>
      <c r="G22" s="2294"/>
    </row>
    <row r="23" spans="1:17" s="751" customFormat="1" ht="15" thickBot="1">
      <c r="A23" s="2252"/>
      <c r="B23" s="2292" t="s">
        <v>2273</v>
      </c>
      <c r="C23" s="2295"/>
      <c r="D23" s="1614"/>
      <c r="E23" s="2254"/>
      <c r="F23" s="2296" t="s">
        <v>2274</v>
      </c>
      <c r="G23" s="2297"/>
      <c r="H23" s="2276"/>
      <c r="I23" s="2276"/>
      <c r="J23" s="2276"/>
      <c r="K23" s="2276"/>
      <c r="L23" s="2276"/>
      <c r="M23" s="2276"/>
      <c r="N23" s="2276"/>
      <c r="O23" s="2276"/>
      <c r="P23" s="2276"/>
      <c r="Q23" s="2276"/>
    </row>
    <row r="24" spans="1:17" s="751" customFormat="1" ht="15" thickBot="1">
      <c r="A24" s="2255"/>
      <c r="B24" s="2296" t="s">
        <v>2275</v>
      </c>
      <c r="C24" s="2298" t="str">
        <f>C10</f>
        <v>较好</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1"/>
  <sheetViews>
    <sheetView view="pageBreakPreview" zoomScale="80" zoomScaleNormal="80" zoomScaleSheetLayoutView="80" workbookViewId="0">
      <selection activeCell="E32" sqref="E32"/>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455.09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44988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2234</v>
      </c>
      <c r="C5" s="2299">
        <f ca="1">IF(B5=D14,结果表!H102,ROUND(B5*10000/$B$1,0))</f>
        <v>49089</v>
      </c>
      <c r="D5" s="2299" t="e">
        <f ca="1">ROUND(B5*10000/$B$2,0)</f>
        <v>#DIV/0!</v>
      </c>
      <c r="E5" s="2461"/>
      <c r="F5" s="2462"/>
      <c r="G5" s="2462"/>
      <c r="H5" s="2462"/>
      <c r="I5" s="2462"/>
      <c r="J5" s="2462"/>
      <c r="K5" s="2462"/>
    </row>
    <row r="6" spans="1:11" ht="16.5">
      <c r="A6" s="2299" t="s">
        <v>656</v>
      </c>
      <c r="B6" s="2299">
        <f>SUM(G14:G23)</f>
        <v>0</v>
      </c>
      <c r="C6" s="2299">
        <f ca="1">IF(B6=G14,结果表!H108,ROUND(B6*10000/$B$1,0))</f>
        <v>49089</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3357</v>
      </c>
      <c r="D10" s="2299" t="s">
        <v>3358</v>
      </c>
      <c r="E10" s="3136"/>
      <c r="F10" s="3140" t="s">
        <v>3359</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455.09</v>
      </c>
      <c r="C14" s="2305"/>
      <c r="D14" s="2305">
        <f ca="1">ROUND(E14*B14/10000,0)</f>
        <v>2234</v>
      </c>
      <c r="E14" s="2305">
        <f ca="1">结果表!G20</f>
        <v>49079</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row r="31" spans="1:11">
      <c r="D31" s="2300">
        <f ca="1">D14/10000</f>
        <v>0.22339999999999999</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E28" sqref="E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4" t="str">
        <f>项目基本情况!S2</f>
        <v>北京市房地产</v>
      </c>
      <c r="B2" s="3275"/>
      <c r="C2" s="3275"/>
      <c r="D2" s="3275"/>
      <c r="E2" s="3275"/>
      <c r="F2" s="3275"/>
      <c r="G2" s="3275"/>
      <c r="H2" s="3275"/>
      <c r="I2" s="3276"/>
    </row>
    <row r="3" spans="1:12" ht="12.75">
      <c r="A3" s="3278" t="s">
        <v>1264</v>
      </c>
      <c r="B3" s="3279"/>
      <c r="C3" s="3279"/>
      <c r="D3" s="3279"/>
      <c r="E3" s="3279"/>
      <c r="F3" s="3279"/>
      <c r="G3" s="3279"/>
      <c r="H3" s="3279"/>
      <c r="I3" s="3279"/>
    </row>
    <row r="4" spans="1:12" ht="14.25">
      <c r="A4" s="1624" t="s">
        <v>1265</v>
      </c>
      <c r="B4" s="1625" t="s">
        <v>1266</v>
      </c>
      <c r="C4" s="1626" t="s">
        <v>3436</v>
      </c>
      <c r="D4" s="1626" t="s">
        <v>3383</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4" t="s">
        <v>1268</v>
      </c>
      <c r="B5" s="3241">
        <v>25</v>
      </c>
      <c r="C5" s="3257"/>
      <c r="D5" s="3277"/>
      <c r="E5" s="123" t="s">
        <v>1269</v>
      </c>
      <c r="F5" s="1627"/>
      <c r="G5" s="1627"/>
      <c r="H5" s="1627"/>
      <c r="I5" s="1281"/>
    </row>
    <row r="6" spans="1:12" ht="12.75">
      <c r="A6" s="3254"/>
      <c r="B6" s="3241"/>
      <c r="C6" s="3258"/>
      <c r="D6" s="3277"/>
      <c r="E6" s="123" t="s">
        <v>1270</v>
      </c>
      <c r="F6" s="1627"/>
      <c r="G6" s="1627"/>
      <c r="H6" s="1627"/>
      <c r="I6" s="1281"/>
    </row>
    <row r="7" spans="1:12" ht="12.75">
      <c r="A7" s="3254"/>
      <c r="B7" s="3241"/>
      <c r="C7" s="3259"/>
      <c r="D7" s="3277"/>
      <c r="E7" s="123" t="s">
        <v>1271</v>
      </c>
      <c r="F7" s="1627"/>
      <c r="G7" s="1627"/>
      <c r="H7" s="1627"/>
      <c r="I7" s="1281"/>
    </row>
    <row r="8" spans="1:12" ht="12.75">
      <c r="A8" s="3254" t="s">
        <v>1272</v>
      </c>
      <c r="B8" s="3241">
        <v>15</v>
      </c>
      <c r="C8" s="3257"/>
      <c r="D8" s="3277"/>
      <c r="E8" s="123" t="s">
        <v>1273</v>
      </c>
      <c r="F8" s="1627"/>
      <c r="G8" s="1627"/>
      <c r="H8" s="1627"/>
      <c r="I8" s="1281"/>
    </row>
    <row r="9" spans="1:12" ht="12.75">
      <c r="A9" s="3254"/>
      <c r="B9" s="3241"/>
      <c r="C9" s="3259"/>
      <c r="D9" s="3277"/>
      <c r="E9" s="123" t="s">
        <v>1274</v>
      </c>
      <c r="F9" s="1627"/>
      <c r="G9" s="1627"/>
      <c r="H9" s="1627"/>
      <c r="I9" s="1281"/>
    </row>
    <row r="10" spans="1:12" ht="12.75">
      <c r="A10" s="3254" t="s">
        <v>1275</v>
      </c>
      <c r="B10" s="3241">
        <v>15</v>
      </c>
      <c r="C10" s="3257"/>
      <c r="D10" s="3277"/>
      <c r="E10" s="123" t="s">
        <v>1276</v>
      </c>
      <c r="F10" s="1627"/>
      <c r="G10" s="1627"/>
      <c r="H10" s="1627"/>
      <c r="I10" s="1281"/>
    </row>
    <row r="11" spans="1:12" ht="12.75">
      <c r="A11" s="3254"/>
      <c r="B11" s="3241"/>
      <c r="C11" s="3259"/>
      <c r="D11" s="3277"/>
      <c r="E11" s="123" t="s">
        <v>1277</v>
      </c>
      <c r="F11" s="1627"/>
      <c r="G11" s="1627"/>
      <c r="H11" s="1627"/>
      <c r="I11" s="1281"/>
    </row>
    <row r="12" spans="1:12" ht="12.75">
      <c r="A12" s="3254" t="s">
        <v>1278</v>
      </c>
      <c r="B12" s="3241">
        <v>15</v>
      </c>
      <c r="C12" s="3257"/>
      <c r="D12" s="3277"/>
      <c r="E12" s="123" t="s">
        <v>1279</v>
      </c>
      <c r="F12" s="1627"/>
      <c r="G12" s="1627"/>
      <c r="H12" s="1627"/>
      <c r="I12" s="1281"/>
    </row>
    <row r="13" spans="1:12" ht="12.75">
      <c r="A13" s="3254"/>
      <c r="B13" s="3241"/>
      <c r="C13" s="3259"/>
      <c r="D13" s="3277"/>
      <c r="E13" s="123" t="s">
        <v>1280</v>
      </c>
      <c r="F13" s="1627"/>
      <c r="G13" s="1627"/>
      <c r="H13" s="1627"/>
      <c r="I13" s="1281"/>
    </row>
    <row r="14" spans="1:12" ht="12.75">
      <c r="A14" s="3254" t="s">
        <v>1281</v>
      </c>
      <c r="B14" s="3241">
        <v>30</v>
      </c>
      <c r="C14" s="3257">
        <v>5</v>
      </c>
      <c r="D14" s="3277">
        <f>10-C14</f>
        <v>5</v>
      </c>
      <c r="E14" s="123" t="s">
        <v>1282</v>
      </c>
      <c r="F14" s="1627"/>
      <c r="G14" s="1627"/>
      <c r="H14" s="1627"/>
      <c r="I14" s="1281"/>
    </row>
    <row r="15" spans="1:12" ht="12.75">
      <c r="A15" s="3254"/>
      <c r="B15" s="3241"/>
      <c r="C15" s="3258"/>
      <c r="D15" s="3277"/>
      <c r="E15" s="123" t="s">
        <v>1283</v>
      </c>
      <c r="F15" s="1627"/>
      <c r="G15" s="1627"/>
      <c r="H15" s="1627"/>
      <c r="I15" s="1281"/>
    </row>
    <row r="16" spans="1:12" ht="12.75">
      <c r="A16" s="3254"/>
      <c r="B16" s="3241"/>
      <c r="C16" s="3259"/>
      <c r="D16" s="3277"/>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64" t="s">
        <v>2131</v>
      </c>
      <c r="F18" s="3265"/>
      <c r="G18" s="3265"/>
      <c r="H18" s="3265"/>
      <c r="I18" s="3265"/>
      <c r="K18" s="294" t="s">
        <v>1289</v>
      </c>
      <c r="L18" s="294">
        <f>IF(C1="",'数据-汇总表'!E3,SUMIF(项目类型,C1,'数据-汇总表'!E17:E26)+SUMIF(项目类型,C1,'数据-汇总表'!I17:I26))</f>
        <v>455.09</v>
      </c>
      <c r="M18" s="294">
        <f>IF(C1="",'数据-汇总表'!E3,SUMIF(项目类型,C1,'数据-汇总表'!E17:E26))</f>
        <v>455.09</v>
      </c>
    </row>
    <row r="19" spans="1:36" ht="15">
      <c r="A19" s="1630" t="s">
        <v>1290</v>
      </c>
      <c r="B19" s="1631" t="s">
        <v>1291</v>
      </c>
      <c r="C19" s="126">
        <f ca="1">SUMIF(INDIRECT("'"&amp;C4&amp;"'"&amp;"!A:A"),结果表!B19,INDIRECT("'"&amp;C4&amp;"'"&amp;"!B:B"))</f>
        <v>2299.1601999999998</v>
      </c>
      <c r="D19" s="127">
        <f ca="1">SUMIF(INDIRECT("'"&amp;D4&amp;"'"&amp;"!A:A"),结果表!B19,INDIRECT("'"&amp;D4&amp;"'"&amp;"!B:B"))</f>
        <v>2167.8602999999998</v>
      </c>
      <c r="E19" s="1630" t="s">
        <v>1292</v>
      </c>
      <c r="F19" s="1631" t="s">
        <v>1291</v>
      </c>
      <c r="G19" s="128">
        <f ca="1">ROUND(C19*$C$18+D19*$D$18,0)</f>
        <v>2234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50521</v>
      </c>
      <c r="D20" s="130">
        <f ca="1">SUMIF(INDIRECT("'"&amp;D4&amp;"'"&amp;"!A:A"),结果表!B20,INDIRECT("'"&amp;D4&amp;"'"&amp;"!B:B"))</f>
        <v>47636</v>
      </c>
      <c r="E20" s="1633"/>
      <c r="F20" s="43" t="s">
        <v>1295</v>
      </c>
      <c r="G20" s="131">
        <f ca="1">ROUND(C20*$C$18+D20*$D$18,0)</f>
        <v>49079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6.0566587247342429E-2</v>
      </c>
      <c r="E22" s="121"/>
      <c r="F22" s="121"/>
      <c r="G22" s="121"/>
      <c r="H22" s="121"/>
      <c r="I22" s="121"/>
    </row>
    <row r="23" spans="1:36" ht="13.5" thickBot="1">
      <c r="A23" s="646"/>
      <c r="B23" s="646"/>
      <c r="C23" s="646"/>
      <c r="D23" s="646"/>
      <c r="E23" s="121"/>
      <c r="F23" s="121"/>
      <c r="G23" s="121"/>
      <c r="H23" s="121"/>
      <c r="I23" s="121"/>
    </row>
    <row r="24" spans="1:36" ht="14.25">
      <c r="A24" s="3248" t="s">
        <v>1299</v>
      </c>
      <c r="B24" s="1631" t="s">
        <v>1291</v>
      </c>
      <c r="C24" s="128">
        <f>IF(B30=0,0,D30)</f>
        <v>0</v>
      </c>
      <c r="D24" s="1637"/>
      <c r="E24" s="121"/>
      <c r="F24" s="121"/>
      <c r="G24" s="121"/>
      <c r="H24" s="121"/>
      <c r="I24" s="121"/>
    </row>
    <row r="25" spans="1:36" ht="14.25">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2234</v>
      </c>
      <c r="D32" s="1641" t="s">
        <v>3439</v>
      </c>
      <c r="E32" s="121"/>
      <c r="F32" s="121"/>
      <c r="G32" s="121"/>
      <c r="H32" s="121"/>
      <c r="I32" s="121"/>
    </row>
    <row r="33" spans="1:15" ht="15">
      <c r="A33" s="740" t="s">
        <v>1306</v>
      </c>
      <c r="B33" s="123"/>
      <c r="C33" s="1642" t="s">
        <v>3440</v>
      </c>
      <c r="D33" s="1643" t="s">
        <v>3383</v>
      </c>
      <c r="E33" s="1644" t="s">
        <v>1307</v>
      </c>
      <c r="F33" s="1645" t="str">
        <f>IF(D32="楼面单价","取值（单价）","取值（总价）")</f>
        <v>取值（总价）</v>
      </c>
      <c r="G33" s="121"/>
      <c r="H33" s="121"/>
      <c r="I33" s="121"/>
    </row>
    <row r="34" spans="1:15" ht="15">
      <c r="A34" s="1646"/>
      <c r="B34" s="1647" t="s">
        <v>1308</v>
      </c>
      <c r="C34" s="140">
        <f ca="1">IF(C33="自定义",F34,C32-C35)</f>
        <v>1964</v>
      </c>
      <c r="D34" s="808">
        <f ca="1">IF(C33="自定义",ROUND(C34/C32,3),IF(C33="收益比率",SUMIF(INDIRECT("'"&amp;D33&amp;"'"&amp;"!b:b"),"土地收益比率",INDIRECT("'"&amp;D33&amp;"'"&amp;"!c:c")),SUMIF(INDIRECT("'"&amp;D33&amp;"'"&amp;"!b:b"),"土地成本比率",INDIRECT("'"&amp;D33&amp;"'"&amp;"!c:c"))))</f>
        <v>0.879</v>
      </c>
      <c r="E34" s="1648" t="s">
        <v>1309</v>
      </c>
      <c r="F34" s="1243"/>
      <c r="G34" s="121"/>
      <c r="H34" s="121"/>
      <c r="I34" s="121"/>
    </row>
    <row r="35" spans="1:15" ht="15.75" thickBot="1">
      <c r="A35" s="1649"/>
      <c r="B35" s="1650" t="s">
        <v>1310</v>
      </c>
      <c r="C35" s="1090">
        <f ca="1">IF(C33="自定义",F35,ROUND(C32*D35,0))</f>
        <v>270</v>
      </c>
      <c r="D35" s="1091">
        <f ca="1">IF(C33="自定义",ROUND(C35/C32,3),IF(C33="收益比率",SUMIF(INDIRECT("'"&amp;D33&amp;"'"&amp;"!b:b"),"建筑物收益比率",INDIRECT("'"&amp;D33&amp;"'"&amp;"!c:c")),SUMIF(INDIRECT("'"&amp;D33&amp;"'"&amp;"!b:b"),"建筑物成本比率",INDIRECT("'"&amp;D33&amp;"'"&amp;"!c:c"))))</f>
        <v>0.121</v>
      </c>
      <c r="E35" s="1651" t="s">
        <v>1311</v>
      </c>
      <c r="F35" s="146"/>
      <c r="G35" s="121"/>
      <c r="H35" s="121"/>
      <c r="I35" s="121"/>
    </row>
    <row r="36" spans="1:15" ht="15.75" thickBot="1">
      <c r="A36" s="3268" t="s">
        <v>1312</v>
      </c>
      <c r="B36" s="1652" t="s">
        <v>1313</v>
      </c>
      <c r="C36" s="137"/>
      <c r="D36" s="1653"/>
      <c r="E36" s="1567"/>
      <c r="F36" s="1654"/>
      <c r="G36" s="121"/>
      <c r="H36" s="121"/>
      <c r="I36" s="121"/>
    </row>
    <row r="37" spans="1:15" ht="15.75" thickBot="1">
      <c r="A37" s="3269"/>
      <c r="B37" s="1555" t="s">
        <v>1314</v>
      </c>
      <c r="C37" s="139"/>
      <c r="D37" s="1071"/>
      <c r="E37" s="1071"/>
      <c r="F37" s="1654"/>
      <c r="G37" s="121"/>
      <c r="H37" s="121"/>
      <c r="I37" s="121"/>
    </row>
    <row r="38" spans="1:15" ht="15.75" thickBot="1">
      <c r="A38" s="327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f ca="1">ROUND(H101*F45,0)</f>
        <v>2234</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09">
        <v>1</v>
      </c>
      <c r="K46" s="3304" t="s">
        <v>1331</v>
      </c>
      <c r="L46" s="3304"/>
      <c r="M46" s="3324"/>
      <c r="N46" s="3324"/>
      <c r="O46" s="3324"/>
    </row>
    <row r="47" spans="1:15" ht="12" customHeight="1">
      <c r="A47" s="152" t="s">
        <v>1332</v>
      </c>
      <c r="B47" s="153"/>
      <c r="C47" s="154"/>
      <c r="D47" s="1024" t="s">
        <v>1333</v>
      </c>
      <c r="E47" s="294" t="s">
        <v>1334</v>
      </c>
      <c r="F47" s="155" t="s">
        <v>1335</v>
      </c>
      <c r="G47" s="2332" t="s">
        <v>1336</v>
      </c>
      <c r="H47" s="2333"/>
      <c r="I47" s="151"/>
      <c r="J47" s="2309">
        <v>2</v>
      </c>
      <c r="K47" s="3304" t="s">
        <v>1337</v>
      </c>
      <c r="L47" s="3304"/>
      <c r="M47" s="3325">
        <f>'数据-取费表'!B2</f>
        <v>44988</v>
      </c>
      <c r="N47" s="3325"/>
      <c r="O47" s="3325"/>
    </row>
    <row r="48" spans="1:15" ht="25.5">
      <c r="A48" s="3273" t="s">
        <v>1338</v>
      </c>
      <c r="B48" s="3256"/>
      <c r="C48" s="325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04" t="s">
        <v>1340</v>
      </c>
      <c r="L48" s="3304"/>
      <c r="M48" s="3326">
        <f ca="1">H101</f>
        <v>2234</v>
      </c>
      <c r="N48" s="3326"/>
      <c r="O48" s="3326"/>
    </row>
    <row r="49" spans="1:35" ht="25.5" customHeight="1">
      <c r="A49" s="2152" t="s">
        <v>1341</v>
      </c>
      <c r="B49" s="3240" t="s">
        <v>1342</v>
      </c>
      <c r="C49" s="3240"/>
      <c r="D49" s="1478">
        <v>0</v>
      </c>
      <c r="E49" s="316" t="s">
        <v>1343</v>
      </c>
      <c r="F49" s="2233" t="s">
        <v>28</v>
      </c>
      <c r="G49" s="3310"/>
      <c r="H49" s="2134" t="s">
        <v>2134</v>
      </c>
      <c r="I49" s="2135"/>
      <c r="J49" s="2309">
        <v>4</v>
      </c>
      <c r="K49" s="3304" t="str">
        <f>IF(项目基本情况!E8="房地产抵押价值","房地产抵押价值","抵押担保权已注销时的房地产抵押价值")</f>
        <v>抵押担保权已注销时的房地产抵押价值</v>
      </c>
      <c r="L49" s="3304"/>
      <c r="M49" s="3326" t="str">
        <f>IF(项目基本情况!E8="房地产抵押价值",H107,H109)</f>
        <v>——</v>
      </c>
      <c r="N49" s="3326"/>
      <c r="O49" s="3326"/>
    </row>
    <row r="50" spans="1:35" ht="25.5" customHeight="1">
      <c r="A50" s="2337"/>
      <c r="B50" s="3240" t="s">
        <v>1344</v>
      </c>
      <c r="C50" s="3240"/>
      <c r="D50" s="2189"/>
      <c r="E50" s="323"/>
      <c r="F50" s="2233"/>
      <c r="G50" s="3311"/>
      <c r="H50" s="2136" t="s">
        <v>2135</v>
      </c>
      <c r="I50" s="2135"/>
      <c r="J50" s="3323" t="s">
        <v>1345</v>
      </c>
      <c r="K50" s="3323"/>
      <c r="L50" s="3323"/>
      <c r="M50" s="3323"/>
      <c r="N50" s="3323"/>
      <c r="O50" s="3323"/>
    </row>
    <row r="51" spans="1:35" ht="20.45" customHeight="1">
      <c r="A51" s="2338"/>
      <c r="B51" s="3240" t="s">
        <v>1346</v>
      </c>
      <c r="C51" s="3240"/>
      <c r="D51" s="1024"/>
      <c r="E51" s="319"/>
      <c r="F51" s="2233"/>
      <c r="G51" s="3312"/>
      <c r="H51" s="2136" t="s">
        <v>2136</v>
      </c>
      <c r="I51" s="2135"/>
      <c r="J51" s="2310" t="s">
        <v>1347</v>
      </c>
      <c r="K51" s="3304" t="s">
        <v>1348</v>
      </c>
      <c r="L51" s="3304"/>
      <c r="M51" s="2310" t="s">
        <v>1349</v>
      </c>
      <c r="N51" s="2310" t="s">
        <v>1350</v>
      </c>
      <c r="O51" s="2310" t="s">
        <v>1351</v>
      </c>
    </row>
    <row r="52" spans="1:35" ht="24" customHeight="1">
      <c r="A52" s="2153" t="s">
        <v>1352</v>
      </c>
      <c r="B52" s="3240" t="s">
        <v>1353</v>
      </c>
      <c r="C52" s="3240"/>
      <c r="D52" s="1024">
        <f ca="1">ROUND(D45*'数据-取费表'!B41/(1+'数据-取费表'!C42),0)</f>
        <v>119</v>
      </c>
      <c r="E52" s="1256" t="s">
        <v>1354</v>
      </c>
      <c r="F52" s="2339">
        <f>'数据-取费表'!B41</f>
        <v>5.6000000000000001E-2</v>
      </c>
      <c r="G52" s="2340"/>
      <c r="H52" s="2330"/>
      <c r="I52" s="1669"/>
      <c r="J52" s="2309">
        <v>1</v>
      </c>
      <c r="K52" s="3305" t="s">
        <v>1355</v>
      </c>
      <c r="L52" s="3305"/>
      <c r="M52" s="2311" t="b">
        <f>D48</f>
        <v>0</v>
      </c>
      <c r="N52" s="2309" t="str">
        <f>E48</f>
        <v>销售额×税（费）率</v>
      </c>
      <c r="O52" s="2312">
        <f>F48</f>
        <v>5.6000000000000001E-2</v>
      </c>
    </row>
    <row r="53" spans="1:35" ht="12" customHeight="1">
      <c r="A53" s="2153" t="s">
        <v>1356</v>
      </c>
      <c r="B53" s="3266" t="s">
        <v>2285</v>
      </c>
      <c r="C53" s="3267"/>
      <c r="D53" s="1024">
        <f ca="1">ROUND(D45*'数据-取费表'!B41/(1+'数据-取费表'!C42),0)</f>
        <v>119</v>
      </c>
      <c r="E53" s="1256" t="s">
        <v>1354</v>
      </c>
      <c r="F53" s="2339">
        <f>'数据-取费表'!B41</f>
        <v>5.6000000000000001E-2</v>
      </c>
      <c r="G53" s="2340"/>
      <c r="H53" s="2330"/>
      <c r="I53" s="1669"/>
      <c r="J53" s="2309">
        <v>2</v>
      </c>
      <c r="K53" s="3305" t="s">
        <v>1357</v>
      </c>
      <c r="L53" s="3305"/>
      <c r="M53" s="2311">
        <f t="shared" ref="M53:O54" ca="1" si="0">D55</f>
        <v>1</v>
      </c>
      <c r="N53" s="2309" t="str">
        <f t="shared" si="0"/>
        <v>销售额×税（费）率</v>
      </c>
      <c r="O53" s="2312" t="str">
        <f t="shared" si="0"/>
        <v>免征</v>
      </c>
    </row>
    <row r="54" spans="1:35" ht="12" customHeight="1">
      <c r="A54" s="2153" t="s">
        <v>1358</v>
      </c>
      <c r="B54" s="3266" t="s">
        <v>2286</v>
      </c>
      <c r="C54" s="3267"/>
      <c r="D54" s="1024">
        <f ca="1">C68</f>
        <v>119</v>
      </c>
      <c r="E54" s="319" t="s">
        <v>1359</v>
      </c>
      <c r="F54" s="2339">
        <f>'数据-取费表'!B41</f>
        <v>5.6000000000000001E-2</v>
      </c>
      <c r="G54" s="2340"/>
      <c r="H54" s="2341"/>
      <c r="I54" s="1669"/>
      <c r="J54" s="2309">
        <v>3</v>
      </c>
      <c r="K54" s="3305" t="s">
        <v>1360</v>
      </c>
      <c r="L54" s="3305"/>
      <c r="M54" s="2311">
        <f t="shared" ca="1" si="0"/>
        <v>1264</v>
      </c>
      <c r="N54" s="2309" t="str">
        <f t="shared" si="0"/>
        <v>增值额×税（费）率</v>
      </c>
      <c r="O54" s="2313" t="str">
        <f t="shared" si="0"/>
        <v>免征</v>
      </c>
    </row>
    <row r="55" spans="1:35" ht="24" customHeight="1">
      <c r="A55" s="3255" t="s">
        <v>1361</v>
      </c>
      <c r="B55" s="3256"/>
      <c r="C55" s="3256"/>
      <c r="D55" s="12">
        <f ca="1">IF(H55="个人住宅",0,ROUND(D45*I55,0))</f>
        <v>1</v>
      </c>
      <c r="E55" s="1256" t="s">
        <v>1362</v>
      </c>
      <c r="F55" s="2339" t="str">
        <f>IF(H55="正常",I55,"免征")</f>
        <v>免征</v>
      </c>
      <c r="G55" s="2340"/>
      <c r="H55" s="2336"/>
      <c r="I55" s="157">
        <f>'数据-取费表'!B49</f>
        <v>5.0000000000000001E-4</v>
      </c>
      <c r="J55" s="2309">
        <f>IF(H59="非个人房产","",4)</f>
        <v>4</v>
      </c>
      <c r="K55" s="3305" t="str">
        <f>IF(H59="非个人房产","——","个人所得税")</f>
        <v>个人所得税</v>
      </c>
      <c r="L55" s="3305"/>
      <c r="M55" s="2314">
        <f ca="1">D59</f>
        <v>21</v>
      </c>
      <c r="N55" s="1883" t="str">
        <f>E59</f>
        <v>差额计税</v>
      </c>
      <c r="O55" s="2315">
        <f>F59</f>
        <v>0.01</v>
      </c>
    </row>
    <row r="56" spans="1:35" ht="24.75">
      <c r="A56" s="3255" t="s">
        <v>1363</v>
      </c>
      <c r="B56" s="3256"/>
      <c r="C56" s="3256"/>
      <c r="D56" s="12">
        <f ca="1">IF(H56="个人住宅",D57,D58)</f>
        <v>1264</v>
      </c>
      <c r="E56" s="1256" t="s">
        <v>1364</v>
      </c>
      <c r="F56" s="2339" t="str">
        <f>IF(H56="正常",F58,"免征")</f>
        <v>免征</v>
      </c>
      <c r="G56" s="2342" t="s">
        <v>1365</v>
      </c>
      <c r="H56" s="2343"/>
      <c r="I56" s="1670"/>
      <c r="J56" s="2309" t="str">
        <f>IF(项目基本情况!K6="上海银行",IF(J55="",4,J55+1),"")</f>
        <v/>
      </c>
      <c r="K56" s="3328" t="str">
        <f>IF(项目基本情况!K6="上海银行","其他处置费用","")</f>
        <v/>
      </c>
      <c r="L56" s="3329"/>
      <c r="M56" s="2311" t="str">
        <f>IF(项目基本情况!K6="上海银行",M69,"")</f>
        <v/>
      </c>
      <c r="N56" s="3328" t="str">
        <f>IF(项目基本情况!K6="上海银行","包含处置中涉及的律师、诉讼、拍卖、评估等费用","")</f>
        <v/>
      </c>
      <c r="O56" s="3331"/>
    </row>
    <row r="57" spans="1:35" ht="12.75">
      <c r="A57" s="2153" t="s">
        <v>1341</v>
      </c>
      <c r="B57" s="3266" t="s">
        <v>1366</v>
      </c>
      <c r="C57" s="3267"/>
      <c r="D57" s="1478">
        <v>0</v>
      </c>
      <c r="E57" s="316" t="s">
        <v>1343</v>
      </c>
      <c r="F57" s="294"/>
      <c r="G57" s="2340"/>
      <c r="H57" s="2344"/>
      <c r="I57" s="1670"/>
      <c r="J57" s="3305">
        <f>IF(AND(J55="",J56=""),4,IF(项目基本情况!K6="上海银行",结果表!J56+1,结果表!J55+1))</f>
        <v>5</v>
      </c>
      <c r="K57" s="3305" t="s">
        <v>1367</v>
      </c>
      <c r="L57" s="2316" t="s">
        <v>1368</v>
      </c>
      <c r="M57" s="2317"/>
      <c r="N57" s="2318">
        <f ca="1">SUMIF(M52:M56,"&lt;9e307")</f>
        <v>1286</v>
      </c>
      <c r="O57" s="2319"/>
      <c r="P57" s="2464" t="e">
        <f ca="1">N57/M49</f>
        <v>#VALUE!</v>
      </c>
    </row>
    <row r="58" spans="1:35" ht="24.75">
      <c r="A58" s="2153" t="s">
        <v>1352</v>
      </c>
      <c r="B58" s="3266" t="s">
        <v>1369</v>
      </c>
      <c r="C58" s="3240"/>
      <c r="D58" s="12">
        <f ca="1">IF(H58="转让取得",C81,C97)</f>
        <v>1264</v>
      </c>
      <c r="E58" s="1256" t="s">
        <v>1364</v>
      </c>
      <c r="F58" s="294" t="s">
        <v>28</v>
      </c>
      <c r="G58" s="2340"/>
      <c r="H58" s="2343"/>
      <c r="I58" s="1670"/>
      <c r="J58" s="3305"/>
      <c r="K58" s="3305"/>
      <c r="L58" s="2316" t="s">
        <v>1370</v>
      </c>
      <c r="M58" s="2320"/>
      <c r="N58" s="2321" t="str">
        <f ca="1">NUMBERSTRING(INT(N57*10000),2)&amp;"元整"</f>
        <v>壹仟贰佰捌拾陆万元整</v>
      </c>
      <c r="O58" s="2322"/>
    </row>
    <row r="59" spans="1:35" ht="24.75" thickBot="1">
      <c r="A59" s="3308" t="s">
        <v>1371</v>
      </c>
      <c r="B59" s="3309"/>
      <c r="C59" s="3309"/>
      <c r="D59" s="2345">
        <f ca="1">IF(H59="非个人房产","——",IF(H59="个人住宅（满五唯一有凭证）",0,IF(H59="个人其他（无凭证）",ROUND(D45*F59,0),ROUND(C67*F59,0))))</f>
        <v>21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6">
        <f>J57+1</f>
        <v>6</v>
      </c>
      <c r="K59" s="3305" t="s">
        <v>1372</v>
      </c>
      <c r="L59" s="2309" t="s">
        <v>1368</v>
      </c>
      <c r="M59" s="2323"/>
      <c r="N59" s="2324" t="e">
        <f ca="1">M49-N57</f>
        <v>#VALUE!</v>
      </c>
      <c r="O59" s="2325"/>
    </row>
    <row r="60" spans="1:35" ht="12" customHeight="1">
      <c r="A60" s="1671"/>
      <c r="B60" s="646"/>
      <c r="C60" s="646"/>
      <c r="D60" s="646"/>
      <c r="E60" s="1466"/>
      <c r="F60" s="1670"/>
      <c r="G60" s="1670"/>
      <c r="H60" s="151"/>
      <c r="I60" s="121"/>
      <c r="J60" s="3307"/>
      <c r="K60" s="3305"/>
      <c r="L60" s="2316" t="s">
        <v>1370</v>
      </c>
      <c r="M60" s="2320"/>
      <c r="N60" s="2321" t="e">
        <f ca="1">NUMBERSTRING(INT(N59*10000),2)&amp;"元整"</f>
        <v>#VALUE!</v>
      </c>
      <c r="O60" s="2322"/>
    </row>
    <row r="61" spans="1:35" ht="13.5" thickBot="1">
      <c r="A61" s="3253" t="s">
        <v>1373</v>
      </c>
      <c r="B61" s="3253"/>
      <c r="C61" s="3253"/>
      <c r="D61" s="3253"/>
      <c r="E61" s="3253"/>
      <c r="F61" s="1670"/>
      <c r="G61" s="1670"/>
      <c r="H61" s="151"/>
      <c r="I61" s="121"/>
      <c r="J61" s="2309">
        <f>J59+1</f>
        <v>7</v>
      </c>
      <c r="K61" s="3305" t="s">
        <v>1374</v>
      </c>
      <c r="L61" s="3305"/>
      <c r="M61" s="2326"/>
      <c r="N61" s="2327" t="e">
        <f ca="1">ROUND(N59*10000/'数据-汇总表'!E3,0)</f>
        <v>#VALUE!</v>
      </c>
      <c r="O61" s="2328"/>
    </row>
    <row r="62" spans="1:35" ht="12.75">
      <c r="A62" s="3271" t="s">
        <v>1375</v>
      </c>
      <c r="B62" s="3272"/>
      <c r="C62" s="1865"/>
      <c r="D62" s="1865" t="s">
        <v>1376</v>
      </c>
      <c r="E62" s="158" t="s">
        <v>1377</v>
      </c>
      <c r="F62" s="1670"/>
      <c r="G62" s="1670"/>
      <c r="H62" s="151"/>
      <c r="I62" s="121"/>
    </row>
    <row r="63" spans="1:35" ht="12.75">
      <c r="A63" s="165" t="s">
        <v>330</v>
      </c>
      <c r="B63" s="159" t="s">
        <v>1378</v>
      </c>
      <c r="C63" s="2349">
        <f ca="1">ROUND((C64+C65)/(1+'数据-取费表'!C42),0)</f>
        <v>2128</v>
      </c>
      <c r="D63" s="159"/>
      <c r="E63" s="160"/>
      <c r="F63" s="1670"/>
      <c r="G63" s="1670"/>
      <c r="H63" s="151"/>
      <c r="I63" s="121"/>
      <c r="J63" s="333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2234</v>
      </c>
      <c r="D64" s="162" t="s">
        <v>26</v>
      </c>
      <c r="E64" s="164"/>
      <c r="F64" s="1670"/>
      <c r="G64" s="1670"/>
      <c r="H64" s="151"/>
      <c r="I64" s="121"/>
      <c r="J64" s="333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3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30"/>
      <c r="K66" s="1245" t="s">
        <v>1387</v>
      </c>
      <c r="L66" s="1245" t="e">
        <f>M49*0.5%</f>
        <v>#VALUE!</v>
      </c>
      <c r="M66" s="294" t="e">
        <f>IF(L66&gt;0.5,0.5,ROUND(L66,0))</f>
        <v>#VALUE!</v>
      </c>
      <c r="N66" s="2330" t="s">
        <v>1388</v>
      </c>
      <c r="Z66" s="1623"/>
      <c r="AI66" s="1561"/>
    </row>
    <row r="67" spans="1:35" ht="14.25" customHeight="1">
      <c r="A67" s="165" t="s">
        <v>328</v>
      </c>
      <c r="B67" s="166" t="s">
        <v>1389</v>
      </c>
      <c r="C67" s="2353">
        <f ca="1">C63-C66</f>
        <v>2128</v>
      </c>
      <c r="D67" s="162" t="s">
        <v>26</v>
      </c>
      <c r="E67" s="164"/>
      <c r="F67" s="1670"/>
      <c r="G67" s="1670"/>
      <c r="H67" s="151"/>
      <c r="I67" s="121"/>
      <c r="J67" s="333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119</v>
      </c>
      <c r="D68" s="2355">
        <f>'数据-取费表'!B41</f>
        <v>5.6000000000000001E-2</v>
      </c>
      <c r="E68" s="170"/>
      <c r="F68" s="1670"/>
      <c r="G68" s="1670"/>
      <c r="H68" s="151"/>
      <c r="I68" s="121"/>
      <c r="J68" s="333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30"/>
      <c r="K69" s="1245" t="s">
        <v>1393</v>
      </c>
      <c r="L69" s="1245"/>
      <c r="M69" s="294" t="e">
        <f>ROUND(SUM(M63:M68),0)</f>
        <v>#VALUE!</v>
      </c>
      <c r="N69" s="2331" t="e">
        <f>M69/M49</f>
        <v>#VALUE!</v>
      </c>
      <c r="Z69" s="1623"/>
      <c r="AI69" s="1561"/>
    </row>
    <row r="70" spans="1:35" s="642" customFormat="1" ht="15"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2128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13</v>
      </c>
      <c r="D78" s="2362">
        <f>'数据-取费表'!B43</f>
        <v>6.000000000000001E-3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2115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162.69230769230768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1264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2128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32" t="s">
        <v>2129</v>
      </c>
      <c r="H90" s="3333"/>
      <c r="I90" s="1681"/>
      <c r="J90" s="2307" t="s">
        <v>2283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0" t="s">
        <v>1422</v>
      </c>
      <c r="F92" s="3251"/>
      <c r="G92" s="3251"/>
      <c r="H92" s="3260"/>
      <c r="I92" s="1681"/>
      <c r="J92" s="2308" t="s">
        <v>2284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13</v>
      </c>
      <c r="D93" s="2362">
        <f>'数据-取费表'!B43</f>
        <v>6.000000000000001E-3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2115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162.69230769230768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1264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0" t="str">
        <f>C4</f>
        <v>比较法-办公</v>
      </c>
      <c r="D101" s="2371" t="str">
        <f>D4</f>
        <v>收益法 (元)</v>
      </c>
      <c r="E101" s="3327" t="s">
        <v>1431</v>
      </c>
      <c r="F101" s="3284"/>
      <c r="G101" s="1687" t="s">
        <v>1432</v>
      </c>
      <c r="H101" s="2380">
        <f ca="1">H118</f>
        <v>2234</v>
      </c>
      <c r="I101" s="121"/>
    </row>
    <row r="102" spans="1:35" ht="18.75" customHeight="1">
      <c r="A102" s="3286" t="s">
        <v>1433</v>
      </c>
      <c r="B102" s="2369" t="s">
        <v>1432</v>
      </c>
      <c r="C102" s="2370">
        <f ca="1">IF(D32="楼面单价",ROUND(C19,0),C19)</f>
        <v>2299.1601999999998</v>
      </c>
      <c r="D102" s="2371">
        <f ca="1">IF(D32="楼面单价",ROUND(D19,0),D19)</f>
        <v>2167.8602999999998</v>
      </c>
      <c r="E102" s="3327"/>
      <c r="F102" s="3284"/>
      <c r="G102" s="1687" t="s">
        <v>1434</v>
      </c>
      <c r="H102" s="2340">
        <f ca="1">I118</f>
        <v>49089</v>
      </c>
      <c r="I102" s="121"/>
    </row>
    <row r="103" spans="1:35" ht="42.75" customHeight="1">
      <c r="A103" s="3286"/>
      <c r="B103" s="2369" t="s">
        <v>1434</v>
      </c>
      <c r="C103" s="2372">
        <f ca="1">C20</f>
        <v>50521</v>
      </c>
      <c r="D103" s="2373">
        <f ca="1">D20</f>
        <v>47636</v>
      </c>
      <c r="E103" s="3321" t="s">
        <v>1435</v>
      </c>
      <c r="F103" s="3322"/>
      <c r="G103" s="1688" t="s">
        <v>1436</v>
      </c>
      <c r="H103" s="2380">
        <f>IF(D36="正常操作",H104+H105+H106,H105+H106)</f>
        <v>0</v>
      </c>
      <c r="I103" s="121"/>
    </row>
    <row r="104" spans="1:35" ht="18.75" customHeight="1">
      <c r="A104" s="3286" t="s">
        <v>1437</v>
      </c>
      <c r="B104" s="2374" t="s">
        <v>1432</v>
      </c>
      <c r="C104" s="2375">
        <f ca="1">H118</f>
        <v>2234</v>
      </c>
      <c r="D104" s="2376"/>
      <c r="E104" s="1555" t="s">
        <v>1438</v>
      </c>
      <c r="F104" s="1548"/>
      <c r="G104" s="1688" t="s">
        <v>1436</v>
      </c>
      <c r="H104" s="2381">
        <f>IF(D36="同一抵押权人同一抵押物续贷",C36&amp;"（续贷，未扣减，详见特别提示）",C36)</f>
        <v>0</v>
      </c>
      <c r="I104" s="121"/>
    </row>
    <row r="105" spans="1:35" ht="18.75" customHeight="1" thickBot="1">
      <c r="A105" s="3287"/>
      <c r="B105" s="2377" t="s">
        <v>1434</v>
      </c>
      <c r="C105" s="2378">
        <f ca="1">I118</f>
        <v>49089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3" t="str">
        <f>IF(项目基本情况!E8="已注销","——","3.房地产抵押价值")</f>
        <v>3.房地产抵押价值</v>
      </c>
      <c r="F107" s="3284"/>
      <c r="G107" s="1687" t="s">
        <v>1432</v>
      </c>
      <c r="H107" s="2380">
        <f ca="1">IF(E107="——","——",H101-H103)</f>
        <v>2234</v>
      </c>
      <c r="I107" s="121"/>
    </row>
    <row r="108" spans="1:35" ht="18.75" customHeight="1">
      <c r="A108" s="121"/>
      <c r="B108" s="121"/>
      <c r="C108" s="121"/>
      <c r="D108" s="121"/>
      <c r="E108" s="3283"/>
      <c r="F108" s="3284"/>
      <c r="G108" s="1687" t="s">
        <v>1434</v>
      </c>
      <c r="H108" s="2340">
        <f ca="1">IF(H107=H101,H102,ROUND(H107*10000/'数据-汇总表'!E3,0))</f>
        <v>49089</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3" t="str">
        <f>IF(E109="——","——",H101-H105-H106)</f>
        <v>——</v>
      </c>
      <c r="I109" s="121"/>
    </row>
    <row r="110" spans="1:35" ht="18.75" customHeight="1">
      <c r="A110" s="121"/>
      <c r="B110" s="121"/>
      <c r="C110" s="121"/>
      <c r="D110" s="121"/>
      <c r="E110" s="3283"/>
      <c r="F110" s="3284"/>
      <c r="G110" s="1687" t="s">
        <v>1434</v>
      </c>
      <c r="H110" s="2340"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0" t="str">
        <f>IF(E111="——","——",N59)</f>
        <v>——</v>
      </c>
      <c r="I111" s="121"/>
    </row>
    <row r="112" spans="1:35" ht="18.75" customHeight="1" thickBot="1">
      <c r="A112" s="121"/>
      <c r="B112" s="121"/>
      <c r="C112" s="121"/>
      <c r="D112" s="121"/>
      <c r="E112" s="3316"/>
      <c r="F112" s="3317"/>
      <c r="G112" s="1690" t="s">
        <v>1434</v>
      </c>
      <c r="H112" s="2384"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455.09</v>
      </c>
      <c r="C118" s="2150">
        <f>M19</f>
        <v>0</v>
      </c>
      <c r="D118" s="2150">
        <f ca="1">ROUND(IF(D32="总价",C34,E118*B118/10000),0)</f>
        <v>1964</v>
      </c>
      <c r="E118" s="2150">
        <f ca="1">ROUND(IF(C33="自定义",IF(D32="楼面单价",C34,D118*10000/B118),I118-G118),0)</f>
        <v>43156</v>
      </c>
      <c r="F118" s="2150">
        <f ca="1">ROUND(IF(D32="总价",C35,G118*B118/10000),0)</f>
        <v>270</v>
      </c>
      <c r="G118" s="2150">
        <f ca="1">ROUND(IF(D32="楼面单价",C35,F118*10000/B118),0)</f>
        <v>5933</v>
      </c>
      <c r="H118" s="2150">
        <f ca="1">ROUND(IF(D32="总价",C32,I118*B118/10000),0)</f>
        <v>2234</v>
      </c>
      <c r="I118" s="2150">
        <f ca="1">ROUND(IF(D32="楼面单价",C32,H118*10000/B118),0)</f>
        <v>49089</v>
      </c>
    </row>
    <row r="119" spans="1:27" ht="18.75" customHeight="1">
      <c r="A119" s="3254" t="s">
        <v>1452</v>
      </c>
      <c r="B119" s="3254"/>
      <c r="C119" s="3254"/>
      <c r="D119" s="3294" t="str">
        <f ca="1">NUMBERSTRING(INT(D118*10000),2)&amp;"元整"</f>
        <v>壹仟玖佰陆拾肆万元整</v>
      </c>
      <c r="E119" s="3296"/>
      <c r="F119" s="3294" t="str">
        <f ca="1">NUMBERSTRING(INT(F118*10000),2)&amp;"元整"</f>
        <v>贰佰柒拾万元整</v>
      </c>
      <c r="G119" s="3296"/>
      <c r="H119" s="3294" t="str">
        <f ca="1">NUMBERSTRING(INT(H118*10000),2)&amp;"元整"</f>
        <v>贰仟贰佰叁拾肆万元整</v>
      </c>
      <c r="I119" s="3296"/>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房地产抵押价值</v>
      </c>
      <c r="B122" s="3285"/>
      <c r="C122" s="3285"/>
      <c r="D122" s="3318">
        <f ca="1">H107</f>
        <v>2234</v>
      </c>
      <c r="E122" s="3319"/>
      <c r="F122" s="3319"/>
      <c r="G122" s="3319"/>
      <c r="H122" s="3319"/>
      <c r="I122" s="3320"/>
      <c r="AA122" s="684"/>
    </row>
    <row r="123" spans="1:27" ht="18.75" customHeight="1">
      <c r="A123" s="3254" t="s">
        <v>1452</v>
      </c>
      <c r="B123" s="3254"/>
      <c r="C123" s="3254"/>
      <c r="D123" s="3294" t="str">
        <f ca="1">NUMBERSTRING(INT(D122*10000),2)&amp;"元整"</f>
        <v>贰仟贰佰叁拾肆万元整</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80" zoomScaleNormal="70" zoomScaleSheetLayoutView="80" workbookViewId="0">
      <selection activeCell="E51" sqref="E5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2299.1601999999998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50521</v>
      </c>
      <c r="C3" s="344" t="s">
        <v>1768</v>
      </c>
      <c r="D3" s="343">
        <f>IF(D1="",'数据-汇总表'!E3,SUMIF('数据-汇总表'!$C19:$C33,D1,'数据-汇总表'!$E19:$E33))</f>
        <v>455.09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356" t="s">
        <v>1775</v>
      </c>
      <c r="Q4" s="3357"/>
      <c r="R4" s="3362" t="s">
        <v>1771</v>
      </c>
      <c r="S4" s="3363"/>
      <c r="T4" s="3362" t="s">
        <v>1772</v>
      </c>
      <c r="U4" s="3363"/>
      <c r="V4" s="3368" t="s">
        <v>1773</v>
      </c>
      <c r="W4" s="3368"/>
      <c r="X4" s="1809"/>
      <c r="Y4" s="3362" t="s">
        <v>1775</v>
      </c>
      <c r="Z4" s="3363"/>
      <c r="AA4" s="3379" t="s">
        <v>1771</v>
      </c>
      <c r="AB4" s="3379" t="s">
        <v>1772</v>
      </c>
      <c r="AC4" s="3349" t="s">
        <v>1773</v>
      </c>
    </row>
    <row r="5" spans="1:29" ht="15">
      <c r="A5" s="348"/>
      <c r="B5" s="349"/>
      <c r="C5" s="3487" t="s">
        <v>3423</v>
      </c>
      <c r="D5" s="3372"/>
      <c r="E5" s="3382" t="str">
        <f>C5</f>
        <v>富尔大厦</v>
      </c>
      <c r="F5" s="3383"/>
      <c r="G5" s="3371" t="str">
        <f>C5</f>
        <v>富尔大厦</v>
      </c>
      <c r="H5" s="3372"/>
      <c r="I5" s="3371" t="str">
        <f>C5</f>
        <v>富尔大厦</v>
      </c>
      <c r="J5" s="3372"/>
      <c r="K5" s="537"/>
      <c r="L5" s="2486"/>
      <c r="M5" s="2487"/>
      <c r="N5" s="2487"/>
      <c r="O5" s="2487"/>
      <c r="P5" s="3358"/>
      <c r="Q5" s="3359"/>
      <c r="R5" s="3364"/>
      <c r="S5" s="3365"/>
      <c r="T5" s="3364"/>
      <c r="U5" s="3365"/>
      <c r="V5" s="3336"/>
      <c r="W5" s="3336"/>
      <c r="X5" s="1265"/>
      <c r="Y5" s="3364"/>
      <c r="Z5" s="3365"/>
      <c r="AA5" s="3380"/>
      <c r="AB5" s="3380"/>
      <c r="AC5" s="335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360"/>
      <c r="Q6" s="3361"/>
      <c r="R6" s="3364"/>
      <c r="S6" s="3365"/>
      <c r="T6" s="3366"/>
      <c r="U6" s="3367"/>
      <c r="V6" s="3336"/>
      <c r="W6" s="3336"/>
      <c r="X6" s="1265"/>
      <c r="Y6" s="3366"/>
      <c r="Z6" s="3367"/>
      <c r="AA6" s="3381"/>
      <c r="AB6" s="3381"/>
      <c r="AC6" s="3351"/>
    </row>
    <row r="7" spans="1:29" s="102" customFormat="1" ht="15.75" thickBot="1">
      <c r="A7" s="352" t="s">
        <v>1679</v>
      </c>
      <c r="B7" s="353"/>
      <c r="C7" s="354">
        <f>'数据-取费表'!B2</f>
        <v>44988</v>
      </c>
      <c r="D7" s="355">
        <v>100</v>
      </c>
      <c r="E7" s="356">
        <f>C7</f>
        <v>44988</v>
      </c>
      <c r="F7" s="357">
        <f>SUMIF(59:59,YEAR(E7)&amp;"-"&amp;MONTH(E7),60:60)</f>
        <v>100</v>
      </c>
      <c r="G7" s="356">
        <f>C7</f>
        <v>44988</v>
      </c>
      <c r="H7" s="355">
        <f>SUMIF(59:59,YEAR(G7)&amp;"-"&amp;MONTH(G7),60:60)</f>
        <v>100</v>
      </c>
      <c r="I7" s="356">
        <f>C7</f>
        <v>44988</v>
      </c>
      <c r="J7" s="355">
        <f>SUMIF(59:59,YEAR(I7)&amp;"-"&amp;MONTH(I7),60:60)</f>
        <v>100</v>
      </c>
      <c r="K7" s="38"/>
      <c r="L7" s="2488"/>
      <c r="M7" s="2439"/>
      <c r="N7" s="2439"/>
      <c r="O7" s="2439"/>
      <c r="P7" s="3373" t="s">
        <v>1680</v>
      </c>
      <c r="Q7" s="3376"/>
      <c r="R7" s="664" t="s">
        <v>14</v>
      </c>
      <c r="S7" s="665">
        <f t="shared" ref="S7:S15" si="0">F7</f>
        <v>100</v>
      </c>
      <c r="T7" s="664" t="s">
        <v>14</v>
      </c>
      <c r="U7" s="665">
        <f t="shared" ref="U7:U15" si="1">H7</f>
        <v>100</v>
      </c>
      <c r="V7" s="664" t="s">
        <v>14</v>
      </c>
      <c r="W7" s="665">
        <f t="shared" ref="W7:W15" si="2">J7</f>
        <v>100</v>
      </c>
      <c r="X7" s="666"/>
      <c r="Y7" s="3375" t="s">
        <v>1680</v>
      </c>
      <c r="Z7" s="3374"/>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3" t="s">
        <v>1683</v>
      </c>
      <c r="Q8" s="3374"/>
      <c r="R8" s="664" t="s">
        <v>14</v>
      </c>
      <c r="S8" s="665">
        <f t="shared" si="0"/>
        <v>100</v>
      </c>
      <c r="T8" s="664" t="s">
        <v>14</v>
      </c>
      <c r="U8" s="665">
        <f t="shared" si="1"/>
        <v>100</v>
      </c>
      <c r="V8" s="664" t="s">
        <v>14</v>
      </c>
      <c r="W8" s="665">
        <f t="shared" si="2"/>
        <v>100</v>
      </c>
      <c r="X8" s="666"/>
      <c r="Y8" s="3375" t="s">
        <v>1683</v>
      </c>
      <c r="Z8" s="3374"/>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34"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34"/>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34"/>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34"/>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34"/>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34"/>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40" t="s">
        <v>1691</v>
      </c>
      <c r="Q15" s="1263" t="str">
        <f t="shared" si="6"/>
        <v>办公集聚程度</v>
      </c>
      <c r="R15" s="667" t="s">
        <v>14</v>
      </c>
      <c r="S15" s="668">
        <f t="shared" si="0"/>
        <v>100</v>
      </c>
      <c r="T15" s="667" t="s">
        <v>14</v>
      </c>
      <c r="U15" s="668">
        <f t="shared" si="1"/>
        <v>100</v>
      </c>
      <c r="V15" s="667" t="s">
        <v>14</v>
      </c>
      <c r="W15" s="668">
        <f t="shared" si="2"/>
        <v>100</v>
      </c>
      <c r="X15" s="1265"/>
      <c r="Y15" s="3342"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41"/>
      <c r="Q16" s="1263"/>
      <c r="R16" s="667"/>
      <c r="S16" s="668"/>
      <c r="T16" s="667"/>
      <c r="U16" s="668"/>
      <c r="V16" s="667"/>
      <c r="W16" s="668"/>
      <c r="X16" s="1265"/>
      <c r="Y16" s="3343"/>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41"/>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41"/>
      <c r="Q18" s="1263"/>
      <c r="R18" s="667"/>
      <c r="S18" s="668"/>
      <c r="T18" s="667"/>
      <c r="U18" s="668"/>
      <c r="V18" s="667"/>
      <c r="W18" s="668"/>
      <c r="X18" s="1265"/>
      <c r="Y18" s="3343"/>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41"/>
      <c r="Q19" s="1263" t="str">
        <f>B19</f>
        <v>公共配套设施</v>
      </c>
      <c r="R19" s="667" t="s">
        <v>14</v>
      </c>
      <c r="S19" s="668">
        <f>F19</f>
        <v>100</v>
      </c>
      <c r="T19" s="667" t="s">
        <v>14</v>
      </c>
      <c r="U19" s="668">
        <f>H19</f>
        <v>100</v>
      </c>
      <c r="V19" s="667" t="s">
        <v>14</v>
      </c>
      <c r="W19" s="668">
        <f>J19</f>
        <v>100</v>
      </c>
      <c r="X19" s="1265"/>
      <c r="Y19" s="3343"/>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41"/>
      <c r="Q20" s="1263"/>
      <c r="R20" s="667"/>
      <c r="S20" s="668"/>
      <c r="T20" s="667"/>
      <c r="U20" s="668"/>
      <c r="V20" s="667"/>
      <c r="W20" s="668"/>
      <c r="X20" s="1265"/>
      <c r="Y20" s="3343"/>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41"/>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2"/>
      <c r="M22" s="2487"/>
      <c r="N22" s="2487"/>
      <c r="O22" s="2487"/>
      <c r="P22" s="3341"/>
      <c r="Q22" s="1263"/>
      <c r="R22" s="667"/>
      <c r="S22" s="668"/>
      <c r="T22" s="667"/>
      <c r="U22" s="668"/>
      <c r="V22" s="667"/>
      <c r="W22" s="668"/>
      <c r="X22" s="1265"/>
      <c r="Y22" s="3343"/>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41"/>
      <c r="Q23" s="1263" t="str">
        <f>B23</f>
        <v>环境质量</v>
      </c>
      <c r="R23" s="667" t="s">
        <v>14</v>
      </c>
      <c r="S23" s="668">
        <f>F23</f>
        <v>100</v>
      </c>
      <c r="T23" s="667" t="s">
        <v>14</v>
      </c>
      <c r="U23" s="668">
        <f>H23</f>
        <v>100</v>
      </c>
      <c r="V23" s="667" t="s">
        <v>14</v>
      </c>
      <c r="W23" s="668">
        <f>J23</f>
        <v>100</v>
      </c>
      <c r="X23" s="1265"/>
      <c r="Y23" s="3343"/>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2"/>
      <c r="M24" s="2487"/>
      <c r="N24" s="2487"/>
      <c r="O24" s="2487"/>
      <c r="P24" s="3341"/>
      <c r="Q24" s="1263"/>
      <c r="R24" s="667"/>
      <c r="S24" s="668"/>
      <c r="T24" s="667"/>
      <c r="U24" s="668"/>
      <c r="V24" s="667"/>
      <c r="W24" s="668"/>
      <c r="X24" s="1265"/>
      <c r="Y24" s="334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41"/>
      <c r="Q25" s="1263" t="str">
        <f>B25</f>
        <v>毗邻道路的类型与等级</v>
      </c>
      <c r="R25" s="667" t="s">
        <v>14</v>
      </c>
      <c r="S25" s="668">
        <f>F25</f>
        <v>100</v>
      </c>
      <c r="T25" s="667" t="s">
        <v>14</v>
      </c>
      <c r="U25" s="668">
        <f>H25</f>
        <v>100</v>
      </c>
      <c r="V25" s="667" t="s">
        <v>14</v>
      </c>
      <c r="W25" s="668">
        <f>J25</f>
        <v>100</v>
      </c>
      <c r="X25" s="1265"/>
      <c r="Y25" s="334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41"/>
      <c r="Q26" s="1263"/>
      <c r="R26" s="667"/>
      <c r="S26" s="668"/>
      <c r="T26" s="667"/>
      <c r="U26" s="668"/>
      <c r="V26" s="667"/>
      <c r="W26" s="668"/>
      <c r="X26" s="1265"/>
      <c r="Y26" s="3343"/>
      <c r="Z26" s="1264"/>
      <c r="AA26" s="1264">
        <v>1</v>
      </c>
      <c r="AB26" s="1264">
        <v>1</v>
      </c>
      <c r="AC26" s="1812">
        <v>1</v>
      </c>
    </row>
    <row r="27" spans="1:29" ht="15">
      <c r="A27" s="367"/>
      <c r="B27" s="401" t="s">
        <v>1783</v>
      </c>
      <c r="C27" s="558" t="s">
        <v>3421</v>
      </c>
      <c r="D27" s="374">
        <v>100</v>
      </c>
      <c r="E27" s="542" t="s">
        <v>3419</v>
      </c>
      <c r="F27" s="374">
        <f>SUMIF(89:89,E27,90:90)-SUMIF(89:89,C27,90:90)+100</f>
        <v>103</v>
      </c>
      <c r="G27" s="558" t="s">
        <v>3421</v>
      </c>
      <c r="H27" s="374">
        <f>SUMIF(89:89,G27,90:90)-SUMIF(89:89,C27,90:90)+100</f>
        <v>100</v>
      </c>
      <c r="I27" s="542" t="s">
        <v>3421</v>
      </c>
      <c r="J27" s="374">
        <f>SUMIF(89:89,I27,90:90)-SUMIF(89:89,C27,90:90)+100</f>
        <v>100</v>
      </c>
      <c r="K27" s="538">
        <v>3</v>
      </c>
      <c r="L27" s="2492"/>
      <c r="M27" s="2487"/>
      <c r="N27" s="2487"/>
      <c r="O27" s="2487"/>
      <c r="P27" s="3341"/>
      <c r="Q27" s="1263" t="str">
        <f t="shared" ref="Q27:Q47" si="11">B27</f>
        <v>楼层</v>
      </c>
      <c r="R27" s="667" t="s">
        <v>14</v>
      </c>
      <c r="S27" s="668">
        <f>F27</f>
        <v>103</v>
      </c>
      <c r="T27" s="667" t="s">
        <v>14</v>
      </c>
      <c r="U27" s="668">
        <f>H27</f>
        <v>100</v>
      </c>
      <c r="V27" s="667" t="s">
        <v>14</v>
      </c>
      <c r="W27" s="668">
        <f>J27</f>
        <v>100</v>
      </c>
      <c r="X27" s="1265"/>
      <c r="Y27" s="3343"/>
      <c r="Z27" s="1264" t="str">
        <f>Q27</f>
        <v>楼层</v>
      </c>
      <c r="AA27" s="1264">
        <f t="shared" si="3"/>
        <v>0.970873786407767</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41"/>
      <c r="Q28" s="530" t="str">
        <f t="shared" si="11"/>
        <v>朝向</v>
      </c>
      <c r="R28" s="664" t="s">
        <v>14</v>
      </c>
      <c r="S28" s="665">
        <f>F28</f>
        <v>100</v>
      </c>
      <c r="T28" s="664" t="s">
        <v>14</v>
      </c>
      <c r="U28" s="665">
        <f>H28</f>
        <v>100</v>
      </c>
      <c r="V28" s="664" t="s">
        <v>14</v>
      </c>
      <c r="W28" s="665">
        <f>J28</f>
        <v>100</v>
      </c>
      <c r="X28" s="666"/>
      <c r="Y28" s="334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41"/>
      <c r="Q29" s="1263">
        <f t="shared" si="11"/>
        <v>111</v>
      </c>
      <c r="R29" s="667" t="s">
        <v>14</v>
      </c>
      <c r="S29" s="668">
        <f t="shared" ref="S29:S47" si="12">F29</f>
        <v>100</v>
      </c>
      <c r="T29" s="667" t="s">
        <v>14</v>
      </c>
      <c r="U29" s="668">
        <f t="shared" ref="U29:U47" si="13">H29</f>
        <v>100</v>
      </c>
      <c r="V29" s="667" t="s">
        <v>14</v>
      </c>
      <c r="W29" s="668">
        <f t="shared" ref="W29:W47" si="14">J29</f>
        <v>100</v>
      </c>
      <c r="X29" s="1265"/>
      <c r="Y29" s="334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41"/>
      <c r="Q30" s="1263">
        <f t="shared" si="11"/>
        <v>111</v>
      </c>
      <c r="R30" s="667" t="s">
        <v>14</v>
      </c>
      <c r="S30" s="668">
        <f t="shared" si="12"/>
        <v>100</v>
      </c>
      <c r="T30" s="667" t="s">
        <v>14</v>
      </c>
      <c r="U30" s="668">
        <f t="shared" si="13"/>
        <v>100</v>
      </c>
      <c r="V30" s="667" t="s">
        <v>14</v>
      </c>
      <c r="W30" s="668">
        <f t="shared" si="14"/>
        <v>100</v>
      </c>
      <c r="X30" s="1265"/>
      <c r="Y30" s="334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41"/>
      <c r="Q31" s="1263">
        <f t="shared" si="11"/>
        <v>111</v>
      </c>
      <c r="R31" s="667" t="s">
        <v>14</v>
      </c>
      <c r="S31" s="668">
        <f t="shared" si="12"/>
        <v>100</v>
      </c>
      <c r="T31" s="667" t="s">
        <v>14</v>
      </c>
      <c r="U31" s="668">
        <f t="shared" si="13"/>
        <v>100</v>
      </c>
      <c r="V31" s="667" t="s">
        <v>14</v>
      </c>
      <c r="W31" s="668">
        <f t="shared" si="14"/>
        <v>100</v>
      </c>
      <c r="X31" s="1265"/>
      <c r="Y31" s="334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41"/>
      <c r="Q32" s="1263">
        <f t="shared" si="11"/>
        <v>111</v>
      </c>
      <c r="R32" s="667" t="s">
        <v>14</v>
      </c>
      <c r="S32" s="668">
        <f t="shared" si="12"/>
        <v>100</v>
      </c>
      <c r="T32" s="667" t="s">
        <v>14</v>
      </c>
      <c r="U32" s="668">
        <f t="shared" si="13"/>
        <v>100</v>
      </c>
      <c r="V32" s="667" t="s">
        <v>14</v>
      </c>
      <c r="W32" s="668">
        <f t="shared" si="14"/>
        <v>100</v>
      </c>
      <c r="X32" s="1265"/>
      <c r="Y32" s="3343"/>
      <c r="Z32" s="1264">
        <f t="shared" si="15"/>
        <v>111</v>
      </c>
      <c r="AA32" s="1264">
        <f t="shared" si="3"/>
        <v>1</v>
      </c>
      <c r="AB32" s="1264">
        <f t="shared" si="4"/>
        <v>1</v>
      </c>
      <c r="AC32" s="1812">
        <f t="shared" si="5"/>
        <v>1</v>
      </c>
    </row>
    <row r="33" spans="1:29" ht="15">
      <c r="A33" s="379" t="s">
        <v>1694</v>
      </c>
      <c r="B33" s="60" t="s">
        <v>1817</v>
      </c>
      <c r="C33" s="1764" t="s">
        <v>3426</v>
      </c>
      <c r="D33" s="405">
        <v>100</v>
      </c>
      <c r="E33" s="1764" t="s">
        <v>3426</v>
      </c>
      <c r="F33" s="400">
        <f>SUMIF(101:101,E33,102:102)-SUMIF(101:101,C33,102:102)+100</f>
        <v>100</v>
      </c>
      <c r="G33" s="1764" t="s">
        <v>3426</v>
      </c>
      <c r="H33" s="374">
        <f>SUMIF(101:101,G33,102:102)-SUMIF(101:101,C33,102:102)+100</f>
        <v>100</v>
      </c>
      <c r="I33" s="1764" t="s">
        <v>3426</v>
      </c>
      <c r="J33" s="405">
        <f>SUMIF(101:101,I33,102:102)-SUMIF(101:101,C33,102:102)+100</f>
        <v>100</v>
      </c>
      <c r="K33" s="538">
        <v>2</v>
      </c>
      <c r="L33" s="2492"/>
      <c r="M33" s="2487"/>
      <c r="N33" s="2487"/>
      <c r="O33" s="2487"/>
      <c r="P33" s="3344" t="s">
        <v>1696</v>
      </c>
      <c r="Q33" s="1263" t="str">
        <f t="shared" si="11"/>
        <v>建筑类型</v>
      </c>
      <c r="R33" s="667" t="s">
        <v>14</v>
      </c>
      <c r="S33" s="668">
        <f t="shared" si="12"/>
        <v>100</v>
      </c>
      <c r="T33" s="667" t="s">
        <v>14</v>
      </c>
      <c r="U33" s="668">
        <f t="shared" si="13"/>
        <v>100</v>
      </c>
      <c r="V33" s="667" t="s">
        <v>14</v>
      </c>
      <c r="W33" s="668">
        <f t="shared" si="14"/>
        <v>100</v>
      </c>
      <c r="X33" s="1265"/>
      <c r="Y33" s="3347"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455.09</v>
      </c>
      <c r="D34" s="119">
        <v>100</v>
      </c>
      <c r="E34" s="369">
        <f>案例信息!M5</f>
        <v>96</v>
      </c>
      <c r="F34" s="364">
        <f>LOOKUP(E34,104:104,105:105)-LOOKUP(C34,104:104,105:105)+100</f>
        <v>98</v>
      </c>
      <c r="G34" s="368">
        <f>案例信息!M6</f>
        <v>678.69</v>
      </c>
      <c r="H34" s="119">
        <f>LOOKUP(G34,104:104,105:105)-LOOKUP(C34,104:104,105:105)+100</f>
        <v>98</v>
      </c>
      <c r="I34" s="368">
        <f>案例信息!M7</f>
        <v>475</v>
      </c>
      <c r="J34" s="119">
        <f>LOOKUP(I34,104:104,105:105)-LOOKUP(C34,104:104,105:105)+100</f>
        <v>100</v>
      </c>
      <c r="K34" s="539"/>
      <c r="L34" s="2491"/>
      <c r="M34" s="2493"/>
      <c r="N34" s="2493"/>
      <c r="O34" s="2493"/>
      <c r="P34" s="3345"/>
      <c r="Q34" s="531" t="str">
        <f t="shared" si="11"/>
        <v>项目建筑规模</v>
      </c>
      <c r="R34" s="669" t="s">
        <v>14</v>
      </c>
      <c r="S34" s="670">
        <f t="shared" si="12"/>
        <v>98</v>
      </c>
      <c r="T34" s="669" t="s">
        <v>14</v>
      </c>
      <c r="U34" s="670">
        <f t="shared" si="13"/>
        <v>98</v>
      </c>
      <c r="V34" s="669" t="s">
        <v>14</v>
      </c>
      <c r="W34" s="670">
        <f t="shared" si="14"/>
        <v>100</v>
      </c>
      <c r="X34" s="671"/>
      <c r="Y34" s="3347"/>
      <c r="Z34" s="672" t="str">
        <f t="shared" si="15"/>
        <v>项目建筑规模</v>
      </c>
      <c r="AA34" s="1264">
        <f t="shared" si="3"/>
        <v>1.0204081632653061</v>
      </c>
      <c r="AB34" s="1264">
        <f t="shared" si="4"/>
        <v>1.0204081632653061</v>
      </c>
      <c r="AC34" s="1812">
        <f t="shared" si="5"/>
        <v>1</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2"/>
      <c r="M35" s="2487"/>
      <c r="N35" s="2487"/>
      <c r="O35" s="2487"/>
      <c r="P35" s="3345"/>
      <c r="Q35" s="1263" t="str">
        <f t="shared" si="11"/>
        <v>建筑结构</v>
      </c>
      <c r="R35" s="667" t="s">
        <v>14</v>
      </c>
      <c r="S35" s="668">
        <f t="shared" si="12"/>
        <v>100</v>
      </c>
      <c r="T35" s="667" t="s">
        <v>14</v>
      </c>
      <c r="U35" s="668">
        <f t="shared" si="13"/>
        <v>100</v>
      </c>
      <c r="V35" s="667" t="s">
        <v>14</v>
      </c>
      <c r="W35" s="668">
        <f t="shared" si="14"/>
        <v>100</v>
      </c>
      <c r="X35" s="1265"/>
      <c r="Y35" s="3347"/>
      <c r="Z35" s="1264" t="str">
        <f t="shared" si="15"/>
        <v>建筑结构</v>
      </c>
      <c r="AA35" s="1264">
        <f t="shared" si="3"/>
        <v>1</v>
      </c>
      <c r="AB35" s="1264">
        <f t="shared" si="4"/>
        <v>1</v>
      </c>
      <c r="AC35" s="1812">
        <f t="shared" si="5"/>
        <v>1</v>
      </c>
    </row>
    <row r="36" spans="1:29" ht="15">
      <c r="A36" s="409"/>
      <c r="B36" s="364" t="s">
        <v>1785</v>
      </c>
      <c r="C36" s="399" t="s">
        <v>3428</v>
      </c>
      <c r="D36" s="374">
        <v>100</v>
      </c>
      <c r="E36" s="399" t="s">
        <v>3428</v>
      </c>
      <c r="F36" s="400">
        <f>SUMIF(108:108,E36,109:109)-SUMIF(108:108,C36,109:109)+100</f>
        <v>100</v>
      </c>
      <c r="G36" s="399" t="s">
        <v>3428</v>
      </c>
      <c r="H36" s="374">
        <f>SUMIF(108:108,G36,109:109)-SUMIF(108:108,C36,109:109)+100</f>
        <v>100</v>
      </c>
      <c r="I36" s="399" t="s">
        <v>3428</v>
      </c>
      <c r="J36" s="374">
        <f>SUMIF(108:108,I36,109:109)-SUMIF(108:108,C36,109:109)+100</f>
        <v>100</v>
      </c>
      <c r="K36" s="538">
        <v>2</v>
      </c>
      <c r="L36" s="2492"/>
      <c r="M36" s="2487"/>
      <c r="N36" s="2487"/>
      <c r="O36" s="2487"/>
      <c r="P36" s="3345"/>
      <c r="Q36" s="1263" t="str">
        <f t="shared" si="11"/>
        <v>公共部分装修</v>
      </c>
      <c r="R36" s="667" t="s">
        <v>14</v>
      </c>
      <c r="S36" s="668">
        <f t="shared" si="12"/>
        <v>100</v>
      </c>
      <c r="T36" s="667" t="s">
        <v>14</v>
      </c>
      <c r="U36" s="668">
        <f t="shared" si="13"/>
        <v>100</v>
      </c>
      <c r="V36" s="667" t="s">
        <v>14</v>
      </c>
      <c r="W36" s="668">
        <f t="shared" si="14"/>
        <v>100</v>
      </c>
      <c r="X36" s="1265"/>
      <c r="Y36" s="3347"/>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45"/>
      <c r="Q37" s="1263" t="str">
        <f t="shared" si="11"/>
        <v>成新度</v>
      </c>
      <c r="R37" s="667" t="s">
        <v>14</v>
      </c>
      <c r="S37" s="668">
        <f t="shared" si="12"/>
        <v>100</v>
      </c>
      <c r="T37" s="667" t="s">
        <v>14</v>
      </c>
      <c r="U37" s="668">
        <f t="shared" si="13"/>
        <v>100</v>
      </c>
      <c r="V37" s="667" t="s">
        <v>14</v>
      </c>
      <c r="W37" s="668">
        <f t="shared" si="14"/>
        <v>100</v>
      </c>
      <c r="X37" s="1265"/>
      <c r="Y37" s="3347"/>
      <c r="Z37" s="1264" t="str">
        <f t="shared" si="15"/>
        <v>成新度</v>
      </c>
      <c r="AA37" s="1264">
        <f t="shared" si="3"/>
        <v>1</v>
      </c>
      <c r="AB37" s="1264">
        <f t="shared" si="4"/>
        <v>1</v>
      </c>
      <c r="AC37" s="1812">
        <f t="shared" si="5"/>
        <v>1</v>
      </c>
    </row>
    <row r="38" spans="1:29" s="102" customFormat="1" ht="15">
      <c r="A38" s="410"/>
      <c r="B38" s="364" t="s">
        <v>1818</v>
      </c>
      <c r="C38" s="399" t="s">
        <v>3431</v>
      </c>
      <c r="D38" s="119">
        <v>100</v>
      </c>
      <c r="E38" s="399" t="s">
        <v>3431</v>
      </c>
      <c r="F38" s="400">
        <f>SUMIF(113:113,E38,114:114)-SUMIF(113:113,C38,114:114)+100</f>
        <v>100</v>
      </c>
      <c r="G38" s="399" t="s">
        <v>3431</v>
      </c>
      <c r="H38" s="374">
        <f>SUMIF(113:113,G38,114:114)-SUMIF(113:113,C38,114:114)+100</f>
        <v>100</v>
      </c>
      <c r="I38" s="399" t="s">
        <v>3431</v>
      </c>
      <c r="J38" s="374">
        <f>SUMIF(113:113,I38,114:114)-SUMIF(113:113,C38,114:114)+100</f>
        <v>100</v>
      </c>
      <c r="K38" s="538">
        <v>2</v>
      </c>
      <c r="L38" s="2488"/>
      <c r="M38" s="2439"/>
      <c r="N38" s="2439"/>
      <c r="O38" s="2439"/>
      <c r="P38" s="3345"/>
      <c r="Q38" s="530" t="str">
        <f t="shared" si="11"/>
        <v>写字楼等级</v>
      </c>
      <c r="R38" s="664" t="s">
        <v>14</v>
      </c>
      <c r="S38" s="665">
        <f t="shared" si="12"/>
        <v>100</v>
      </c>
      <c r="T38" s="664" t="s">
        <v>14</v>
      </c>
      <c r="U38" s="665">
        <f t="shared" si="13"/>
        <v>100</v>
      </c>
      <c r="V38" s="664" t="s">
        <v>14</v>
      </c>
      <c r="W38" s="665">
        <f t="shared" si="14"/>
        <v>100</v>
      </c>
      <c r="X38" s="666"/>
      <c r="Y38" s="3347"/>
      <c r="Z38" s="50" t="str">
        <f t="shared" si="15"/>
        <v>写字楼等级</v>
      </c>
      <c r="AA38" s="50">
        <f t="shared" si="3"/>
        <v>1</v>
      </c>
      <c r="AB38" s="50">
        <f t="shared" si="4"/>
        <v>1</v>
      </c>
      <c r="AC38" s="802">
        <f t="shared" si="5"/>
        <v>1</v>
      </c>
    </row>
    <row r="39" spans="1:29" ht="15">
      <c r="A39" s="409"/>
      <c r="B39" s="364" t="s">
        <v>1819</v>
      </c>
      <c r="C39" s="399" t="s">
        <v>3432</v>
      </c>
      <c r="D39" s="374">
        <v>100</v>
      </c>
      <c r="E39" s="399" t="s">
        <v>3432</v>
      </c>
      <c r="F39" s="400">
        <f>SUMIF(115:115,E39,116:116)-SUMIF(115:115,C39,116:116)+100</f>
        <v>100</v>
      </c>
      <c r="G39" s="399" t="s">
        <v>3432</v>
      </c>
      <c r="H39" s="374">
        <f>SUMIF(115:115,G39,116:116)-SUMIF(115:115,C39,116:116)+100</f>
        <v>100</v>
      </c>
      <c r="I39" s="399" t="s">
        <v>3432</v>
      </c>
      <c r="J39" s="374">
        <f>SUMIF(115:115,I39,116:116)-SUMIF(115:115,C39,116:116)+100</f>
        <v>100</v>
      </c>
      <c r="K39" s="538">
        <v>2</v>
      </c>
      <c r="L39" s="2492"/>
      <c r="M39" s="2487"/>
      <c r="N39" s="2487"/>
      <c r="O39" s="2487"/>
      <c r="P39" s="3345" t="s">
        <v>1696</v>
      </c>
      <c r="Q39" s="1263" t="str">
        <f t="shared" si="11"/>
        <v>物业管理</v>
      </c>
      <c r="R39" s="667" t="s">
        <v>14</v>
      </c>
      <c r="S39" s="668">
        <f t="shared" si="12"/>
        <v>100</v>
      </c>
      <c r="T39" s="667" t="s">
        <v>14</v>
      </c>
      <c r="U39" s="668">
        <f t="shared" si="13"/>
        <v>100</v>
      </c>
      <c r="V39" s="667" t="s">
        <v>14</v>
      </c>
      <c r="W39" s="668">
        <f t="shared" si="14"/>
        <v>100</v>
      </c>
      <c r="X39" s="1265"/>
      <c r="Y39" s="3347" t="s">
        <v>1696</v>
      </c>
      <c r="Z39" s="1264" t="str">
        <f t="shared" si="15"/>
        <v>物业管理</v>
      </c>
      <c r="AA39" s="1264">
        <f t="shared" si="3"/>
        <v>1</v>
      </c>
      <c r="AB39" s="1264">
        <f t="shared" si="4"/>
        <v>1</v>
      </c>
      <c r="AC39" s="1812">
        <f t="shared" si="5"/>
        <v>1</v>
      </c>
    </row>
    <row r="40" spans="1:29" ht="15">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2</v>
      </c>
      <c r="L40" s="2492"/>
      <c r="M40" s="2487"/>
      <c r="N40" s="2487"/>
      <c r="O40" s="2487"/>
      <c r="P40" s="3345"/>
      <c r="Q40" s="1263" t="str">
        <f t="shared" si="11"/>
        <v>市政基础设施</v>
      </c>
      <c r="R40" s="667" t="s">
        <v>14</v>
      </c>
      <c r="S40" s="668">
        <f t="shared" si="12"/>
        <v>100</v>
      </c>
      <c r="T40" s="667" t="s">
        <v>14</v>
      </c>
      <c r="U40" s="668">
        <f t="shared" si="13"/>
        <v>100</v>
      </c>
      <c r="V40" s="667" t="s">
        <v>14</v>
      </c>
      <c r="W40" s="668">
        <f t="shared" si="14"/>
        <v>100</v>
      </c>
      <c r="X40" s="1265"/>
      <c r="Y40" s="3347"/>
      <c r="Z40" s="1264" t="str">
        <f t="shared" si="15"/>
        <v>市政基础设施</v>
      </c>
      <c r="AA40" s="1264">
        <f t="shared" si="3"/>
        <v>1</v>
      </c>
      <c r="AB40" s="1264">
        <f t="shared" si="4"/>
        <v>1</v>
      </c>
      <c r="AC40" s="1812">
        <f t="shared" si="5"/>
        <v>1</v>
      </c>
    </row>
    <row r="41" spans="1:29" ht="15">
      <c r="A41" s="409"/>
      <c r="B41" s="364" t="s">
        <v>1789</v>
      </c>
      <c r="C41" s="542" t="s">
        <v>3434</v>
      </c>
      <c r="D41" s="374">
        <v>100</v>
      </c>
      <c r="E41" s="542" t="s">
        <v>3434</v>
      </c>
      <c r="F41" s="400">
        <f>SUMIF(119:119,E41,120:120)-SUMIF(119:119,C41,120:120)+100</f>
        <v>100</v>
      </c>
      <c r="G41" s="542" t="s">
        <v>3434</v>
      </c>
      <c r="H41" s="374">
        <f>SUMIF(119:119,G41,120:120)-SUMIF(119:119,C41,120:120)+100</f>
        <v>100</v>
      </c>
      <c r="I41" s="542" t="s">
        <v>3434</v>
      </c>
      <c r="J41" s="374">
        <f>SUMIF(119:119,I41,120:120)-SUMIF(119:119,C41,120:120)+100</f>
        <v>100</v>
      </c>
      <c r="K41" s="538">
        <v>2</v>
      </c>
      <c r="L41" s="2492"/>
      <c r="M41" s="2487"/>
      <c r="N41" s="2487"/>
      <c r="O41" s="2487"/>
      <c r="P41" s="3345"/>
      <c r="Q41" s="1263" t="str">
        <f t="shared" si="11"/>
        <v>层高</v>
      </c>
      <c r="R41" s="667" t="s">
        <v>14</v>
      </c>
      <c r="S41" s="668">
        <f t="shared" si="12"/>
        <v>100</v>
      </c>
      <c r="T41" s="667" t="s">
        <v>14</v>
      </c>
      <c r="U41" s="668">
        <f t="shared" si="13"/>
        <v>100</v>
      </c>
      <c r="V41" s="667" t="s">
        <v>14</v>
      </c>
      <c r="W41" s="668">
        <f t="shared" si="14"/>
        <v>100</v>
      </c>
      <c r="X41" s="1265"/>
      <c r="Y41" s="334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45"/>
      <c r="Q42" s="531" t="str">
        <f t="shared" si="11"/>
        <v>单套建筑面积</v>
      </c>
      <c r="R42" s="669" t="s">
        <v>14</v>
      </c>
      <c r="S42" s="670">
        <f t="shared" si="12"/>
        <v>100</v>
      </c>
      <c r="T42" s="669" t="s">
        <v>14</v>
      </c>
      <c r="U42" s="670">
        <f t="shared" si="13"/>
        <v>100</v>
      </c>
      <c r="V42" s="669" t="s">
        <v>14</v>
      </c>
      <c r="W42" s="670">
        <f t="shared" si="14"/>
        <v>100</v>
      </c>
      <c r="X42" s="671"/>
      <c r="Y42" s="3347"/>
      <c r="Z42" s="672" t="str">
        <f t="shared" si="15"/>
        <v>单套建筑面积</v>
      </c>
      <c r="AA42" s="1264">
        <f t="shared" si="3"/>
        <v>1</v>
      </c>
      <c r="AB42" s="1264">
        <f t="shared" si="4"/>
        <v>1</v>
      </c>
      <c r="AC42" s="1812">
        <f t="shared" si="5"/>
        <v>1</v>
      </c>
    </row>
    <row r="43" spans="1:29" ht="15">
      <c r="A43" s="409"/>
      <c r="B43" s="364" t="s">
        <v>1792</v>
      </c>
      <c r="C43" s="399" t="s">
        <v>3435</v>
      </c>
      <c r="D43" s="374">
        <v>100</v>
      </c>
      <c r="E43" s="399" t="s">
        <v>3435</v>
      </c>
      <c r="F43" s="400">
        <f>SUMIF(123:123,E43,124:124)-SUMIF(123:123,C43,124:124)+100</f>
        <v>100</v>
      </c>
      <c r="G43" s="399" t="s">
        <v>3435</v>
      </c>
      <c r="H43" s="374">
        <f>SUMIF(123:123,G43,124:124)-SUMIF(123:123,C43,124:124)+100</f>
        <v>100</v>
      </c>
      <c r="I43" s="399" t="s">
        <v>3435</v>
      </c>
      <c r="J43" s="374">
        <f>SUMIF(123:123,I43,124:124)-SUMIF(123:123,C43,124:124)+100</f>
        <v>100</v>
      </c>
      <c r="K43" s="538">
        <v>2</v>
      </c>
      <c r="L43" s="2492"/>
      <c r="M43" s="2487"/>
      <c r="N43" s="2487"/>
      <c r="O43" s="2487"/>
      <c r="P43" s="3345"/>
      <c r="Q43" s="1263" t="str">
        <f t="shared" si="11"/>
        <v>内部装修</v>
      </c>
      <c r="R43" s="667" t="s">
        <v>14</v>
      </c>
      <c r="S43" s="668">
        <f t="shared" si="12"/>
        <v>100</v>
      </c>
      <c r="T43" s="667" t="s">
        <v>14</v>
      </c>
      <c r="U43" s="668">
        <f t="shared" si="13"/>
        <v>100</v>
      </c>
      <c r="V43" s="667" t="s">
        <v>14</v>
      </c>
      <c r="W43" s="668">
        <f t="shared" si="14"/>
        <v>100</v>
      </c>
      <c r="X43" s="1265"/>
      <c r="Y43" s="3347"/>
      <c r="Z43" s="1264" t="str">
        <f t="shared" si="15"/>
        <v>内部装修</v>
      </c>
      <c r="AA43" s="1264">
        <f t="shared" si="3"/>
        <v>1</v>
      </c>
      <c r="AB43" s="1264">
        <f t="shared" si="4"/>
        <v>1</v>
      </c>
      <c r="AC43" s="1812">
        <f t="shared" si="5"/>
        <v>1</v>
      </c>
    </row>
    <row r="44" spans="1:29" ht="15">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2"/>
      <c r="M44" s="2487"/>
      <c r="N44" s="2487"/>
      <c r="O44" s="2487"/>
      <c r="P44" s="3345"/>
      <c r="Q44" s="1263" t="str">
        <f t="shared" si="11"/>
        <v>内部装修维护情况</v>
      </c>
      <c r="R44" s="667" t="s">
        <v>14</v>
      </c>
      <c r="S44" s="668">
        <f t="shared" si="12"/>
        <v>100</v>
      </c>
      <c r="T44" s="667" t="s">
        <v>14</v>
      </c>
      <c r="U44" s="668">
        <f t="shared" si="13"/>
        <v>100</v>
      </c>
      <c r="V44" s="667" t="s">
        <v>14</v>
      </c>
      <c r="W44" s="668">
        <f t="shared" si="14"/>
        <v>100</v>
      </c>
      <c r="X44" s="1265"/>
      <c r="Y44" s="334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45"/>
      <c r="Q45" s="530">
        <f t="shared" si="11"/>
        <v>111</v>
      </c>
      <c r="R45" s="664" t="s">
        <v>14</v>
      </c>
      <c r="S45" s="665">
        <f t="shared" si="12"/>
        <v>100</v>
      </c>
      <c r="T45" s="664" t="s">
        <v>14</v>
      </c>
      <c r="U45" s="665">
        <f t="shared" si="13"/>
        <v>100</v>
      </c>
      <c r="V45" s="664" t="s">
        <v>14</v>
      </c>
      <c r="W45" s="665">
        <f t="shared" si="14"/>
        <v>100</v>
      </c>
      <c r="X45" s="666"/>
      <c r="Y45" s="334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45"/>
      <c r="Q46" s="1263">
        <f t="shared" si="11"/>
        <v>111</v>
      </c>
      <c r="R46" s="667" t="s">
        <v>14</v>
      </c>
      <c r="S46" s="668">
        <f t="shared" si="12"/>
        <v>100</v>
      </c>
      <c r="T46" s="667" t="s">
        <v>14</v>
      </c>
      <c r="U46" s="668">
        <f t="shared" si="13"/>
        <v>100</v>
      </c>
      <c r="V46" s="667" t="s">
        <v>14</v>
      </c>
      <c r="W46" s="668">
        <f t="shared" si="14"/>
        <v>100</v>
      </c>
      <c r="X46" s="1265"/>
      <c r="Y46" s="334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46"/>
      <c r="Q47" s="1263">
        <f t="shared" si="11"/>
        <v>111</v>
      </c>
      <c r="R47" s="667" t="s">
        <v>14</v>
      </c>
      <c r="S47" s="668">
        <f t="shared" si="12"/>
        <v>100</v>
      </c>
      <c r="T47" s="667" t="s">
        <v>14</v>
      </c>
      <c r="U47" s="668">
        <f t="shared" si="13"/>
        <v>100</v>
      </c>
      <c r="V47" s="667" t="s">
        <v>14</v>
      </c>
      <c r="W47" s="668">
        <f t="shared" si="14"/>
        <v>100</v>
      </c>
      <c r="X47" s="1265"/>
      <c r="Y47" s="3348"/>
      <c r="Z47" s="1264">
        <f t="shared" si="15"/>
        <v>111</v>
      </c>
      <c r="AA47" s="1264">
        <f t="shared" si="3"/>
        <v>1</v>
      </c>
      <c r="AB47" s="1264">
        <f t="shared" si="4"/>
        <v>1</v>
      </c>
      <c r="AC47" s="1812">
        <f t="shared" si="5"/>
        <v>1</v>
      </c>
    </row>
    <row r="48" spans="1:29" ht="15">
      <c r="A48" s="416" t="s">
        <v>1708</v>
      </c>
      <c r="B48" s="417"/>
      <c r="C48" s="1081" t="s">
        <v>0</v>
      </c>
      <c r="D48" s="418"/>
      <c r="E48" s="419">
        <f>案例信息!O5</f>
        <v>49000</v>
      </c>
      <c r="F48" s="420"/>
      <c r="G48" s="421">
        <f>案例信息!O6</f>
        <v>50000</v>
      </c>
      <c r="H48" s="422"/>
      <c r="I48" s="419">
        <f>案例信息!O7</f>
        <v>52000</v>
      </c>
      <c r="J48" s="422"/>
      <c r="K48" s="674"/>
      <c r="L48" s="2494"/>
      <c r="M48" s="2487"/>
      <c r="N48" s="2487"/>
      <c r="O48" s="2487"/>
      <c r="P48" s="3334" t="str">
        <f>A48</f>
        <v>成交单价（元/平方米）</v>
      </c>
      <c r="Q48" s="3335"/>
      <c r="R48" s="3336">
        <f>E48</f>
        <v>49000</v>
      </c>
      <c r="S48" s="3336"/>
      <c r="T48" s="3336">
        <f>G48</f>
        <v>50000</v>
      </c>
      <c r="U48" s="3336"/>
      <c r="V48" s="3336">
        <f>I48</f>
        <v>52000</v>
      </c>
      <c r="W48" s="3336"/>
      <c r="X48" s="385"/>
      <c r="Y48" s="673"/>
      <c r="Z48" s="385"/>
      <c r="AA48" s="385"/>
      <c r="AB48" s="385"/>
      <c r="AC48" s="555"/>
    </row>
    <row r="49" spans="1:29" ht="15.75" thickBot="1">
      <c r="A49" s="423" t="s">
        <v>1793</v>
      </c>
      <c r="B49" s="424"/>
      <c r="C49" s="1082">
        <f>R50</f>
        <v>50521</v>
      </c>
      <c r="D49" s="2141" t="s">
        <v>2138</v>
      </c>
      <c r="E49" s="1083">
        <f>R49</f>
        <v>48544</v>
      </c>
      <c r="F49" s="2142"/>
      <c r="G49" s="1082">
        <f>T49</f>
        <v>51020</v>
      </c>
      <c r="H49" s="2142"/>
      <c r="I49" s="1083">
        <f>V49</f>
        <v>52000</v>
      </c>
      <c r="J49" s="2142"/>
      <c r="K49" s="2144">
        <f>F49+H49+J49</f>
        <v>0</v>
      </c>
      <c r="L49" s="2494"/>
      <c r="M49" s="2487"/>
      <c r="N49" s="2487"/>
      <c r="O49" s="2487"/>
      <c r="P49" s="3334" t="str">
        <f>A49</f>
        <v>比较价值（元/平方米）</v>
      </c>
      <c r="Q49" s="3335"/>
      <c r="R49" s="3336">
        <f>IF(F1="售价",ROUND(PRODUCT(R48,AA7:AA47),0),ROUND(PRODUCT(R48,AA7:AA47),1))</f>
        <v>48544</v>
      </c>
      <c r="S49" s="3336"/>
      <c r="T49" s="3336">
        <f>IF(F1="售价",ROUND(PRODUCT(T48,AB7:AB47),0),ROUND(PRODUCT(T48,AB7:AB47),1))</f>
        <v>51020</v>
      </c>
      <c r="U49" s="3336"/>
      <c r="V49" s="3336">
        <f>IF(F1="售价",ROUND(PRODUCT(V48,AC7:AC47),0),ROUND(PRODUCT(V48,AC7:AC47),1))</f>
        <v>52000</v>
      </c>
      <c r="W49" s="3336"/>
      <c r="X49" s="385"/>
      <c r="Y49" s="385"/>
      <c r="Z49" s="385"/>
      <c r="AA49" s="385"/>
      <c r="AB49" s="385"/>
      <c r="AC49" s="555"/>
    </row>
    <row r="50" spans="1:29" ht="15.75" thickBot="1">
      <c r="A50" s="427" t="s">
        <v>1794</v>
      </c>
      <c r="B50" s="428"/>
      <c r="C50" s="351">
        <f>R50</f>
        <v>50521</v>
      </c>
      <c r="D50" s="351"/>
      <c r="E50" s="351"/>
      <c r="F50" s="351"/>
      <c r="G50" s="351"/>
      <c r="H50" s="351"/>
      <c r="I50" s="351"/>
      <c r="J50" s="429"/>
      <c r="K50" s="675"/>
      <c r="L50" s="2494"/>
      <c r="M50" s="2487"/>
      <c r="N50" s="2487"/>
      <c r="O50" s="2487"/>
      <c r="P50" s="3337" t="str">
        <f>A50</f>
        <v>估价对象XX用房的比较价值（楼面单价，元/平方米）</v>
      </c>
      <c r="Q50" s="3338"/>
      <c r="R50" s="3339">
        <f>IF(F1="售价",ROUND(IF(D49="简单平均",AVERAGE(R49:V49),R49*F49+T49*H49+V49*J49),0),ROUND(IF(D49="简单平均",AVERAGE(R49:V49),R49*F49+T49*H49+V49*J49),1))</f>
        <v>50521</v>
      </c>
      <c r="S50" s="3339"/>
      <c r="T50" s="3339"/>
      <c r="U50" s="3339"/>
      <c r="V50" s="3339"/>
      <c r="W50" s="333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9.3935398813447257E-3</v>
      </c>
      <c r="F53" s="435" t="str">
        <f>IF(OR(E53&gt;=0.3,E53&lt;=-0.3),"超过30%","")</f>
        <v/>
      </c>
      <c r="G53" s="434">
        <f>IF(G48&lt;G49,G49/G48-1,G48/G49-1)</f>
        <v>2.0399999999999974E-2</v>
      </c>
      <c r="H53" s="435" t="str">
        <f>IF(OR(G53&gt;=0.3,G53&lt;=-0.3),"超过30%","")</f>
        <v/>
      </c>
      <c r="I53" s="434">
        <f>IF(I48&lt;I49,I49/I48-1,I48/I49-1)</f>
        <v>0</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5.1005273566249176E-2</v>
      </c>
      <c r="F54" s="435" t="str">
        <f>IF(OR(E54&gt;=0.2,E54&lt;=-0.2),"超过20%","")</f>
        <v/>
      </c>
      <c r="G54" s="434">
        <f>IF(G49&lt;I49,I49/G49-1,G49/I49-1)</f>
        <v>1.9208153665229322E-2</v>
      </c>
      <c r="H54" s="435" t="str">
        <f>IF(OR(G54&gt;=0.2,G54&lt;=-0.2),"超过20%","")</f>
        <v/>
      </c>
      <c r="I54" s="434">
        <f>IF(I49&lt;E49,E49/I49-1,I49/E49-1)</f>
        <v>7.1193144363876026E-2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2.0408163265306145E-2</v>
      </c>
      <c r="F55" s="435" t="str">
        <f>IF(OR(E55&gt;=0.3,E55&lt;=-0.3),"超过30%","")</f>
        <v/>
      </c>
      <c r="G55" s="434">
        <f>IF(G48&lt;I48,I48/G48-1,G48/I48-1)</f>
        <v>4.0000000000000036E-2</v>
      </c>
      <c r="H55" s="435" t="str">
        <f>IF(OR(G55&gt;=0.3,G55&lt;=-0.3),"超过30%","")</f>
        <v/>
      </c>
      <c r="I55" s="434">
        <f>IF(I48&lt;E48,E48/I48-1,I48/E48-1)</f>
        <v>6.1224489795918435E-2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3430</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北京市房地产抵押价值预评估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5595-5E06-4473-81C8-AE9DEA483865}">
  <sheetPr>
    <tabColor rgb="FF92D050"/>
    <pageSetUpPr fitToPage="1"/>
  </sheetPr>
  <dimension ref="A1:AC132"/>
  <sheetViews>
    <sheetView view="pageBreakPreview" zoomScale="80" zoomScaleNormal="70" zoomScaleSheetLayoutView="80" workbookViewId="0">
      <selection activeCell="I34" sqref="I3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3441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0.38229999999999997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8.4</v>
      </c>
      <c r="C3" s="344" t="s">
        <v>1665</v>
      </c>
      <c r="D3" s="343">
        <f>IF(D1="",'数据-汇总表'!E3,SUMIF('数据-汇总表'!$C19:$C33,D1,'数据-汇总表'!$E19:$E33))</f>
        <v>455.09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52" t="s">
        <v>1667</v>
      </c>
      <c r="D4" s="3353"/>
      <c r="E4" s="3354" t="s">
        <v>1668</v>
      </c>
      <c r="F4" s="3355"/>
      <c r="G4" s="3352" t="s">
        <v>1669</v>
      </c>
      <c r="H4" s="3353"/>
      <c r="I4" s="3352" t="s">
        <v>1670</v>
      </c>
      <c r="J4" s="3353"/>
      <c r="K4" s="537" t="s">
        <v>1671</v>
      </c>
      <c r="L4" s="2486"/>
      <c r="M4" s="2487"/>
      <c r="N4" s="2487"/>
      <c r="O4" s="2487"/>
      <c r="P4" s="3356" t="s">
        <v>1672</v>
      </c>
      <c r="Q4" s="3357"/>
      <c r="R4" s="3362" t="s">
        <v>1668</v>
      </c>
      <c r="S4" s="3363"/>
      <c r="T4" s="3362" t="s">
        <v>1669</v>
      </c>
      <c r="U4" s="3363"/>
      <c r="V4" s="3368" t="s">
        <v>1670</v>
      </c>
      <c r="W4" s="3368"/>
      <c r="X4" s="1809"/>
      <c r="Y4" s="3362" t="s">
        <v>1672</v>
      </c>
      <c r="Z4" s="3363"/>
      <c r="AA4" s="3379" t="s">
        <v>1668</v>
      </c>
      <c r="AB4" s="3379" t="s">
        <v>1669</v>
      </c>
      <c r="AC4" s="3349" t="s">
        <v>1670</v>
      </c>
    </row>
    <row r="5" spans="1:29" ht="15">
      <c r="A5" s="348"/>
      <c r="B5" s="349"/>
      <c r="C5" s="3487" t="s">
        <v>3423</v>
      </c>
      <c r="D5" s="3372"/>
      <c r="E5" s="3382" t="str">
        <f>C5</f>
        <v>富尔大厦</v>
      </c>
      <c r="F5" s="3383"/>
      <c r="G5" s="3371" t="str">
        <f>C5</f>
        <v>富尔大厦</v>
      </c>
      <c r="H5" s="3372"/>
      <c r="I5" s="3371" t="str">
        <f>C5</f>
        <v>富尔大厦</v>
      </c>
      <c r="J5" s="3372"/>
      <c r="K5" s="537"/>
      <c r="L5" s="2486"/>
      <c r="M5" s="2487"/>
      <c r="N5" s="2487"/>
      <c r="O5" s="2487"/>
      <c r="P5" s="3358"/>
      <c r="Q5" s="3359"/>
      <c r="R5" s="3364"/>
      <c r="S5" s="3365"/>
      <c r="T5" s="3364"/>
      <c r="U5" s="3365"/>
      <c r="V5" s="3336"/>
      <c r="W5" s="3336"/>
      <c r="X5" s="1265"/>
      <c r="Y5" s="3364"/>
      <c r="Z5" s="3365"/>
      <c r="AA5" s="3380"/>
      <c r="AB5" s="3380"/>
      <c r="AC5" s="335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360"/>
      <c r="Q6" s="3361"/>
      <c r="R6" s="3364"/>
      <c r="S6" s="3365"/>
      <c r="T6" s="3366"/>
      <c r="U6" s="3367"/>
      <c r="V6" s="3336"/>
      <c r="W6" s="3336"/>
      <c r="X6" s="1265"/>
      <c r="Y6" s="3366"/>
      <c r="Z6" s="3367"/>
      <c r="AA6" s="3381"/>
      <c r="AB6" s="3381"/>
      <c r="AC6" s="3351"/>
    </row>
    <row r="7" spans="1:29" s="102" customFormat="1" ht="15.75" thickBot="1">
      <c r="A7" s="352" t="s">
        <v>1679</v>
      </c>
      <c r="B7" s="353"/>
      <c r="C7" s="354">
        <f>'数据-取费表'!B2</f>
        <v>44988</v>
      </c>
      <c r="D7" s="355">
        <v>100</v>
      </c>
      <c r="E7" s="356">
        <f>C7</f>
        <v>44988</v>
      </c>
      <c r="F7" s="357">
        <f>SUMIF(59:59,YEAR(E7)&amp;"-"&amp;MONTH(E7),60:60)</f>
        <v>100</v>
      </c>
      <c r="G7" s="356">
        <f>C7</f>
        <v>44988</v>
      </c>
      <c r="H7" s="355">
        <f>SUMIF(59:59,YEAR(G7)&amp;"-"&amp;MONTH(G7),60:60)</f>
        <v>100</v>
      </c>
      <c r="I7" s="356">
        <f>C7</f>
        <v>44988</v>
      </c>
      <c r="J7" s="355">
        <f>SUMIF(59:59,YEAR(I7)&amp;"-"&amp;MONTH(I7),60:60)</f>
        <v>100</v>
      </c>
      <c r="K7" s="38"/>
      <c r="L7" s="2488"/>
      <c r="M7" s="2439"/>
      <c r="N7" s="2439"/>
      <c r="O7" s="2439"/>
      <c r="P7" s="3373" t="s">
        <v>1680</v>
      </c>
      <c r="Q7" s="3376"/>
      <c r="R7" s="664" t="s">
        <v>14</v>
      </c>
      <c r="S7" s="665">
        <f t="shared" ref="S7:S15" si="0">F7</f>
        <v>100</v>
      </c>
      <c r="T7" s="664" t="s">
        <v>14</v>
      </c>
      <c r="U7" s="665">
        <f t="shared" ref="U7:U15" si="1">H7</f>
        <v>100</v>
      </c>
      <c r="V7" s="664" t="s">
        <v>14</v>
      </c>
      <c r="W7" s="665">
        <f t="shared" ref="W7:W15" si="2">J7</f>
        <v>100</v>
      </c>
      <c r="X7" s="666"/>
      <c r="Y7" s="3375" t="s">
        <v>1680</v>
      </c>
      <c r="Z7" s="3374"/>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3" t="s">
        <v>1683</v>
      </c>
      <c r="Q8" s="3374"/>
      <c r="R8" s="664" t="s">
        <v>14</v>
      </c>
      <c r="S8" s="665">
        <f t="shared" si="0"/>
        <v>100</v>
      </c>
      <c r="T8" s="664" t="s">
        <v>14</v>
      </c>
      <c r="U8" s="665">
        <f t="shared" si="1"/>
        <v>100</v>
      </c>
      <c r="V8" s="664" t="s">
        <v>14</v>
      </c>
      <c r="W8" s="665">
        <f t="shared" si="2"/>
        <v>100</v>
      </c>
      <c r="X8" s="666"/>
      <c r="Y8" s="3375" t="s">
        <v>1683</v>
      </c>
      <c r="Z8" s="3374"/>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34"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34"/>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34"/>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34"/>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34"/>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34"/>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40" t="s">
        <v>1691</v>
      </c>
      <c r="Q15" s="1263" t="str">
        <f t="shared" si="6"/>
        <v>办公集聚程度</v>
      </c>
      <c r="R15" s="667" t="s">
        <v>14</v>
      </c>
      <c r="S15" s="668">
        <f t="shared" si="0"/>
        <v>100</v>
      </c>
      <c r="T15" s="667" t="s">
        <v>14</v>
      </c>
      <c r="U15" s="668">
        <f t="shared" si="1"/>
        <v>100</v>
      </c>
      <c r="V15" s="667" t="s">
        <v>14</v>
      </c>
      <c r="W15" s="668">
        <f t="shared" si="2"/>
        <v>100</v>
      </c>
      <c r="X15" s="1265"/>
      <c r="Y15" s="3342"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41"/>
      <c r="Q16" s="1263"/>
      <c r="R16" s="667"/>
      <c r="S16" s="668"/>
      <c r="T16" s="667"/>
      <c r="U16" s="668"/>
      <c r="V16" s="667"/>
      <c r="W16" s="668"/>
      <c r="X16" s="1265"/>
      <c r="Y16" s="3343"/>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41"/>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41"/>
      <c r="Q18" s="1263"/>
      <c r="R18" s="667"/>
      <c r="S18" s="668"/>
      <c r="T18" s="667"/>
      <c r="U18" s="668"/>
      <c r="V18" s="667"/>
      <c r="W18" s="668"/>
      <c r="X18" s="1265"/>
      <c r="Y18" s="3343"/>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41"/>
      <c r="Q19" s="1263" t="str">
        <f>B19</f>
        <v>公共配套设施</v>
      </c>
      <c r="R19" s="667" t="s">
        <v>14</v>
      </c>
      <c r="S19" s="668">
        <f>F19</f>
        <v>100</v>
      </c>
      <c r="T19" s="667" t="s">
        <v>14</v>
      </c>
      <c r="U19" s="668">
        <f>H19</f>
        <v>100</v>
      </c>
      <c r="V19" s="667" t="s">
        <v>14</v>
      </c>
      <c r="W19" s="668">
        <f>J19</f>
        <v>100</v>
      </c>
      <c r="X19" s="1265"/>
      <c r="Y19" s="3343"/>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41"/>
      <c r="Q20" s="1263"/>
      <c r="R20" s="667"/>
      <c r="S20" s="668"/>
      <c r="T20" s="667"/>
      <c r="U20" s="668"/>
      <c r="V20" s="667"/>
      <c r="W20" s="668"/>
      <c r="X20" s="1265"/>
      <c r="Y20" s="3343"/>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41"/>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2"/>
      <c r="M22" s="2487"/>
      <c r="N22" s="2487"/>
      <c r="O22" s="2487"/>
      <c r="P22" s="3341"/>
      <c r="Q22" s="1263"/>
      <c r="R22" s="667"/>
      <c r="S22" s="668"/>
      <c r="T22" s="667"/>
      <c r="U22" s="668"/>
      <c r="V22" s="667"/>
      <c r="W22" s="668"/>
      <c r="X22" s="1265"/>
      <c r="Y22" s="3343"/>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41"/>
      <c r="Q23" s="1263" t="str">
        <f>B23</f>
        <v>环境质量</v>
      </c>
      <c r="R23" s="667" t="s">
        <v>14</v>
      </c>
      <c r="S23" s="668">
        <f>F23</f>
        <v>100</v>
      </c>
      <c r="T23" s="667" t="s">
        <v>14</v>
      </c>
      <c r="U23" s="668">
        <f>H23</f>
        <v>100</v>
      </c>
      <c r="V23" s="667" t="s">
        <v>14</v>
      </c>
      <c r="W23" s="668">
        <f>J23</f>
        <v>100</v>
      </c>
      <c r="X23" s="1265"/>
      <c r="Y23" s="3343"/>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2"/>
      <c r="M24" s="2487"/>
      <c r="N24" s="2487"/>
      <c r="O24" s="2487"/>
      <c r="P24" s="3341"/>
      <c r="Q24" s="1263"/>
      <c r="R24" s="667"/>
      <c r="S24" s="668"/>
      <c r="T24" s="667"/>
      <c r="U24" s="668"/>
      <c r="V24" s="667"/>
      <c r="W24" s="668"/>
      <c r="X24" s="1265"/>
      <c r="Y24" s="334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41"/>
      <c r="Q25" s="1263" t="str">
        <f>B25</f>
        <v>毗邻道路的类型与等级</v>
      </c>
      <c r="R25" s="667" t="s">
        <v>14</v>
      </c>
      <c r="S25" s="668">
        <f>F25</f>
        <v>100</v>
      </c>
      <c r="T25" s="667" t="s">
        <v>14</v>
      </c>
      <c r="U25" s="668">
        <f>H25</f>
        <v>100</v>
      </c>
      <c r="V25" s="667" t="s">
        <v>14</v>
      </c>
      <c r="W25" s="668">
        <f>J25</f>
        <v>100</v>
      </c>
      <c r="X25" s="1265"/>
      <c r="Y25" s="334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41"/>
      <c r="Q26" s="1263"/>
      <c r="R26" s="667"/>
      <c r="S26" s="668"/>
      <c r="T26" s="667"/>
      <c r="U26" s="668"/>
      <c r="V26" s="667"/>
      <c r="W26" s="668"/>
      <c r="X26" s="1265"/>
      <c r="Y26" s="3343"/>
      <c r="Z26" s="1264"/>
      <c r="AA26" s="1264">
        <v>1</v>
      </c>
      <c r="AB26" s="1264">
        <v>1</v>
      </c>
      <c r="AC26" s="1812">
        <v>1</v>
      </c>
    </row>
    <row r="27" spans="1:29" ht="15">
      <c r="A27" s="367"/>
      <c r="B27" s="401" t="s">
        <v>1783</v>
      </c>
      <c r="C27" s="558" t="s">
        <v>3421</v>
      </c>
      <c r="D27" s="374">
        <v>100</v>
      </c>
      <c r="E27" s="542" t="s">
        <v>3419</v>
      </c>
      <c r="F27" s="374">
        <f>SUMIF(89:89,E27,90:90)-SUMIF(89:89,C27,90:90)+100</f>
        <v>103</v>
      </c>
      <c r="G27" s="558" t="s">
        <v>3421</v>
      </c>
      <c r="H27" s="374">
        <f>SUMIF(89:89,G27,90:90)-SUMIF(89:89,C27,90:90)+100</f>
        <v>100</v>
      </c>
      <c r="I27" s="542" t="s">
        <v>3444</v>
      </c>
      <c r="J27" s="374">
        <f>SUMIF(89:89,I27,90:90)-SUMIF(89:89,C27,90:90)+100</f>
        <v>97</v>
      </c>
      <c r="K27" s="538">
        <v>3</v>
      </c>
      <c r="L27" s="2492"/>
      <c r="M27" s="2487"/>
      <c r="N27" s="2487"/>
      <c r="O27" s="2487"/>
      <c r="P27" s="3341"/>
      <c r="Q27" s="1263" t="str">
        <f t="shared" ref="Q27:Q47" si="11">B27</f>
        <v>楼层</v>
      </c>
      <c r="R27" s="667" t="s">
        <v>14</v>
      </c>
      <c r="S27" s="668">
        <f>F27</f>
        <v>103</v>
      </c>
      <c r="T27" s="667" t="s">
        <v>14</v>
      </c>
      <c r="U27" s="668">
        <f>H27</f>
        <v>100</v>
      </c>
      <c r="V27" s="667" t="s">
        <v>14</v>
      </c>
      <c r="W27" s="668">
        <f>J27</f>
        <v>97</v>
      </c>
      <c r="X27" s="1265"/>
      <c r="Y27" s="3343"/>
      <c r="Z27" s="1264" t="str">
        <f>Q27</f>
        <v>楼层</v>
      </c>
      <c r="AA27" s="1264">
        <f t="shared" si="3"/>
        <v>0.970873786407767</v>
      </c>
      <c r="AB27" s="1264">
        <f t="shared" si="4"/>
        <v>1</v>
      </c>
      <c r="AC27" s="1812">
        <f t="shared" si="5"/>
        <v>1.0309278350515463</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41"/>
      <c r="Q28" s="530" t="str">
        <f t="shared" si="11"/>
        <v>朝向</v>
      </c>
      <c r="R28" s="664" t="s">
        <v>14</v>
      </c>
      <c r="S28" s="665">
        <f>F28</f>
        <v>100</v>
      </c>
      <c r="T28" s="664" t="s">
        <v>14</v>
      </c>
      <c r="U28" s="665">
        <f>H28</f>
        <v>100</v>
      </c>
      <c r="V28" s="664" t="s">
        <v>14</v>
      </c>
      <c r="W28" s="665">
        <f>J28</f>
        <v>100</v>
      </c>
      <c r="X28" s="666"/>
      <c r="Y28" s="334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41"/>
      <c r="Q29" s="1263">
        <f t="shared" si="11"/>
        <v>111</v>
      </c>
      <c r="R29" s="667" t="s">
        <v>14</v>
      </c>
      <c r="S29" s="668">
        <f t="shared" ref="S29:S47" si="12">F29</f>
        <v>100</v>
      </c>
      <c r="T29" s="667" t="s">
        <v>14</v>
      </c>
      <c r="U29" s="668">
        <f t="shared" ref="U29:U47" si="13">H29</f>
        <v>100</v>
      </c>
      <c r="V29" s="667" t="s">
        <v>14</v>
      </c>
      <c r="W29" s="668">
        <f t="shared" ref="W29:W47" si="14">J29</f>
        <v>100</v>
      </c>
      <c r="X29" s="1265"/>
      <c r="Y29" s="334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41"/>
      <c r="Q30" s="1263">
        <f t="shared" si="11"/>
        <v>111</v>
      </c>
      <c r="R30" s="667" t="s">
        <v>14</v>
      </c>
      <c r="S30" s="668">
        <f t="shared" si="12"/>
        <v>100</v>
      </c>
      <c r="T30" s="667" t="s">
        <v>14</v>
      </c>
      <c r="U30" s="668">
        <f t="shared" si="13"/>
        <v>100</v>
      </c>
      <c r="V30" s="667" t="s">
        <v>14</v>
      </c>
      <c r="W30" s="668">
        <f t="shared" si="14"/>
        <v>100</v>
      </c>
      <c r="X30" s="1265"/>
      <c r="Y30" s="334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41"/>
      <c r="Q31" s="1263">
        <f t="shared" si="11"/>
        <v>111</v>
      </c>
      <c r="R31" s="667" t="s">
        <v>14</v>
      </c>
      <c r="S31" s="668">
        <f t="shared" si="12"/>
        <v>100</v>
      </c>
      <c r="T31" s="667" t="s">
        <v>14</v>
      </c>
      <c r="U31" s="668">
        <f t="shared" si="13"/>
        <v>100</v>
      </c>
      <c r="V31" s="667" t="s">
        <v>14</v>
      </c>
      <c r="W31" s="668">
        <f t="shared" si="14"/>
        <v>100</v>
      </c>
      <c r="X31" s="1265"/>
      <c r="Y31" s="334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41"/>
      <c r="Q32" s="1263">
        <f t="shared" si="11"/>
        <v>111</v>
      </c>
      <c r="R32" s="667" t="s">
        <v>14</v>
      </c>
      <c r="S32" s="668">
        <f t="shared" si="12"/>
        <v>100</v>
      </c>
      <c r="T32" s="667" t="s">
        <v>14</v>
      </c>
      <c r="U32" s="668">
        <f t="shared" si="13"/>
        <v>100</v>
      </c>
      <c r="V32" s="667" t="s">
        <v>14</v>
      </c>
      <c r="W32" s="668">
        <f t="shared" si="14"/>
        <v>100</v>
      </c>
      <c r="X32" s="1265"/>
      <c r="Y32" s="3343"/>
      <c r="Z32" s="1264">
        <f t="shared" si="15"/>
        <v>111</v>
      </c>
      <c r="AA32" s="1264">
        <f t="shared" si="3"/>
        <v>1</v>
      </c>
      <c r="AB32" s="1264">
        <f t="shared" si="4"/>
        <v>1</v>
      </c>
      <c r="AC32" s="1812">
        <f t="shared" si="5"/>
        <v>1</v>
      </c>
    </row>
    <row r="33" spans="1:29" ht="15">
      <c r="A33" s="379" t="s">
        <v>1694</v>
      </c>
      <c r="B33" s="60" t="s">
        <v>1817</v>
      </c>
      <c r="C33" s="1764" t="s">
        <v>3426</v>
      </c>
      <c r="D33" s="405">
        <v>100</v>
      </c>
      <c r="E33" s="1764" t="s">
        <v>3426</v>
      </c>
      <c r="F33" s="400">
        <f>SUMIF(101:101,E33,102:102)-SUMIF(101:101,C33,102:102)+100</f>
        <v>100</v>
      </c>
      <c r="G33" s="1764" t="s">
        <v>3426</v>
      </c>
      <c r="H33" s="374">
        <f>SUMIF(101:101,G33,102:102)-SUMIF(101:101,C33,102:102)+100</f>
        <v>100</v>
      </c>
      <c r="I33" s="1764" t="s">
        <v>3426</v>
      </c>
      <c r="J33" s="405">
        <f>SUMIF(101:101,I33,102:102)-SUMIF(101:101,C33,102:102)+100</f>
        <v>100</v>
      </c>
      <c r="K33" s="538">
        <v>2</v>
      </c>
      <c r="L33" s="2492"/>
      <c r="M33" s="2487"/>
      <c r="N33" s="2487"/>
      <c r="O33" s="2487"/>
      <c r="P33" s="3344" t="s">
        <v>1696</v>
      </c>
      <c r="Q33" s="1263" t="str">
        <f t="shared" si="11"/>
        <v>建筑类型</v>
      </c>
      <c r="R33" s="667" t="s">
        <v>14</v>
      </c>
      <c r="S33" s="668">
        <f t="shared" si="12"/>
        <v>100</v>
      </c>
      <c r="T33" s="667" t="s">
        <v>14</v>
      </c>
      <c r="U33" s="668">
        <f t="shared" si="13"/>
        <v>100</v>
      </c>
      <c r="V33" s="667" t="s">
        <v>14</v>
      </c>
      <c r="W33" s="668">
        <f t="shared" si="14"/>
        <v>100</v>
      </c>
      <c r="X33" s="1265"/>
      <c r="Y33" s="3347"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455.09</v>
      </c>
      <c r="D34" s="119">
        <v>100</v>
      </c>
      <c r="E34" s="369">
        <f>租金信息!M4</f>
        <v>238.46</v>
      </c>
      <c r="F34" s="364">
        <f>LOOKUP(E34,104:104,105:105)-LOOKUP(C34,104:104,105:105)+100</f>
        <v>98</v>
      </c>
      <c r="G34" s="368">
        <f>租金信息!M5</f>
        <v>178</v>
      </c>
      <c r="H34" s="119">
        <f>LOOKUP(G34,104:104,105:105)-LOOKUP(C34,104:104,105:105)+100</f>
        <v>98</v>
      </c>
      <c r="I34" s="368">
        <f>租金信息!M6</f>
        <v>256</v>
      </c>
      <c r="J34" s="119">
        <f>LOOKUP(I34,104:104,105:105)-LOOKUP(C34,104:104,105:105)+100</f>
        <v>98</v>
      </c>
      <c r="K34" s="539"/>
      <c r="L34" s="2491"/>
      <c r="M34" s="2493"/>
      <c r="N34" s="2493"/>
      <c r="O34" s="2493"/>
      <c r="P34" s="3345"/>
      <c r="Q34" s="531" t="str">
        <f t="shared" si="11"/>
        <v>项目建筑规模</v>
      </c>
      <c r="R34" s="669" t="s">
        <v>14</v>
      </c>
      <c r="S34" s="670">
        <f t="shared" si="12"/>
        <v>98</v>
      </c>
      <c r="T34" s="669" t="s">
        <v>14</v>
      </c>
      <c r="U34" s="670">
        <f t="shared" si="13"/>
        <v>98</v>
      </c>
      <c r="V34" s="669" t="s">
        <v>14</v>
      </c>
      <c r="W34" s="670">
        <f t="shared" si="14"/>
        <v>98</v>
      </c>
      <c r="X34" s="671"/>
      <c r="Y34" s="3347"/>
      <c r="Z34" s="672" t="str">
        <f t="shared" si="15"/>
        <v>项目建筑规模</v>
      </c>
      <c r="AA34" s="1264">
        <f t="shared" si="3"/>
        <v>1.0204081632653061</v>
      </c>
      <c r="AB34" s="1264">
        <f t="shared" si="4"/>
        <v>1.0204081632653061</v>
      </c>
      <c r="AC34" s="1812">
        <f t="shared" si="5"/>
        <v>1.0204081632653061</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2"/>
      <c r="M35" s="2487"/>
      <c r="N35" s="2487"/>
      <c r="O35" s="2487"/>
      <c r="P35" s="3345"/>
      <c r="Q35" s="1263" t="str">
        <f t="shared" si="11"/>
        <v>建筑结构</v>
      </c>
      <c r="R35" s="667" t="s">
        <v>14</v>
      </c>
      <c r="S35" s="668">
        <f t="shared" si="12"/>
        <v>100</v>
      </c>
      <c r="T35" s="667" t="s">
        <v>14</v>
      </c>
      <c r="U35" s="668">
        <f t="shared" si="13"/>
        <v>100</v>
      </c>
      <c r="V35" s="667" t="s">
        <v>14</v>
      </c>
      <c r="W35" s="668">
        <f t="shared" si="14"/>
        <v>100</v>
      </c>
      <c r="X35" s="1265"/>
      <c r="Y35" s="3347"/>
      <c r="Z35" s="1264" t="str">
        <f t="shared" si="15"/>
        <v>建筑结构</v>
      </c>
      <c r="AA35" s="1264">
        <f t="shared" si="3"/>
        <v>1</v>
      </c>
      <c r="AB35" s="1264">
        <f t="shared" si="4"/>
        <v>1</v>
      </c>
      <c r="AC35" s="1812">
        <f t="shared" si="5"/>
        <v>1</v>
      </c>
    </row>
    <row r="36" spans="1:29" ht="15">
      <c r="A36" s="409"/>
      <c r="B36" s="364" t="s">
        <v>1785</v>
      </c>
      <c r="C36" s="399" t="s">
        <v>3428</v>
      </c>
      <c r="D36" s="374">
        <v>100</v>
      </c>
      <c r="E36" s="399" t="s">
        <v>3428</v>
      </c>
      <c r="F36" s="400">
        <f>SUMIF(108:108,E36,109:109)-SUMIF(108:108,C36,109:109)+100</f>
        <v>100</v>
      </c>
      <c r="G36" s="399" t="s">
        <v>3428</v>
      </c>
      <c r="H36" s="374">
        <f>SUMIF(108:108,G36,109:109)-SUMIF(108:108,C36,109:109)+100</f>
        <v>100</v>
      </c>
      <c r="I36" s="399" t="s">
        <v>3428</v>
      </c>
      <c r="J36" s="374">
        <f>SUMIF(108:108,I36,109:109)-SUMIF(108:108,C36,109:109)+100</f>
        <v>100</v>
      </c>
      <c r="K36" s="538">
        <v>2</v>
      </c>
      <c r="L36" s="2492"/>
      <c r="M36" s="2487"/>
      <c r="N36" s="2487"/>
      <c r="O36" s="2487"/>
      <c r="P36" s="3345"/>
      <c r="Q36" s="1263" t="str">
        <f t="shared" si="11"/>
        <v>公共部分装修</v>
      </c>
      <c r="R36" s="667" t="s">
        <v>14</v>
      </c>
      <c r="S36" s="668">
        <f t="shared" si="12"/>
        <v>100</v>
      </c>
      <c r="T36" s="667" t="s">
        <v>14</v>
      </c>
      <c r="U36" s="668">
        <f t="shared" si="13"/>
        <v>100</v>
      </c>
      <c r="V36" s="667" t="s">
        <v>14</v>
      </c>
      <c r="W36" s="668">
        <f t="shared" si="14"/>
        <v>100</v>
      </c>
      <c r="X36" s="1265"/>
      <c r="Y36" s="3347"/>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45"/>
      <c r="Q37" s="1263" t="str">
        <f t="shared" si="11"/>
        <v>成新度</v>
      </c>
      <c r="R37" s="667" t="s">
        <v>14</v>
      </c>
      <c r="S37" s="668">
        <f t="shared" si="12"/>
        <v>100</v>
      </c>
      <c r="T37" s="667" t="s">
        <v>14</v>
      </c>
      <c r="U37" s="668">
        <f t="shared" si="13"/>
        <v>100</v>
      </c>
      <c r="V37" s="667" t="s">
        <v>14</v>
      </c>
      <c r="W37" s="668">
        <f t="shared" si="14"/>
        <v>100</v>
      </c>
      <c r="X37" s="1265"/>
      <c r="Y37" s="3347"/>
      <c r="Z37" s="1264" t="str">
        <f t="shared" si="15"/>
        <v>成新度</v>
      </c>
      <c r="AA37" s="1264">
        <f t="shared" si="3"/>
        <v>1</v>
      </c>
      <c r="AB37" s="1264">
        <f t="shared" si="4"/>
        <v>1</v>
      </c>
      <c r="AC37" s="1812">
        <f t="shared" si="5"/>
        <v>1</v>
      </c>
    </row>
    <row r="38" spans="1:29" s="102" customFormat="1" ht="15">
      <c r="A38" s="410"/>
      <c r="B38" s="364" t="s">
        <v>1818</v>
      </c>
      <c r="C38" s="399" t="s">
        <v>3431</v>
      </c>
      <c r="D38" s="119">
        <v>100</v>
      </c>
      <c r="E38" s="399" t="s">
        <v>3431</v>
      </c>
      <c r="F38" s="400">
        <f>SUMIF(113:113,E38,114:114)-SUMIF(113:113,C38,114:114)+100</f>
        <v>100</v>
      </c>
      <c r="G38" s="399" t="s">
        <v>3431</v>
      </c>
      <c r="H38" s="374">
        <f>SUMIF(113:113,G38,114:114)-SUMIF(113:113,C38,114:114)+100</f>
        <v>100</v>
      </c>
      <c r="I38" s="399" t="s">
        <v>3431</v>
      </c>
      <c r="J38" s="374">
        <f>SUMIF(113:113,I38,114:114)-SUMIF(113:113,C38,114:114)+100</f>
        <v>100</v>
      </c>
      <c r="K38" s="538">
        <v>2</v>
      </c>
      <c r="L38" s="2488"/>
      <c r="M38" s="2439"/>
      <c r="N38" s="2439"/>
      <c r="O38" s="2439"/>
      <c r="P38" s="3345"/>
      <c r="Q38" s="530" t="str">
        <f t="shared" si="11"/>
        <v>写字楼等级</v>
      </c>
      <c r="R38" s="664" t="s">
        <v>14</v>
      </c>
      <c r="S38" s="665">
        <f t="shared" si="12"/>
        <v>100</v>
      </c>
      <c r="T38" s="664" t="s">
        <v>14</v>
      </c>
      <c r="U38" s="665">
        <f t="shared" si="13"/>
        <v>100</v>
      </c>
      <c r="V38" s="664" t="s">
        <v>14</v>
      </c>
      <c r="W38" s="665">
        <f t="shared" si="14"/>
        <v>100</v>
      </c>
      <c r="X38" s="666"/>
      <c r="Y38" s="3347"/>
      <c r="Z38" s="50" t="str">
        <f t="shared" si="15"/>
        <v>写字楼等级</v>
      </c>
      <c r="AA38" s="50">
        <f t="shared" si="3"/>
        <v>1</v>
      </c>
      <c r="AB38" s="50">
        <f t="shared" si="4"/>
        <v>1</v>
      </c>
      <c r="AC38" s="802">
        <f t="shared" si="5"/>
        <v>1</v>
      </c>
    </row>
    <row r="39" spans="1:29" ht="15">
      <c r="A39" s="409"/>
      <c r="B39" s="364" t="s">
        <v>1819</v>
      </c>
      <c r="C39" s="399" t="s">
        <v>3432</v>
      </c>
      <c r="D39" s="374">
        <v>100</v>
      </c>
      <c r="E39" s="399" t="s">
        <v>3432</v>
      </c>
      <c r="F39" s="400">
        <f>SUMIF(115:115,E39,116:116)-SUMIF(115:115,C39,116:116)+100</f>
        <v>100</v>
      </c>
      <c r="G39" s="399" t="s">
        <v>3432</v>
      </c>
      <c r="H39" s="374">
        <f>SUMIF(115:115,G39,116:116)-SUMIF(115:115,C39,116:116)+100</f>
        <v>100</v>
      </c>
      <c r="I39" s="399" t="s">
        <v>3432</v>
      </c>
      <c r="J39" s="374">
        <f>SUMIF(115:115,I39,116:116)-SUMIF(115:115,C39,116:116)+100</f>
        <v>100</v>
      </c>
      <c r="K39" s="538">
        <v>2</v>
      </c>
      <c r="L39" s="2492"/>
      <c r="M39" s="2487"/>
      <c r="N39" s="2487"/>
      <c r="O39" s="2487"/>
      <c r="P39" s="3345" t="s">
        <v>1696</v>
      </c>
      <c r="Q39" s="1263" t="str">
        <f t="shared" si="11"/>
        <v>物业管理</v>
      </c>
      <c r="R39" s="667" t="s">
        <v>14</v>
      </c>
      <c r="S39" s="668">
        <f t="shared" si="12"/>
        <v>100</v>
      </c>
      <c r="T39" s="667" t="s">
        <v>14</v>
      </c>
      <c r="U39" s="668">
        <f t="shared" si="13"/>
        <v>100</v>
      </c>
      <c r="V39" s="667" t="s">
        <v>14</v>
      </c>
      <c r="W39" s="668">
        <f t="shared" si="14"/>
        <v>100</v>
      </c>
      <c r="X39" s="1265"/>
      <c r="Y39" s="3347" t="s">
        <v>1696</v>
      </c>
      <c r="Z39" s="1264" t="str">
        <f t="shared" si="15"/>
        <v>物业管理</v>
      </c>
      <c r="AA39" s="1264">
        <f t="shared" si="3"/>
        <v>1</v>
      </c>
      <c r="AB39" s="1264">
        <f t="shared" si="4"/>
        <v>1</v>
      </c>
      <c r="AC39" s="1812">
        <f t="shared" si="5"/>
        <v>1</v>
      </c>
    </row>
    <row r="40" spans="1:29" ht="15">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2</v>
      </c>
      <c r="L40" s="2492"/>
      <c r="M40" s="2487"/>
      <c r="N40" s="2487"/>
      <c r="O40" s="2487"/>
      <c r="P40" s="3345"/>
      <c r="Q40" s="1263" t="str">
        <f t="shared" si="11"/>
        <v>市政基础设施</v>
      </c>
      <c r="R40" s="667" t="s">
        <v>14</v>
      </c>
      <c r="S40" s="668">
        <f t="shared" si="12"/>
        <v>100</v>
      </c>
      <c r="T40" s="667" t="s">
        <v>14</v>
      </c>
      <c r="U40" s="668">
        <f t="shared" si="13"/>
        <v>100</v>
      </c>
      <c r="V40" s="667" t="s">
        <v>14</v>
      </c>
      <c r="W40" s="668">
        <f t="shared" si="14"/>
        <v>100</v>
      </c>
      <c r="X40" s="1265"/>
      <c r="Y40" s="3347"/>
      <c r="Z40" s="1264" t="str">
        <f t="shared" si="15"/>
        <v>市政基础设施</v>
      </c>
      <c r="AA40" s="1264">
        <f t="shared" si="3"/>
        <v>1</v>
      </c>
      <c r="AB40" s="1264">
        <f t="shared" si="4"/>
        <v>1</v>
      </c>
      <c r="AC40" s="1812">
        <f t="shared" si="5"/>
        <v>1</v>
      </c>
    </row>
    <row r="41" spans="1:29" ht="15">
      <c r="A41" s="409"/>
      <c r="B41" s="364" t="s">
        <v>1789</v>
      </c>
      <c r="C41" s="542" t="s">
        <v>3434</v>
      </c>
      <c r="D41" s="374">
        <v>100</v>
      </c>
      <c r="E41" s="542" t="s">
        <v>3434</v>
      </c>
      <c r="F41" s="400">
        <f>SUMIF(119:119,E41,120:120)-SUMIF(119:119,C41,120:120)+100</f>
        <v>100</v>
      </c>
      <c r="G41" s="542" t="s">
        <v>3434</v>
      </c>
      <c r="H41" s="374">
        <f>SUMIF(119:119,G41,120:120)-SUMIF(119:119,C41,120:120)+100</f>
        <v>100</v>
      </c>
      <c r="I41" s="542" t="s">
        <v>3434</v>
      </c>
      <c r="J41" s="374">
        <f>SUMIF(119:119,I41,120:120)-SUMIF(119:119,C41,120:120)+100</f>
        <v>100</v>
      </c>
      <c r="K41" s="538">
        <v>2</v>
      </c>
      <c r="L41" s="2492"/>
      <c r="M41" s="2487"/>
      <c r="N41" s="2487"/>
      <c r="O41" s="2487"/>
      <c r="P41" s="3345"/>
      <c r="Q41" s="1263" t="str">
        <f t="shared" si="11"/>
        <v>层高</v>
      </c>
      <c r="R41" s="667" t="s">
        <v>14</v>
      </c>
      <c r="S41" s="668">
        <f t="shared" si="12"/>
        <v>100</v>
      </c>
      <c r="T41" s="667" t="s">
        <v>14</v>
      </c>
      <c r="U41" s="668">
        <f t="shared" si="13"/>
        <v>100</v>
      </c>
      <c r="V41" s="667" t="s">
        <v>14</v>
      </c>
      <c r="W41" s="668">
        <f t="shared" si="14"/>
        <v>100</v>
      </c>
      <c r="X41" s="1265"/>
      <c r="Y41" s="334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45"/>
      <c r="Q42" s="531" t="str">
        <f t="shared" si="11"/>
        <v>单套建筑面积</v>
      </c>
      <c r="R42" s="669" t="s">
        <v>14</v>
      </c>
      <c r="S42" s="670">
        <f t="shared" si="12"/>
        <v>100</v>
      </c>
      <c r="T42" s="669" t="s">
        <v>14</v>
      </c>
      <c r="U42" s="670">
        <f t="shared" si="13"/>
        <v>100</v>
      </c>
      <c r="V42" s="669" t="s">
        <v>14</v>
      </c>
      <c r="W42" s="670">
        <f t="shared" si="14"/>
        <v>100</v>
      </c>
      <c r="X42" s="671"/>
      <c r="Y42" s="3347"/>
      <c r="Z42" s="672" t="str">
        <f t="shared" si="15"/>
        <v>单套建筑面积</v>
      </c>
      <c r="AA42" s="1264">
        <f t="shared" si="3"/>
        <v>1</v>
      </c>
      <c r="AB42" s="1264">
        <f t="shared" si="4"/>
        <v>1</v>
      </c>
      <c r="AC42" s="1812">
        <f t="shared" si="5"/>
        <v>1</v>
      </c>
    </row>
    <row r="43" spans="1:29" ht="15">
      <c r="A43" s="409"/>
      <c r="B43" s="364" t="s">
        <v>1792</v>
      </c>
      <c r="C43" s="399" t="s">
        <v>3435</v>
      </c>
      <c r="D43" s="374">
        <v>100</v>
      </c>
      <c r="E43" s="399" t="s">
        <v>3435</v>
      </c>
      <c r="F43" s="400">
        <f>SUMIF(123:123,E43,124:124)-SUMIF(123:123,C43,124:124)+100</f>
        <v>100</v>
      </c>
      <c r="G43" s="399" t="s">
        <v>3435</v>
      </c>
      <c r="H43" s="374">
        <f>SUMIF(123:123,G43,124:124)-SUMIF(123:123,C43,124:124)+100</f>
        <v>100</v>
      </c>
      <c r="I43" s="399" t="s">
        <v>3435</v>
      </c>
      <c r="J43" s="374">
        <f>SUMIF(123:123,I43,124:124)-SUMIF(123:123,C43,124:124)+100</f>
        <v>100</v>
      </c>
      <c r="K43" s="538">
        <v>2</v>
      </c>
      <c r="L43" s="2492"/>
      <c r="M43" s="2487"/>
      <c r="N43" s="2487"/>
      <c r="O43" s="2487"/>
      <c r="P43" s="3345"/>
      <c r="Q43" s="1263" t="str">
        <f t="shared" si="11"/>
        <v>内部装修</v>
      </c>
      <c r="R43" s="667" t="s">
        <v>14</v>
      </c>
      <c r="S43" s="668">
        <f t="shared" si="12"/>
        <v>100</v>
      </c>
      <c r="T43" s="667" t="s">
        <v>14</v>
      </c>
      <c r="U43" s="668">
        <f t="shared" si="13"/>
        <v>100</v>
      </c>
      <c r="V43" s="667" t="s">
        <v>14</v>
      </c>
      <c r="W43" s="668">
        <f t="shared" si="14"/>
        <v>100</v>
      </c>
      <c r="X43" s="1265"/>
      <c r="Y43" s="3347"/>
      <c r="Z43" s="1264" t="str">
        <f t="shared" si="15"/>
        <v>内部装修</v>
      </c>
      <c r="AA43" s="1264">
        <f t="shared" si="3"/>
        <v>1</v>
      </c>
      <c r="AB43" s="1264">
        <f t="shared" si="4"/>
        <v>1</v>
      </c>
      <c r="AC43" s="1812">
        <f t="shared" si="5"/>
        <v>1</v>
      </c>
    </row>
    <row r="44" spans="1:29" ht="15">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2"/>
      <c r="M44" s="2487"/>
      <c r="N44" s="2487"/>
      <c r="O44" s="2487"/>
      <c r="P44" s="3345"/>
      <c r="Q44" s="1263" t="str">
        <f t="shared" si="11"/>
        <v>内部装修维护情况</v>
      </c>
      <c r="R44" s="667" t="s">
        <v>14</v>
      </c>
      <c r="S44" s="668">
        <f t="shared" si="12"/>
        <v>100</v>
      </c>
      <c r="T44" s="667" t="s">
        <v>14</v>
      </c>
      <c r="U44" s="668">
        <f t="shared" si="13"/>
        <v>100</v>
      </c>
      <c r="V44" s="667" t="s">
        <v>14</v>
      </c>
      <c r="W44" s="668">
        <f t="shared" si="14"/>
        <v>100</v>
      </c>
      <c r="X44" s="1265"/>
      <c r="Y44" s="334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45"/>
      <c r="Q45" s="530">
        <f t="shared" si="11"/>
        <v>111</v>
      </c>
      <c r="R45" s="664" t="s">
        <v>14</v>
      </c>
      <c r="S45" s="665">
        <f t="shared" si="12"/>
        <v>100</v>
      </c>
      <c r="T45" s="664" t="s">
        <v>14</v>
      </c>
      <c r="U45" s="665">
        <f t="shared" si="13"/>
        <v>100</v>
      </c>
      <c r="V45" s="664" t="s">
        <v>14</v>
      </c>
      <c r="W45" s="665">
        <f t="shared" si="14"/>
        <v>100</v>
      </c>
      <c r="X45" s="666"/>
      <c r="Y45" s="334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45"/>
      <c r="Q46" s="1263">
        <f t="shared" si="11"/>
        <v>111</v>
      </c>
      <c r="R46" s="667" t="s">
        <v>14</v>
      </c>
      <c r="S46" s="668">
        <f t="shared" si="12"/>
        <v>100</v>
      </c>
      <c r="T46" s="667" t="s">
        <v>14</v>
      </c>
      <c r="U46" s="668">
        <f t="shared" si="13"/>
        <v>100</v>
      </c>
      <c r="V46" s="667" t="s">
        <v>14</v>
      </c>
      <c r="W46" s="668">
        <f t="shared" si="14"/>
        <v>100</v>
      </c>
      <c r="X46" s="1265"/>
      <c r="Y46" s="334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46"/>
      <c r="Q47" s="1263">
        <f t="shared" si="11"/>
        <v>111</v>
      </c>
      <c r="R47" s="667" t="s">
        <v>14</v>
      </c>
      <c r="S47" s="668">
        <f t="shared" si="12"/>
        <v>100</v>
      </c>
      <c r="T47" s="667" t="s">
        <v>14</v>
      </c>
      <c r="U47" s="668">
        <f t="shared" si="13"/>
        <v>100</v>
      </c>
      <c r="V47" s="667" t="s">
        <v>14</v>
      </c>
      <c r="W47" s="668">
        <f t="shared" si="14"/>
        <v>100</v>
      </c>
      <c r="X47" s="1265"/>
      <c r="Y47" s="3348"/>
      <c r="Z47" s="1264">
        <f t="shared" si="15"/>
        <v>111</v>
      </c>
      <c r="AA47" s="1264">
        <f t="shared" si="3"/>
        <v>1</v>
      </c>
      <c r="AB47" s="1264">
        <f t="shared" si="4"/>
        <v>1</v>
      </c>
      <c r="AC47" s="1812">
        <f t="shared" si="5"/>
        <v>1</v>
      </c>
    </row>
    <row r="48" spans="1:29" ht="15">
      <c r="A48" s="416" t="s">
        <v>1708</v>
      </c>
      <c r="B48" s="417"/>
      <c r="C48" s="1081" t="s">
        <v>0</v>
      </c>
      <c r="D48" s="418"/>
      <c r="E48" s="419">
        <f>租金信息!O4</f>
        <v>9</v>
      </c>
      <c r="F48" s="420"/>
      <c r="G48" s="421">
        <f>租金信息!O5</f>
        <v>8</v>
      </c>
      <c r="H48" s="422"/>
      <c r="I48" s="419">
        <f>租金信息!O6</f>
        <v>7.8</v>
      </c>
      <c r="J48" s="422"/>
      <c r="K48" s="674"/>
      <c r="L48" s="2494"/>
      <c r="M48" s="2487"/>
      <c r="N48" s="2487"/>
      <c r="O48" s="2487"/>
      <c r="P48" s="3334" t="str">
        <f>A48</f>
        <v>成交单价（元/平方米）</v>
      </c>
      <c r="Q48" s="3335"/>
      <c r="R48" s="3336">
        <f>E48</f>
        <v>9</v>
      </c>
      <c r="S48" s="3336"/>
      <c r="T48" s="3336">
        <f>G48</f>
        <v>8</v>
      </c>
      <c r="U48" s="3336"/>
      <c r="V48" s="3336">
        <f>I48</f>
        <v>7.8</v>
      </c>
      <c r="W48" s="3336"/>
      <c r="X48" s="385"/>
      <c r="Y48" s="673"/>
      <c r="Z48" s="385"/>
      <c r="AA48" s="385"/>
      <c r="AB48" s="385"/>
      <c r="AC48" s="555"/>
    </row>
    <row r="49" spans="1:29" ht="15.75" thickBot="1">
      <c r="A49" s="423" t="s">
        <v>1709</v>
      </c>
      <c r="B49" s="424"/>
      <c r="C49" s="1082">
        <f>R50</f>
        <v>8.4</v>
      </c>
      <c r="D49" s="2141" t="s">
        <v>2138</v>
      </c>
      <c r="E49" s="1083">
        <f>R49</f>
        <v>8.9</v>
      </c>
      <c r="F49" s="2142"/>
      <c r="G49" s="1082">
        <f>T49</f>
        <v>8.1999999999999993</v>
      </c>
      <c r="H49" s="2142"/>
      <c r="I49" s="1083">
        <f>V49</f>
        <v>8.1999999999999993</v>
      </c>
      <c r="J49" s="2142"/>
      <c r="K49" s="2144">
        <f>F49+H49+J49</f>
        <v>0</v>
      </c>
      <c r="L49" s="2494"/>
      <c r="M49" s="2487"/>
      <c r="N49" s="2487"/>
      <c r="O49" s="2487"/>
      <c r="P49" s="3334" t="str">
        <f>A49</f>
        <v>比较价值（元/平方米）</v>
      </c>
      <c r="Q49" s="3335"/>
      <c r="R49" s="3336">
        <f>IF(F1="售价",ROUND(PRODUCT(R48,AA7:AA47),0),ROUND(PRODUCT(R48,AA7:AA47),1))</f>
        <v>8.9</v>
      </c>
      <c r="S49" s="3336"/>
      <c r="T49" s="3336">
        <f>IF(F1="售价",ROUND(PRODUCT(T48,AB7:AB47),0),ROUND(PRODUCT(T48,AB7:AB47),1))</f>
        <v>8.1999999999999993</v>
      </c>
      <c r="U49" s="3336"/>
      <c r="V49" s="3336">
        <f>IF(F1="售价",ROUND(PRODUCT(V48,AC7:AC47),0),ROUND(PRODUCT(V48,AC7:AC47),1))</f>
        <v>8.1999999999999993</v>
      </c>
      <c r="W49" s="3336"/>
      <c r="X49" s="385"/>
      <c r="Y49" s="385"/>
      <c r="Z49" s="385"/>
      <c r="AA49" s="385"/>
      <c r="AB49" s="385"/>
      <c r="AC49" s="555"/>
    </row>
    <row r="50" spans="1:29" ht="15.75" thickBot="1">
      <c r="A50" s="427" t="s">
        <v>1710</v>
      </c>
      <c r="B50" s="428"/>
      <c r="C50" s="351">
        <f>R50</f>
        <v>8.4</v>
      </c>
      <c r="D50" s="351"/>
      <c r="E50" s="351"/>
      <c r="F50" s="351"/>
      <c r="G50" s="351"/>
      <c r="H50" s="351"/>
      <c r="I50" s="351"/>
      <c r="J50" s="429"/>
      <c r="K50" s="675"/>
      <c r="L50" s="2494"/>
      <c r="M50" s="2487"/>
      <c r="N50" s="2487"/>
      <c r="O50" s="2487"/>
      <c r="P50" s="3337" t="str">
        <f>A50</f>
        <v>估价对象XX用房的比较价值（楼面单价，元/平方米）</v>
      </c>
      <c r="Q50" s="3338"/>
      <c r="R50" s="3339">
        <f>IF(F1="售价",ROUND(IF(D49="简单平均",AVERAGE(R49:V49),R49*F49+T49*H49+V49*J49),0),ROUND(IF(D49="简单平均",AVERAGE(R49:V49),R49*F49+T49*H49+V49*J49),1))</f>
        <v>8.4</v>
      </c>
      <c r="S50" s="3339"/>
      <c r="T50" s="3339"/>
      <c r="U50" s="3339"/>
      <c r="V50" s="3339"/>
      <c r="W50" s="333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1.1235955056179803E-2</v>
      </c>
      <c r="F53" s="435" t="str">
        <f>IF(OR(E53&gt;=0.3,E53&lt;=-0.3),"超过30%","")</f>
        <v/>
      </c>
      <c r="G53" s="434">
        <f>IF(G48&lt;G49,G49/G48-1,G48/G49-1)</f>
        <v>2.4999999999999911E-2</v>
      </c>
      <c r="H53" s="435" t="str">
        <f>IF(OR(G53&gt;=0.3,G53&lt;=-0.3),"超过30%","")</f>
        <v/>
      </c>
      <c r="I53" s="434">
        <f>IF(I48&lt;I49,I49/I48-1,I48/I49-1)</f>
        <v>5.1282051282051322E-2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8.5365853658536661E-2</v>
      </c>
      <c r="F54" s="435" t="str">
        <f>IF(OR(E54&gt;=0.2,E54&lt;=-0.2),"超过20%","")</f>
        <v/>
      </c>
      <c r="G54" s="434">
        <f>IF(G49&lt;I49,I49/G49-1,G49/I49-1)</f>
        <v>0</v>
      </c>
      <c r="H54" s="435" t="str">
        <f>IF(OR(G54&gt;=0.2,G54&lt;=-0.2),"超过20%","")</f>
        <v/>
      </c>
      <c r="I54" s="434">
        <f>IF(I49&lt;E49,E49/I49-1,I49/E49-1)</f>
        <v>8.5365853658536661E-2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0.125</v>
      </c>
      <c r="F55" s="435" t="str">
        <f>IF(OR(E55&gt;=0.3,E55&lt;=-0.3),"超过30%","")</f>
        <v/>
      </c>
      <c r="G55" s="434">
        <f>IF(G48&lt;I48,I48/G48-1,G48/I48-1)</f>
        <v>2.5641025641025772E-2</v>
      </c>
      <c r="H55" s="435" t="str">
        <f>IF(OR(G55&gt;=0.3,G55&lt;=-0.3),"超过30%","")</f>
        <v/>
      </c>
      <c r="I55" s="434">
        <f>IF(I48&lt;E48,E48/I48-1,I48/E48-1)</f>
        <v>0.15384615384615397</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3430</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xr:uid="{3384B948-42FA-47AF-ACD7-57E285EF9ABA}">
      <formula1>"项目模式,单套模式"</formula1>
    </dataValidation>
    <dataValidation type="list" allowBlank="1" showInputMessage="1" showErrorMessage="1" sqref="D49" xr:uid="{81F29196-A7CB-48A8-9A40-16AEDF28AE08}">
      <formula1>"简单平均,加权平均"</formula1>
    </dataValidation>
    <dataValidation type="list" allowBlank="1" showInputMessage="1" showErrorMessage="1" sqref="F2" xr:uid="{C1938F99-4447-4B51-863A-893CAE5E1983}">
      <formula1>估价方法</formula1>
    </dataValidation>
    <dataValidation type="list" allowBlank="1" showInputMessage="1" showErrorMessage="1" sqref="C2" xr:uid="{9328F935-7671-4FD7-826F-364E839498D4}">
      <formula1>"需扣减承租人权益,——"</formula1>
    </dataValidation>
    <dataValidation type="list" allowBlank="1" showInputMessage="1" showErrorMessage="1" sqref="F1" xr:uid="{3D8F4156-70CC-4347-8D9C-A27CF46FE739}">
      <formula1>"售价,租金"</formula1>
    </dataValidation>
    <dataValidation type="list" allowBlank="1" showInputMessage="1" showErrorMessage="1" sqref="C22 E22 G22 I22" xr:uid="{3278AA3F-1492-4D54-9C70-DC81354BD292}">
      <formula1>基础设施水平</formula1>
    </dataValidation>
    <dataValidation type="list" allowBlank="1" showInputMessage="1" showErrorMessage="1" sqref="C8 E8 G8 I8" xr:uid="{AD0B692E-0CF1-41D9-A264-844D9A0F9165}">
      <formula1>办公交易情况</formula1>
    </dataValidation>
    <dataValidation type="list" allowBlank="1" showInputMessage="1" showErrorMessage="1" sqref="C43 E43 G43 I43" xr:uid="{8F46BED4-5703-458D-83C5-9A3C85C78C1D}">
      <formula1>办公内部装修</formula1>
    </dataValidation>
    <dataValidation type="list" allowBlank="1" showInputMessage="1" showErrorMessage="1" sqref="C41 E41 G41 I41" xr:uid="{97A8CB74-9675-45C0-90E6-8F8097C413C6}">
      <formula1>办公层高</formula1>
    </dataValidation>
    <dataValidation type="list" allowBlank="1" showInputMessage="1" showErrorMessage="1" sqref="C40 E40 G40 I40" xr:uid="{E389777E-ED3A-4728-83FD-7B78A32C0C29}">
      <formula1>办公基础设施水平</formula1>
    </dataValidation>
    <dataValidation type="list" allowBlank="1" showInputMessage="1" showErrorMessage="1" sqref="C39 E39 G39 I39" xr:uid="{49E6D5BF-B50D-4844-96E9-BABF36915377}">
      <formula1>办公物业管理</formula1>
    </dataValidation>
    <dataValidation type="list" allowBlank="1" showInputMessage="1" showErrorMessage="1" sqref="C38 E38 G38 I38" xr:uid="{4747D5A4-3D2B-4B5C-A2D5-060FA8B84E73}">
      <formula1>写字楼等级</formula1>
    </dataValidation>
    <dataValidation type="list" allowBlank="1" showInputMessage="1" showErrorMessage="1" sqref="C36 E36 G36 I36" xr:uid="{2C5745C2-CF3E-4F40-AA1F-350986CECC42}">
      <formula1>办公公共部分装修</formula1>
    </dataValidation>
    <dataValidation type="list" allowBlank="1" showInputMessage="1" showErrorMessage="1" sqref="C33 E33 G33 I33" xr:uid="{B24E61E1-550B-4C43-B7A2-82EB9AB3A9B7}">
      <formula1>办公建筑类型</formula1>
    </dataValidation>
    <dataValidation type="list" allowBlank="1" showInputMessage="1" showErrorMessage="1" sqref="C27 E27 G27 I27" xr:uid="{F657015B-02B0-48CB-A1A3-FCBFE87F80B9}">
      <formula1>办公楼层</formula1>
    </dataValidation>
    <dataValidation type="list" allowBlank="1" showInputMessage="1" showErrorMessage="1" sqref="C28 E28 G28 I28" xr:uid="{F3C69F1F-694A-4144-9E86-081365B032DE}">
      <formula1>办公朝向</formula1>
    </dataValidation>
    <dataValidation type="list" allowBlank="1" showInputMessage="1" showErrorMessage="1" sqref="G26 C26 E26 I26" xr:uid="{A4E6DB71-64C8-4DD9-A70E-3D0B7AF86360}">
      <formula1>办公道路级别</formula1>
    </dataValidation>
    <dataValidation type="list" allowBlank="1" showInputMessage="1" showErrorMessage="1" sqref="C16 E16 G16 I16" xr:uid="{75F8D180-9CD0-47B3-996F-178061F5AD7E}">
      <formula1>办公集聚程度</formula1>
    </dataValidation>
    <dataValidation type="list" allowBlank="1" showInputMessage="1" showErrorMessage="1" sqref="E9 G9 I9" xr:uid="{A7028B26-0E57-4DD5-B36D-8B49F754F980}">
      <formula1>办公用途</formula1>
    </dataValidation>
    <dataValidation type="list" allowBlank="1" showInputMessage="1" showErrorMessage="1" sqref="D1" xr:uid="{122FE5C2-887D-4B1E-AD44-D740620671D7}">
      <formula1>项目类型</formula1>
    </dataValidation>
    <dataValidation type="list" allowBlank="1" showInputMessage="1" showErrorMessage="1" sqref="C44 E44 G44 I44" xr:uid="{AB98E64D-5A7A-40D0-8754-C02463B28AD4}">
      <formula1>内部装修维护情况</formula1>
    </dataValidation>
    <dataValidation type="list" allowBlank="1" showInputMessage="1" showErrorMessage="1" sqref="E20 I20 G20 C20" xr:uid="{BB537876-ECE3-44A0-ACCE-36625668B96D}">
      <formula1>公共配套设施</formula1>
    </dataValidation>
    <dataValidation type="list" allowBlank="1" showInputMessage="1" showErrorMessage="1" sqref="E18 G18 I18 C18" xr:uid="{80B9C22C-1603-4ACE-9FE7-E5A90D508C2E}">
      <formula1>交通便捷度</formula1>
    </dataValidation>
    <dataValidation type="list" allowBlank="1" showInputMessage="1" showErrorMessage="1" sqref="E24 G24 I24 C24" xr:uid="{9DB54EAC-C724-438C-84B4-F311703F2E82}">
      <formula1>环境</formula1>
    </dataValidation>
    <dataValidation type="list" allowBlank="1" showInputMessage="1" showErrorMessage="1" sqref="C35 E35 G35 I35" xr:uid="{37286CCC-51F8-492B-ADDC-28D5C2C68A1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3" sqref="H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3380</v>
      </c>
      <c r="D1" s="1271" t="s">
        <v>43</v>
      </c>
      <c r="E1" s="1272" t="s">
        <v>678</v>
      </c>
      <c r="F1" s="999">
        <f ca="1">J53</f>
        <v>29.44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2167.8602999999998</v>
      </c>
      <c r="C2" s="1289" t="s">
        <v>879</v>
      </c>
      <c r="D2" s="1375">
        <f ca="1">C40+J29+L46</f>
        <v>21678603</v>
      </c>
      <c r="E2" s="1295" t="s">
        <v>880</v>
      </c>
      <c r="F2" s="1296"/>
      <c r="G2" s="2478"/>
      <c r="H2" s="2468"/>
      <c r="I2" s="2468"/>
      <c r="J2" s="2468"/>
      <c r="K2" s="2469"/>
      <c r="L2" s="2468"/>
      <c r="M2" s="2468"/>
    </row>
    <row r="3" spans="1:37" ht="18" customHeight="1" thickBot="1">
      <c r="A3" s="1297" t="s">
        <v>881</v>
      </c>
      <c r="B3" s="1298">
        <f ca="1">IF(ISERROR(D2/F43),0,ROUND(D2/F43,0))</f>
        <v>47636</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1257345</v>
      </c>
      <c r="D5" s="1273" t="s">
        <v>889</v>
      </c>
      <c r="E5" s="1008"/>
      <c r="F5" s="1009"/>
      <c r="G5" s="1292"/>
      <c r="H5" s="291">
        <v>1</v>
      </c>
      <c r="I5" s="292" t="s">
        <v>888</v>
      </c>
      <c r="J5" s="1007">
        <f ca="1">J6+J10+J12</f>
        <v>0</v>
      </c>
      <c r="K5" s="1273" t="s">
        <v>889</v>
      </c>
      <c r="L5" s="1008"/>
      <c r="M5" s="1009"/>
    </row>
    <row r="6" spans="1:37" ht="18" customHeight="1">
      <c r="A6" s="1006" t="s">
        <v>398</v>
      </c>
      <c r="B6" s="3384" t="s">
        <v>694</v>
      </c>
      <c r="C6" s="1011">
        <f ca="1">ROUND(F6*F8*F7*(1-F9),0)</f>
        <v>1255775</v>
      </c>
      <c r="D6" s="147" t="s">
        <v>2106</v>
      </c>
      <c r="E6" s="294" t="s">
        <v>696</v>
      </c>
      <c r="F6" s="295">
        <f ca="1">INDIRECT("'数据-取费表'!u"&amp;$G$1)</f>
        <v>8.4</v>
      </c>
      <c r="G6" s="1292"/>
      <c r="H6" s="1006" t="s">
        <v>398</v>
      </c>
      <c r="I6" s="3384" t="s">
        <v>694</v>
      </c>
      <c r="J6" s="293">
        <f ca="1">ROUND(M6*M8*M7*(1-M9),0)</f>
        <v>0</v>
      </c>
      <c r="K6" s="1284" t="s">
        <v>2107</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455.09</v>
      </c>
      <c r="G7" s="1292"/>
      <c r="H7" s="296"/>
      <c r="I7" s="3385"/>
      <c r="J7" s="298"/>
      <c r="K7" s="299"/>
      <c r="L7" s="294" t="s">
        <v>697</v>
      </c>
      <c r="M7" s="295">
        <f ca="1">F7</f>
        <v>455.09</v>
      </c>
    </row>
    <row r="8" spans="1:37" ht="18" customHeight="1">
      <c r="A8" s="296"/>
      <c r="B8" s="3385"/>
      <c r="C8" s="298"/>
      <c r="D8" s="299"/>
      <c r="E8" s="294" t="s">
        <v>698</v>
      </c>
      <c r="F8" s="295">
        <f ca="1">INDIRECT("'数据-取费表'!ai"&amp;$G$1)</f>
        <v>365</v>
      </c>
      <c r="G8" s="1292"/>
      <c r="H8" s="296"/>
      <c r="I8" s="3385"/>
      <c r="J8" s="298"/>
      <c r="K8" s="299"/>
      <c r="L8" s="294" t="s">
        <v>698</v>
      </c>
      <c r="M8" s="295">
        <f ca="1">INDIRECT("'数据-取费表'!ai"&amp;$G$1)</f>
        <v>365</v>
      </c>
    </row>
    <row r="9" spans="1:37" ht="18" customHeight="1">
      <c r="A9" s="296"/>
      <c r="B9" s="3386"/>
      <c r="C9" s="298"/>
      <c r="D9" s="299"/>
      <c r="E9" s="294" t="s">
        <v>699</v>
      </c>
      <c r="F9" s="304">
        <f ca="1">INDIRECT("'数据-取费表'!w"&amp;$G$1)</f>
        <v>0.1</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1570</v>
      </c>
      <c r="D10" s="150" t="s">
        <v>2116</v>
      </c>
      <c r="E10" s="305" t="s">
        <v>701</v>
      </c>
      <c r="F10" s="1053" t="s">
        <v>3437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1618232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1592815</v>
      </c>
      <c r="D14" s="1257" t="s">
        <v>708</v>
      </c>
      <c r="E14" s="1255"/>
      <c r="F14" s="311"/>
      <c r="G14" s="1292"/>
      <c r="H14" s="928" t="s">
        <v>398</v>
      </c>
      <c r="I14" s="294" t="s">
        <v>709</v>
      </c>
      <c r="J14" s="21">
        <f ca="1">C29</f>
        <v>2311760</v>
      </c>
      <c r="K14" s="12"/>
      <c r="L14" s="759"/>
      <c r="M14" s="760"/>
    </row>
    <row r="15" spans="1:37" s="1304" customFormat="1" ht="18" customHeight="1" thickBot="1">
      <c r="A15" s="928" t="s">
        <v>399</v>
      </c>
      <c r="B15" s="294" t="s">
        <v>710</v>
      </c>
      <c r="C15" s="21">
        <f ca="1">ROUND(C14*F15,0)</f>
        <v>47784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23118</v>
      </c>
      <c r="K16" s="1024" t="s">
        <v>715</v>
      </c>
      <c r="L16" s="1025"/>
      <c r="M16" s="1009"/>
    </row>
    <row r="17" spans="1:37" s="1304" customFormat="1" ht="18" customHeight="1">
      <c r="A17" s="928" t="s">
        <v>681</v>
      </c>
      <c r="B17" s="294" t="s">
        <v>716</v>
      </c>
      <c r="C17" s="21">
        <f ca="1">ROUND(F17*(F43+INDIRECT("'数据-取费表'!S"&amp;$G$1)),0)</f>
        <v>91018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23892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1755509</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35110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23118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74311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-23118</v>
      </c>
      <c r="K25" s="1032" t="s">
        <v>753</v>
      </c>
      <c r="L25" s="1033"/>
      <c r="M25" s="1034"/>
    </row>
    <row r="26" spans="1:37" ht="18" customHeight="1">
      <c r="A26" s="928" t="s">
        <v>397</v>
      </c>
      <c r="B26" s="294" t="s">
        <v>754</v>
      </c>
      <c r="C26" s="21">
        <f ca="1">ROUND((C19+C20)*F26,0)</f>
        <v>268593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2311760</v>
      </c>
      <c r="D29" s="1029"/>
      <c r="E29" s="1027"/>
      <c r="F29" s="1030"/>
      <c r="G29" s="1303"/>
      <c r="H29" s="325" t="s">
        <v>396</v>
      </c>
      <c r="I29" s="326" t="s">
        <v>768</v>
      </c>
      <c r="J29" s="327">
        <f ca="1">ROUND(J26/(1+F40)^F41,0)</f>
        <v>0</v>
      </c>
      <c r="K29" s="328" t="s">
        <v>769</v>
      </c>
      <c r="L29" s="329"/>
      <c r="M29" s="330">
        <f ca="1">INDIRECT("'数据-取费表'!k"&amp;$G$1)</f>
        <v>455.09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187113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143517</v>
      </c>
      <c r="D31" s="1257" t="s">
        <v>720</v>
      </c>
      <c r="E31" s="1256" t="s">
        <v>770</v>
      </c>
      <c r="F31" s="2139">
        <f ca="1">IF(项目基本情况!B11="企业","——",IF(M47="住宅",IF(F6*F7*F8/12/(1+'数据-取费表'!F30)&gt;100000,4%,2.5%),IF(F6*F7*F8/12/(1+'数据-取费表'!F30)&gt;100000,12%,7%)))</f>
        <v>0.12</v>
      </c>
      <c r="G31" s="1292"/>
      <c r="H31" s="2569" t="s">
        <v>2304</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23118</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1618</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18860</v>
      </c>
      <c r="D38" s="1029" t="s">
        <v>748</v>
      </c>
      <c r="E38" s="1027" t="s">
        <v>744</v>
      </c>
      <c r="F38" s="1023">
        <f ca="1">INDIRECT("'数据-取费表'!Am"&amp;$G$1)</f>
        <v>1.4999999999999999E-2</v>
      </c>
      <c r="G38" s="1292"/>
      <c r="H38" s="2473"/>
      <c r="I38" s="1305"/>
      <c r="J38" s="1306"/>
      <c r="K38" s="2471"/>
      <c r="L38" s="2473"/>
      <c r="M38" s="2473"/>
    </row>
    <row r="39" spans="1:18" ht="24.6" customHeight="1" thickTop="1">
      <c r="A39" s="1016" t="s">
        <v>394</v>
      </c>
      <c r="B39" s="1031" t="s">
        <v>772</v>
      </c>
      <c r="C39" s="302">
        <f ca="1">C5-C30</f>
        <v>1070232</v>
      </c>
      <c r="D39" s="1032" t="s">
        <v>773</v>
      </c>
      <c r="E39" s="1033"/>
      <c r="F39" s="1034"/>
      <c r="G39" s="1292"/>
      <c r="H39" s="2473"/>
      <c r="I39" s="1305"/>
      <c r="J39" s="1306"/>
      <c r="K39" s="2471"/>
      <c r="L39" s="2473"/>
      <c r="M39" s="2473"/>
    </row>
    <row r="40" spans="1:18" ht="18" customHeight="1">
      <c r="A40" s="291" t="s">
        <v>395</v>
      </c>
      <c r="B40" s="292" t="s">
        <v>774</v>
      </c>
      <c r="C40" s="293">
        <f ca="1">ROUND(C39*(1-((1+F42)/(1+F40))^F41)/(F40-F42),0)</f>
        <v>21678603</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29.44</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47636</v>
      </c>
      <c r="D43" s="328" t="s">
        <v>777</v>
      </c>
      <c r="E43" s="329" t="s">
        <v>778</v>
      </c>
      <c r="F43" s="330">
        <f ca="1">INDIRECT("'数据-取费表'!k"&amp;$G$1)</f>
        <v>455.09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-2203.5363000000002</v>
      </c>
      <c r="D45" s="3130" t="s">
        <v>3354</v>
      </c>
      <c r="E45" s="1307"/>
      <c r="F45" s="1307"/>
      <c r="O45" s="1310" t="s">
        <v>808</v>
      </c>
      <c r="P45" s="1366"/>
      <c r="Q45" s="1366"/>
      <c r="R45" s="1366"/>
    </row>
    <row r="46" spans="1:18" s="1292" customFormat="1" ht="13.5" thickBot="1">
      <c r="A46" s="1311" t="s">
        <v>809</v>
      </c>
      <c r="C46" s="1312">
        <f ca="1">ROUND(C45,0)</f>
        <v>-2204</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3427</v>
      </c>
      <c r="K47" s="1323" t="s">
        <v>816</v>
      </c>
      <c r="L47" s="1324">
        <f ca="1">INDIRECT("'数据-取费表'!d"&amp;$G$1)</f>
        <v>50</v>
      </c>
      <c r="M47" s="1288" t="str">
        <f>IF(ISNUMBER(FIND("住宅",C1)),"住宅","非住宅")</f>
        <v>非住宅</v>
      </c>
      <c r="O47" s="1325" t="s">
        <v>403</v>
      </c>
      <c r="P47" s="1326" t="s">
        <v>817</v>
      </c>
      <c r="Q47" s="1327">
        <f ca="1">C40+J29</f>
        <v>21678603</v>
      </c>
      <c r="R47" s="1327" t="s">
        <v>818</v>
      </c>
    </row>
    <row r="48" spans="1:18" s="1292" customFormat="1" ht="28.5" thickBot="1">
      <c r="A48" s="1047" t="s">
        <v>438</v>
      </c>
      <c r="B48" s="292" t="s">
        <v>692</v>
      </c>
      <c r="C48" s="1268">
        <f ca="1">C49+C53+C55</f>
        <v>0</v>
      </c>
      <c r="D48" s="1049"/>
      <c r="E48" s="1050"/>
      <c r="F48" s="908"/>
      <c r="G48" s="681"/>
      <c r="H48" s="682"/>
      <c r="I48" s="1328" t="s">
        <v>819</v>
      </c>
      <c r="J48" s="1329" t="s">
        <v>3438</v>
      </c>
      <c r="K48" s="1330" t="s">
        <v>820</v>
      </c>
      <c r="L48" s="1331">
        <f ca="1">INDIRECT("'数据-取费表'!f"&amp;$G$1)</f>
        <v>29.44</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2311760</v>
      </c>
      <c r="R49" s="1327" t="s">
        <v>818</v>
      </c>
    </row>
    <row r="50" spans="1:18" s="1292" customFormat="1" ht="13.5" thickBot="1">
      <c r="A50" s="922"/>
      <c r="B50" s="925"/>
      <c r="C50" s="926"/>
      <c r="D50" s="899"/>
      <c r="E50" s="993" t="s">
        <v>697</v>
      </c>
      <c r="F50" s="994">
        <f ca="1">F7</f>
        <v>455.09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16391291</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29.44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29.44</v>
      </c>
      <c r="K53" s="3387" t="s">
        <v>837</v>
      </c>
      <c r="L53" s="3388"/>
      <c r="O53" s="1325" t="s">
        <v>409</v>
      </c>
      <c r="P53" s="1326" t="s">
        <v>838</v>
      </c>
      <c r="Q53" s="1327">
        <f ca="1">Q47+Q48</f>
        <v>21678603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1618232</v>
      </c>
      <c r="D56" s="1352"/>
      <c r="E56" s="1353"/>
      <c r="F56" s="1345"/>
      <c r="I56" s="1354" t="s">
        <v>842</v>
      </c>
      <c r="J56" s="1355" t="s">
        <v>3378</v>
      </c>
      <c r="K56" s="1328" t="s">
        <v>843</v>
      </c>
      <c r="L56" s="1331" t="str">
        <f ca="1">IF(L48&lt;J51,"——",L48-J51)</f>
        <v>——</v>
      </c>
      <c r="O56" s="1325" t="s">
        <v>403</v>
      </c>
      <c r="P56" s="1326" t="s">
        <v>817</v>
      </c>
      <c r="Q56" s="1327">
        <f ca="1">C40+J29</f>
        <v>21678603</v>
      </c>
      <c r="R56" s="1327" t="s">
        <v>818</v>
      </c>
    </row>
    <row r="57" spans="1:18" s="1292" customFormat="1" ht="24.75" thickBot="1">
      <c r="A57" s="1356"/>
      <c r="B57" s="896" t="s">
        <v>767</v>
      </c>
      <c r="C57" s="230">
        <f ca="1">C29</f>
        <v>2311760</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24736</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21678603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23118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1618</v>
      </c>
      <c r="D65" s="910" t="s">
        <v>743</v>
      </c>
      <c r="E65" s="896" t="s">
        <v>744</v>
      </c>
      <c r="F65" s="321">
        <f t="shared" ca="1" si="0"/>
        <v>1E-3</v>
      </c>
      <c r="I65" s="1367" t="s">
        <v>867</v>
      </c>
      <c r="J65" s="610">
        <v>40</v>
      </c>
      <c r="K65" s="610">
        <v>30</v>
      </c>
      <c r="L65" s="610">
        <v>50</v>
      </c>
      <c r="M65" s="1369">
        <v>0.02</v>
      </c>
      <c r="O65" s="1325" t="s">
        <v>403</v>
      </c>
      <c r="P65" s="1326" t="s">
        <v>868</v>
      </c>
      <c r="Q65" s="1327">
        <f ca="1">C40+J29</f>
        <v>21678603</v>
      </c>
      <c r="R65" s="1327" t="s">
        <v>818</v>
      </c>
    </row>
    <row r="66" spans="1:18" s="1292" customFormat="1" ht="16.5"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-24736</v>
      </c>
      <c r="D67" s="909" t="s">
        <v>753</v>
      </c>
      <c r="E67" s="914"/>
      <c r="F67" s="915"/>
      <c r="O67" s="1334" t="s">
        <v>405</v>
      </c>
      <c r="P67" s="1326" t="s">
        <v>850</v>
      </c>
      <c r="Q67" s="1370">
        <f ca="1">L51</f>
        <v>16391291</v>
      </c>
      <c r="R67" s="1327" t="s">
        <v>870</v>
      </c>
    </row>
    <row r="68" spans="1:18" s="1292" customFormat="1" ht="16.5" thickBot="1">
      <c r="A68" s="893" t="s">
        <v>395</v>
      </c>
      <c r="B68" s="894" t="s">
        <v>774</v>
      </c>
      <c r="C68" s="293">
        <f ca="1">ROUND(C67*(1-((1+F70)/(1+F68))^F69)/(F68-F70),0)</f>
        <v>-356760</v>
      </c>
      <c r="D68" s="911" t="s">
        <v>758</v>
      </c>
      <c r="E68" s="896" t="s">
        <v>759</v>
      </c>
      <c r="F68" s="304">
        <f ca="1">F40</f>
        <v>5.5E-2</v>
      </c>
      <c r="O68" s="1334" t="s">
        <v>406</v>
      </c>
      <c r="P68" s="1371" t="s">
        <v>871</v>
      </c>
      <c r="Q68" s="1327">
        <f ca="1">ROUND(Q69-Q70*Q71,0)</f>
        <v>940773</v>
      </c>
      <c r="R68" s="1327" t="s">
        <v>414</v>
      </c>
    </row>
    <row r="69" spans="1:18" s="1292" customFormat="1" ht="13.5" thickBot="1">
      <c r="A69" s="897"/>
      <c r="B69" s="898"/>
      <c r="C69" s="298"/>
      <c r="D69" s="916" t="s">
        <v>762</v>
      </c>
      <c r="E69" s="896" t="s">
        <v>763</v>
      </c>
      <c r="F69" s="324">
        <f ca="1">F41</f>
        <v>29.44</v>
      </c>
      <c r="O69" s="1334" t="s">
        <v>411</v>
      </c>
      <c r="P69" s="1371" t="s">
        <v>872</v>
      </c>
      <c r="Q69" s="1327">
        <f ca="1">C39</f>
        <v>1070232</v>
      </c>
      <c r="R69" s="1327" t="s">
        <v>818</v>
      </c>
    </row>
    <row r="70" spans="1:18" s="1292" customFormat="1" ht="13.5" thickBot="1">
      <c r="A70" s="900"/>
      <c r="B70" s="901"/>
      <c r="C70" s="302"/>
      <c r="D70" s="912"/>
      <c r="E70" s="896" t="s">
        <v>766</v>
      </c>
      <c r="F70" s="991"/>
      <c r="O70" s="1334" t="s">
        <v>412</v>
      </c>
      <c r="P70" s="1371" t="s">
        <v>873</v>
      </c>
      <c r="Q70" s="1327">
        <f ca="1">C13</f>
        <v>1618232</v>
      </c>
      <c r="R70" s="1327" t="s">
        <v>818</v>
      </c>
    </row>
    <row r="71" spans="1:18" s="1292" customFormat="1" ht="13.5" thickBot="1">
      <c r="A71" s="917" t="s">
        <v>396</v>
      </c>
      <c r="B71" s="918" t="s">
        <v>776</v>
      </c>
      <c r="C71" s="327">
        <f ca="1">ROUND(C68/F71,0)</f>
        <v>-784</v>
      </c>
      <c r="D71" s="919" t="s">
        <v>777</v>
      </c>
      <c r="E71" s="920" t="s">
        <v>778</v>
      </c>
      <c r="F71" s="330">
        <f ca="1">F43</f>
        <v>455.09</v>
      </c>
      <c r="O71" s="1334" t="s">
        <v>413</v>
      </c>
      <c r="P71" s="1371" t="s">
        <v>874</v>
      </c>
      <c r="Q71" s="1337">
        <f ca="1">C76</f>
        <v>0.08</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129459</v>
      </c>
      <c r="D75" s="1292"/>
      <c r="E75" s="1292"/>
      <c r="F75" s="1292"/>
      <c r="K75" s="1309"/>
      <c r="L75" s="1292"/>
      <c r="O75" s="1325" t="s">
        <v>409</v>
      </c>
      <c r="P75" s="1326" t="s">
        <v>838</v>
      </c>
      <c r="Q75" s="1327">
        <f ca="1">Q65+Q66</f>
        <v>21678603</v>
      </c>
      <c r="R75" s="1327" t="s">
        <v>410</v>
      </c>
    </row>
    <row r="76" spans="1:18">
      <c r="B76" s="333" t="s">
        <v>796</v>
      </c>
      <c r="C76" s="334">
        <f ca="1">INDIRECT("'数据-取费表'!j"&amp;$G$1)</f>
        <v>0.08</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0.879</v>
      </c>
    </row>
    <row r="80" spans="1:18">
      <c r="B80" s="331" t="s">
        <v>800</v>
      </c>
      <c r="C80" s="266">
        <f ca="1">ROUND(C75/C39,3)</f>
        <v>0.121</v>
      </c>
    </row>
    <row r="81" spans="2:3">
      <c r="B81" s="262" t="s">
        <v>801</v>
      </c>
      <c r="C81" s="230"/>
    </row>
    <row r="82" spans="2:3">
      <c r="B82" s="265" t="s">
        <v>802</v>
      </c>
      <c r="C82" s="267">
        <f ca="1">1-C83</f>
        <v>0.92500000000000004</v>
      </c>
    </row>
    <row r="83" spans="2:3">
      <c r="B83" s="265" t="s">
        <v>803</v>
      </c>
      <c r="C83" s="266">
        <f ca="1">ROUND(C13/C40,3)</f>
        <v>7.4999999999999997E-2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6B10-7E35-400B-9990-300942E8FD7B}">
  <dimension ref="M5:O7"/>
  <sheetViews>
    <sheetView topLeftCell="A40" workbookViewId="0">
      <selection activeCell="N6" sqref="N6"/>
    </sheetView>
  </sheetViews>
  <sheetFormatPr defaultRowHeight="13.5"/>
  <sheetData>
    <row r="5" spans="13:15">
      <c r="M5">
        <v>96</v>
      </c>
      <c r="N5" s="1405" t="s">
        <v>3420</v>
      </c>
      <c r="O5">
        <v>49000</v>
      </c>
    </row>
    <row r="6" spans="13:15">
      <c r="M6">
        <v>678.69</v>
      </c>
      <c r="N6" s="1405" t="s">
        <v>3422</v>
      </c>
      <c r="O6">
        <v>50000</v>
      </c>
    </row>
    <row r="7" spans="13:15">
      <c r="M7">
        <v>475</v>
      </c>
      <c r="N7" s="1405" t="s">
        <v>3422</v>
      </c>
      <c r="O7">
        <v>52000</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64D7-F762-43F6-B06A-EB70B2BB6916}">
  <dimension ref="M4:O6"/>
  <sheetViews>
    <sheetView tabSelected="1" topLeftCell="K1" workbookViewId="0">
      <selection activeCell="N11" sqref="N11"/>
    </sheetView>
  </sheetViews>
  <sheetFormatPr defaultRowHeight="13.5"/>
  <sheetData>
    <row r="4" spans="13:15">
      <c r="M4" s="1405">
        <v>238.46</v>
      </c>
      <c r="N4" s="1405" t="s">
        <v>3442</v>
      </c>
      <c r="O4">
        <v>9</v>
      </c>
    </row>
    <row r="5" spans="13:15">
      <c r="M5">
        <v>178</v>
      </c>
      <c r="N5" s="1405" t="s">
        <v>3443</v>
      </c>
      <c r="O5">
        <v>8</v>
      </c>
    </row>
    <row r="6" spans="13:15">
      <c r="M6">
        <v>256</v>
      </c>
      <c r="N6" s="1405" t="s">
        <v>3445</v>
      </c>
      <c r="O6">
        <v>7.8</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3823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v>
      </c>
      <c r="D10" s="795">
        <f ca="1">IF(B1="",'数据-汇总表'!E6,IF(INDIRECT("'数据-取费表'!c"&amp;$G$1)="住宅",INDIRECT("'数据-取费表'!s"&amp;$G$1),INDIRECT("'数据-取费表'!k"&amp;$G$1)+INDIRECT("'数据-取费表'!s"&amp;$G$1)))</f>
        <v>455.09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455.09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159</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v>
      </c>
      <c r="D37" s="209">
        <f ca="1">D19</f>
        <v>455.09</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89" t="s">
        <v>1544</v>
      </c>
    </row>
    <row r="43" spans="1:7" ht="13.5" customHeight="1">
      <c r="A43" s="734" t="s">
        <v>347</v>
      </c>
      <c r="B43" s="207" t="s">
        <v>1545</v>
      </c>
      <c r="C43" s="230">
        <f ca="1">ROUND(IF('数据-取费表'!B22&lt;=1,C39*F22*'数据-取费表'!B21/2,C39*(POWER((1+F22),'数据-取费表'!B21/2)-1)),0)</f>
        <v>0</v>
      </c>
      <c r="D43" s="230"/>
      <c r="E43" s="230"/>
      <c r="F43" s="231"/>
      <c r="G43" s="3390"/>
    </row>
    <row r="44" spans="1:7" ht="13.5" customHeight="1">
      <c r="A44" s="734" t="s">
        <v>348</v>
      </c>
      <c r="B44" s="207" t="s">
        <v>1546</v>
      </c>
      <c r="C44" s="230">
        <f ca="1">ROUND(IF('数据-取费表'!B22&lt;=1,C40*F22*'数据-取费表'!B21/2,C40*(POWER((1+F22),'数据-取费表'!B21/2)-1)),4)</f>
        <v>8.0000000000000004E-4</v>
      </c>
      <c r="D44" s="230"/>
      <c r="E44" s="230"/>
      <c r="F44" s="231"/>
      <c r="G44" s="3391"/>
    </row>
    <row r="45" spans="1:7" s="206" customFormat="1" ht="13.5" customHeight="1">
      <c r="A45" s="247" t="s">
        <v>1547</v>
      </c>
      <c r="B45" s="236" t="s">
        <v>1513</v>
      </c>
      <c r="C45" s="237">
        <f ca="1">C46</f>
        <v>27</v>
      </c>
      <c r="D45" s="227">
        <f ca="1">C47</f>
        <v>3.0000000000000001E-3</v>
      </c>
      <c r="E45" s="228" t="s">
        <v>1539</v>
      </c>
      <c r="F45" s="238">
        <f ca="1">F27</f>
        <v>0.15</v>
      </c>
      <c r="G45" s="239" t="s">
        <v>1548</v>
      </c>
    </row>
    <row r="46" spans="1:7" s="206" customFormat="1" ht="13.5" customHeight="1">
      <c r="A46" s="734" t="s">
        <v>346</v>
      </c>
      <c r="B46" s="240" t="s">
        <v>1549</v>
      </c>
      <c r="C46" s="241">
        <f ca="1">ROUND((C33+C39)*F27,0)</f>
        <v>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162</v>
      </c>
      <c r="D51" s="224"/>
      <c r="E51" s="224"/>
      <c r="F51" s="256"/>
      <c r="G51" s="226" t="s">
        <v>1560</v>
      </c>
    </row>
    <row r="52" spans="1:7" s="200" customFormat="1" ht="16.5" thickBot="1">
      <c r="A52" s="257" t="s">
        <v>1561</v>
      </c>
      <c r="B52" s="258"/>
      <c r="C52" s="259">
        <f ca="1">C31+C51</f>
        <v>174</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186.6473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91018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91018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91018</v>
      </c>
      <c r="D10" s="795">
        <f ca="1">IF(B1="",'数据-汇总表'!E6,IF(INDIRECT("'数据-取费表'!c"&amp;$G$1)="住宅",INDIRECT("'数据-取费表'!s"&amp;$G$1),INDIRECT("'数据-取费表'!k"&amp;$G$1)+INDIRECT("'数据-取费表'!s"&amp;$G$1)))</f>
        <v>455.09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91018</v>
      </c>
      <c r="D19" s="204">
        <f ca="1">D9+D10</f>
        <v>455.09</v>
      </c>
      <c r="E19" s="203">
        <f>'数据-取费表'!B31</f>
        <v>200</v>
      </c>
      <c r="F19" s="223"/>
      <c r="G19" s="1714"/>
    </row>
    <row r="20" spans="1:7" s="206" customFormat="1" ht="13.5" customHeight="1">
      <c r="A20" s="247" t="s">
        <v>1574</v>
      </c>
      <c r="B20" s="202" t="s">
        <v>1575</v>
      </c>
      <c r="C20" s="224">
        <f ca="1">ROUND((C5+C19)*F20,0)</f>
        <v>3641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15573</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7711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7711</v>
      </c>
      <c r="D24" s="230"/>
      <c r="E24" s="230"/>
      <c r="F24" s="231"/>
      <c r="G24" s="232" t="s">
        <v>1586</v>
      </c>
    </row>
    <row r="25" spans="1:7" s="206" customFormat="1" ht="24">
      <c r="A25" s="734" t="s">
        <v>1476</v>
      </c>
      <c r="B25" s="207" t="s">
        <v>1587</v>
      </c>
      <c r="C25" s="230">
        <f ca="1">ROUND(IF('数据-取费表'!B22&lt;=1,C20*F22*'数据-取费表'!B22/2,C20*(POWER((1+F22),'数据-取费表'!B22/2)-1)),0)</f>
        <v>151</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27852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27852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248241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1755509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1592815</v>
      </c>
      <c r="D34" s="209"/>
      <c r="E34" s="212"/>
      <c r="F34" s="249"/>
      <c r="G34" s="211"/>
    </row>
    <row r="35" spans="1:7" ht="13.5" customHeight="1">
      <c r="A35" s="734" t="s">
        <v>351</v>
      </c>
      <c r="B35" s="207" t="s">
        <v>1527</v>
      </c>
      <c r="C35" s="212">
        <f ca="1">ROUND(C34*F35,0)</f>
        <v>47784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91018</v>
      </c>
      <c r="D37" s="209">
        <f ca="1">D19</f>
        <v>455.09</v>
      </c>
      <c r="E37" s="241">
        <f>'数据-取费表'!B35</f>
        <v>200</v>
      </c>
      <c r="F37" s="251"/>
      <c r="G37" s="253"/>
    </row>
    <row r="38" spans="1:7" ht="13.5" customHeight="1">
      <c r="A38" s="734" t="s">
        <v>354</v>
      </c>
      <c r="B38" s="207" t="s">
        <v>1533</v>
      </c>
      <c r="C38" s="212">
        <f ca="1">ROUND(C34*F38,0)</f>
        <v>23892</v>
      </c>
      <c r="D38" s="212"/>
      <c r="E38" s="212"/>
      <c r="F38" s="251">
        <f>'数据-取费表'!B36</f>
        <v>1.4999999999999999E-2</v>
      </c>
      <c r="G38" s="211" t="s">
        <v>1528</v>
      </c>
    </row>
    <row r="39" spans="1:7" s="206" customFormat="1" ht="13.5" customHeight="1">
      <c r="A39" s="247" t="s">
        <v>1534</v>
      </c>
      <c r="B39" s="202" t="s">
        <v>1535</v>
      </c>
      <c r="C39" s="224">
        <f ca="1">ROUND(C33*F20,0)</f>
        <v>35110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74311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72854</v>
      </c>
      <c r="D42" s="230"/>
      <c r="E42" s="230"/>
      <c r="F42" s="231"/>
      <c r="G42" s="3389" t="s">
        <v>1591</v>
      </c>
    </row>
    <row r="43" spans="1:7" ht="13.5" customHeight="1">
      <c r="A43" s="734" t="s">
        <v>347</v>
      </c>
      <c r="B43" s="207" t="s">
        <v>1545</v>
      </c>
      <c r="C43" s="230">
        <f ca="1">ROUND(IF('数据-取费表'!B22&lt;=1,C39*F22*'数据-取费表'!B20/2,C39*(POWER((1+F22),'数据-取费表'!B20/2)-1)),0)</f>
        <v>1457</v>
      </c>
      <c r="D43" s="230"/>
      <c r="E43" s="230"/>
      <c r="F43" s="231"/>
      <c r="G43" s="3390"/>
    </row>
    <row r="44" spans="1:7" ht="13.5" customHeight="1">
      <c r="A44" s="734" t="s">
        <v>348</v>
      </c>
      <c r="B44" s="207" t="s">
        <v>1546</v>
      </c>
      <c r="C44" s="230">
        <f ca="1">ROUND(IF('数据-取费表'!B22&lt;=1,C40*F22*'数据-取费表'!B20/2,C40*(POWER((1+F22),'数据-取费表'!B20/2)-1)),4)</f>
        <v>8.0000000000000004E-4</v>
      </c>
      <c r="D44" s="230"/>
      <c r="E44" s="230"/>
      <c r="F44" s="231"/>
      <c r="G44" s="3391"/>
    </row>
    <row r="45" spans="1:7" s="206" customFormat="1" ht="13.5" customHeight="1">
      <c r="A45" s="247" t="s">
        <v>1547</v>
      </c>
      <c r="B45" s="236" t="s">
        <v>1513</v>
      </c>
      <c r="C45" s="237">
        <f ca="1">C46</f>
        <v>268593</v>
      </c>
      <c r="D45" s="227">
        <f ca="1">C47</f>
        <v>3.0000000000000001E-3</v>
      </c>
      <c r="E45" s="228" t="s">
        <v>1539</v>
      </c>
      <c r="F45" s="238">
        <f ca="1">F27</f>
        <v>0.15</v>
      </c>
      <c r="G45" s="239" t="s">
        <v>1548</v>
      </c>
    </row>
    <row r="46" spans="1:7" s="206" customFormat="1" ht="13.5" customHeight="1">
      <c r="A46" s="734" t="s">
        <v>346</v>
      </c>
      <c r="B46" s="240" t="s">
        <v>1549</v>
      </c>
      <c r="C46" s="241">
        <f ca="1">ROUND((C33+C39)*F27,0)</f>
        <v>268593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2311760</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1618232</v>
      </c>
      <c r="D51" s="224"/>
      <c r="E51" s="224"/>
      <c r="F51" s="256"/>
      <c r="G51" s="226" t="s">
        <v>1560</v>
      </c>
    </row>
    <row r="52" spans="1:7" s="200" customFormat="1" ht="16.5" thickBot="1">
      <c r="A52" s="257" t="s">
        <v>1561</v>
      </c>
      <c r="B52" s="258"/>
      <c r="C52" s="259">
        <f ca="1">C31+C51</f>
        <v>1866473</v>
      </c>
      <c r="D52" s="258"/>
      <c r="E52" s="258"/>
      <c r="F52" s="258"/>
      <c r="G52" s="260"/>
    </row>
    <row r="55" spans="1:7" ht="15">
      <c r="B55" s="262" t="s">
        <v>1562</v>
      </c>
      <c r="C55" s="263"/>
    </row>
    <row r="56" spans="1:7">
      <c r="B56" s="265" t="s">
        <v>802</v>
      </c>
      <c r="C56" s="267">
        <f ca="1">1-C57</f>
        <v>0.13300000000000001</v>
      </c>
    </row>
    <row r="57" spans="1:7">
      <c r="B57" s="265" t="s">
        <v>803</v>
      </c>
      <c r="C57" s="266">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-10</v>
      </c>
      <c r="C2" s="268" t="s">
        <v>1595</v>
      </c>
      <c r="D2" s="268"/>
      <c r="E2" s="2567"/>
      <c r="F2" s="2567"/>
      <c r="G2" s="2567"/>
      <c r="H2" s="2567"/>
      <c r="I2" s="2567"/>
      <c r="J2" s="2567"/>
      <c r="K2" s="2567"/>
    </row>
    <row r="3" spans="1:33" ht="18" customHeight="1" thickBot="1">
      <c r="A3" s="195" t="s">
        <v>1464</v>
      </c>
      <c r="B3" s="196">
        <f ca="1">ROUND(B2*10000/IF(C1="",'数据-汇总表'!E3,INDIRECT("'数据-取费表'!K"&amp;$K$1)),0)</f>
        <v>-220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455.09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455.09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v>
      </c>
      <c r="D20" s="796">
        <f ca="1">IF(C1="",'数据-汇总表'!E6,IF(INDIRECT("'数据-取费表'!c"&amp;$K$1)="住宅",INDIRECT("'数据-取费表'!s"&amp;$K$1),INDIRECT("'数据-取费表'!k"&amp;$K$1)+INDIRECT("'数据-取费表'!s"&amp;$K$1)))</f>
        <v>455.09</v>
      </c>
      <c r="E20" s="21">
        <f>'数据-取费表'!B28</f>
        <v>200</v>
      </c>
      <c r="F20" s="756"/>
      <c r="G20" s="12"/>
      <c r="H20" s="761"/>
      <c r="I20" s="761"/>
      <c r="J20" s="761"/>
      <c r="K20" s="762"/>
    </row>
    <row r="21" spans="1:33" s="755" customFormat="1" ht="13.5" customHeight="1">
      <c r="A21" s="744" t="s">
        <v>357</v>
      </c>
      <c r="B21" s="765" t="s">
        <v>1628</v>
      </c>
      <c r="C21" s="766">
        <f ca="1">C16+C17+C18</f>
        <v>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4" t="s">
        <v>694</v>
      </c>
      <c r="C6" s="1011">
        <f ca="1">ROUND(F6*F8*F7*(1-F9)/10000,0)</f>
        <v>0</v>
      </c>
      <c r="D6" s="147" t="s">
        <v>2109</v>
      </c>
      <c r="E6" s="294" t="s">
        <v>696</v>
      </c>
      <c r="F6" s="295">
        <f ca="1">INDIRECT("'数据-取费表'!u"&amp;$G$1)</f>
        <v>0</v>
      </c>
      <c r="G6" s="1292"/>
      <c r="H6" s="1006" t="s">
        <v>398</v>
      </c>
      <c r="I6" s="3384" t="s">
        <v>694</v>
      </c>
      <c r="J6" s="293">
        <f ca="1">ROUND(M6*M8*M7*(1-M9)/10000,0)</f>
        <v>0</v>
      </c>
      <c r="K6" s="147" t="s">
        <v>2108</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0</v>
      </c>
      <c r="G7" s="1292"/>
      <c r="H7" s="296"/>
      <c r="I7" s="3385"/>
      <c r="J7" s="298"/>
      <c r="K7" s="299"/>
      <c r="L7" s="294" t="s">
        <v>697</v>
      </c>
      <c r="M7" s="295">
        <f ca="1">F7</f>
        <v>0</v>
      </c>
    </row>
    <row r="8" spans="1:37" ht="18" customHeight="1">
      <c r="A8" s="296"/>
      <c r="B8" s="3385"/>
      <c r="C8" s="298"/>
      <c r="D8" s="299"/>
      <c r="E8" s="294" t="s">
        <v>698</v>
      </c>
      <c r="F8" s="295">
        <f ca="1">INDIRECT("'数据-取费表'!ai"&amp;$G$1)</f>
        <v>0</v>
      </c>
      <c r="G8" s="1292"/>
      <c r="H8" s="296"/>
      <c r="I8" s="3385"/>
      <c r="J8" s="298"/>
      <c r="K8" s="299"/>
      <c r="L8" s="294" t="s">
        <v>698</v>
      </c>
      <c r="M8" s="295">
        <f ca="1">INDIRECT("'数据-取费表'!ai"&amp;$G$1)</f>
        <v>0</v>
      </c>
    </row>
    <row r="9" spans="1:37" ht="18" customHeight="1">
      <c r="A9" s="296"/>
      <c r="B9" s="3386"/>
      <c r="C9" s="298"/>
      <c r="D9" s="299"/>
      <c r="E9" s="294" t="s">
        <v>699</v>
      </c>
      <c r="F9" s="304">
        <f ca="1">INDIRECT("'数据-取费表'!w"&amp;$G$1)</f>
        <v>0</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2304</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7" t="s">
        <v>837</v>
      </c>
      <c r="L53" s="338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L37" sqref="L37"/>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2432</v>
      </c>
      <c r="B1" s="2583"/>
      <c r="C1" s="2595"/>
      <c r="D1" s="2595"/>
      <c r="E1" s="2584"/>
      <c r="F1" s="2585"/>
      <c r="G1" s="2586"/>
      <c r="J1" s="2589" t="s">
        <v>2311</v>
      </c>
      <c r="K1" s="2590"/>
      <c r="L1" s="2590"/>
      <c r="M1" s="2590"/>
      <c r="N1" s="2590"/>
      <c r="O1" s="2590"/>
      <c r="P1" s="2590"/>
      <c r="Q1" s="2590"/>
      <c r="R1" s="2591"/>
      <c r="S1" s="2592"/>
      <c r="T1" s="2592"/>
      <c r="U1" s="2592"/>
    </row>
    <row r="2" spans="1:22" s="2604" customFormat="1" ht="13.15" customHeight="1">
      <c r="A2" s="1293" t="s">
        <v>2312</v>
      </c>
      <c r="B2" s="2594" t="e">
        <f>IF(D2="——",C40,C40+E2)</f>
        <v>#DIV/0!</v>
      </c>
      <c r="C2" s="2595" t="s">
        <v>2313</v>
      </c>
      <c r="D2" s="3138" t="s">
        <v>3360</v>
      </c>
      <c r="E2" s="3139"/>
      <c r="F2" s="2597"/>
      <c r="G2" s="2598"/>
      <c r="H2" s="2599"/>
      <c r="I2" s="2600"/>
      <c r="J2" s="3398" t="s">
        <v>2314</v>
      </c>
      <c r="K2" s="3399"/>
      <c r="L2" s="2601" t="s">
        <v>2315</v>
      </c>
      <c r="M2" s="2601" t="s">
        <v>2316</v>
      </c>
      <c r="N2" s="2601" t="s">
        <v>2317</v>
      </c>
      <c r="O2" s="2601" t="s">
        <v>2318</v>
      </c>
      <c r="P2" s="2601" t="s">
        <v>2319</v>
      </c>
      <c r="Q2" s="2602" t="s">
        <v>2320</v>
      </c>
      <c r="R2" s="2603" t="s">
        <v>2321</v>
      </c>
      <c r="S2" s="2592"/>
      <c r="T2" s="2592"/>
      <c r="U2" s="2592"/>
      <c r="V2" s="2600"/>
    </row>
    <row r="3" spans="1:22" s="2604" customFormat="1" ht="13.15" customHeight="1">
      <c r="A3" s="2605" t="s">
        <v>2322</v>
      </c>
      <c r="B3" s="2606" t="e">
        <f>ROUND(B2*10000/B4,0)</f>
        <v>#DIV/0!</v>
      </c>
      <c r="C3" s="2595" t="s">
        <v>2323</v>
      </c>
      <c r="D3" s="2595"/>
      <c r="E3" s="2596"/>
      <c r="F3" s="2597"/>
      <c r="G3" s="2598"/>
      <c r="H3" s="2599"/>
      <c r="I3" s="2600"/>
      <c r="J3" s="3400" t="s">
        <v>2324</v>
      </c>
      <c r="K3" s="3401"/>
      <c r="L3" s="2607"/>
      <c r="M3" s="2607"/>
      <c r="N3" s="2607"/>
      <c r="O3" s="2607"/>
      <c r="P3" s="2607"/>
      <c r="Q3" s="2608"/>
      <c r="R3" s="2609">
        <f>SUM(L3:Q3)</f>
        <v>0</v>
      </c>
      <c r="S3" s="2592"/>
      <c r="T3" s="2592"/>
      <c r="U3" s="2592"/>
      <c r="V3" s="2600"/>
    </row>
    <row r="4" spans="1:22" s="2604" customFormat="1" ht="13.15" customHeight="1">
      <c r="A4" s="2610" t="s">
        <v>2325</v>
      </c>
      <c r="B4" s="2611"/>
      <c r="C4" s="2595"/>
      <c r="D4" s="2595"/>
      <c r="E4" s="2596"/>
      <c r="F4" s="2597"/>
      <c r="G4" s="2598"/>
      <c r="H4" s="2599"/>
      <c r="I4" s="2600"/>
      <c r="J4" s="3400" t="s">
        <v>2326</v>
      </c>
      <c r="K4" s="3401"/>
      <c r="L4" s="2612"/>
      <c r="M4" s="2612"/>
      <c r="N4" s="2612"/>
      <c r="O4" s="2612"/>
      <c r="P4" s="2612"/>
      <c r="Q4" s="2613"/>
      <c r="R4" s="2614">
        <f>SUM(L4:Q4)</f>
        <v>0</v>
      </c>
      <c r="S4" s="2592"/>
      <c r="T4" s="2592"/>
      <c r="U4" s="2592"/>
      <c r="V4" s="2600"/>
    </row>
    <row r="5" spans="1:22" s="2604" customFormat="1" ht="13.15" customHeight="1" thickBot="1">
      <c r="A5" s="2615" t="s">
        <v>2327</v>
      </c>
      <c r="B5" s="2616"/>
      <c r="C5" s="2595"/>
      <c r="D5" s="2617"/>
      <c r="E5" s="2597"/>
      <c r="F5" s="2597"/>
      <c r="G5" s="2598"/>
      <c r="H5" s="2599"/>
      <c r="I5" s="2600"/>
      <c r="J5" s="2618" t="s">
        <v>2328</v>
      </c>
      <c r="K5" s="2619"/>
      <c r="L5" s="2619"/>
      <c r="M5" s="2620"/>
      <c r="N5" s="2620"/>
      <c r="O5" s="2620"/>
      <c r="P5" s="2620"/>
      <c r="Q5" s="2620"/>
      <c r="R5" s="2603">
        <f>SUM(R14,R19,R24,R25,R27,R28)</f>
        <v>0</v>
      </c>
      <c r="S5" s="2592"/>
      <c r="T5" s="2592" t="s">
        <v>2329</v>
      </c>
      <c r="U5" s="2592" t="e">
        <f>ROUND(R5*10000/365/R3,1)</f>
        <v>#DIV/0!</v>
      </c>
      <c r="V5" s="2600"/>
    </row>
    <row r="6" spans="1:22" s="2604" customFormat="1" ht="13.15" customHeight="1" thickBot="1">
      <c r="A6" s="3406" t="s">
        <v>2330</v>
      </c>
      <c r="B6" s="3407"/>
      <c r="C6" s="3408"/>
      <c r="D6" s="2621"/>
      <c r="E6" s="2622"/>
      <c r="F6" s="2623"/>
      <c r="G6" s="2624"/>
      <c r="H6" s="2599"/>
      <c r="I6" s="2600"/>
      <c r="J6" s="3392">
        <v>1</v>
      </c>
      <c r="K6" s="3393" t="s">
        <v>2331</v>
      </c>
      <c r="L6" s="2625" t="s">
        <v>2332</v>
      </c>
      <c r="M6" s="2626" t="s">
        <v>2333</v>
      </c>
      <c r="N6" s="2626" t="s">
        <v>2334</v>
      </c>
      <c r="O6" s="2626" t="s">
        <v>2335</v>
      </c>
      <c r="P6" s="2626" t="s">
        <v>2336</v>
      </c>
      <c r="Q6" s="2626" t="s">
        <v>2337</v>
      </c>
      <c r="R6" s="2609" t="s">
        <v>2338</v>
      </c>
      <c r="S6" s="2592"/>
      <c r="T6" s="2592" t="s">
        <v>2339</v>
      </c>
      <c r="U6" s="2592"/>
      <c r="V6" s="2600"/>
    </row>
    <row r="7" spans="1:22" s="2604" customFormat="1" ht="13.15" customHeight="1">
      <c r="A7" s="2627" t="s">
        <v>2340</v>
      </c>
      <c r="B7" s="2628"/>
      <c r="C7" s="2629"/>
      <c r="D7" s="2630">
        <f>SUM(D9,D10,D11,D17,0)</f>
        <v>0</v>
      </c>
      <c r="E7" s="2631" t="e">
        <f>E9+E10+E11+E17</f>
        <v>#DIV/0!</v>
      </c>
      <c r="F7" s="2632"/>
      <c r="G7" s="2633"/>
      <c r="H7" s="2599"/>
      <c r="I7" s="2600"/>
      <c r="J7" s="3392"/>
      <c r="K7" s="3394"/>
      <c r="L7" s="2634" t="s">
        <v>2341</v>
      </c>
      <c r="M7" s="2635"/>
      <c r="N7" s="2611"/>
      <c r="O7" s="2636"/>
      <c r="P7" s="2636"/>
      <c r="Q7" s="2637">
        <v>365</v>
      </c>
      <c r="R7" s="2638">
        <f>ROUND(M7*N7*O7*P7*Q7/10000,0)</f>
        <v>0</v>
      </c>
      <c r="S7" s="2592"/>
      <c r="T7" s="2592" t="s">
        <v>2342</v>
      </c>
      <c r="U7" s="2592"/>
      <c r="V7" s="2600"/>
    </row>
    <row r="8" spans="1:22" s="2604" customFormat="1" ht="13.15" customHeight="1">
      <c r="A8" s="2639" t="s">
        <v>2343</v>
      </c>
      <c r="B8" s="3409" t="s">
        <v>2344</v>
      </c>
      <c r="C8" s="3410"/>
      <c r="D8" s="2640" t="s">
        <v>2345</v>
      </c>
      <c r="E8" s="2641" t="s">
        <v>2346</v>
      </c>
      <c r="F8" s="2642" t="s">
        <v>2347</v>
      </c>
      <c r="G8" s="2643"/>
      <c r="H8" s="2599"/>
      <c r="I8" s="2600"/>
      <c r="J8" s="3392"/>
      <c r="K8" s="3394"/>
      <c r="L8" s="2634" t="s">
        <v>2348</v>
      </c>
      <c r="M8" s="2635"/>
      <c r="N8" s="2611"/>
      <c r="O8" s="2636"/>
      <c r="P8" s="2636"/>
      <c r="Q8" s="2637">
        <v>365</v>
      </c>
      <c r="R8" s="2638">
        <f t="shared" ref="R8:R13" si="0">ROUND(M8*N8*O8*P8*Q8/10000,0)</f>
        <v>0</v>
      </c>
      <c r="S8" s="2592"/>
      <c r="T8" s="2592" t="s">
        <v>2349</v>
      </c>
      <c r="U8" s="2592"/>
      <c r="V8" s="2600"/>
    </row>
    <row r="9" spans="1:22" s="2604" customFormat="1" ht="13.15" customHeight="1">
      <c r="A9" s="2639">
        <v>1</v>
      </c>
      <c r="B9" s="3409" t="s">
        <v>2350</v>
      </c>
      <c r="C9" s="3410"/>
      <c r="D9" s="2640">
        <f>ROUND(D6*E9,0)</f>
        <v>0</v>
      </c>
      <c r="E9" s="2644"/>
      <c r="F9" s="2645" t="s">
        <v>2351</v>
      </c>
      <c r="G9" s="2624"/>
      <c r="H9" s="2599"/>
      <c r="I9" s="2600"/>
      <c r="J9" s="3392"/>
      <c r="K9" s="3394"/>
      <c r="L9" s="2634" t="s">
        <v>2352</v>
      </c>
      <c r="M9" s="2635"/>
      <c r="N9" s="2611"/>
      <c r="O9" s="2636"/>
      <c r="P9" s="2636"/>
      <c r="Q9" s="2637">
        <v>365</v>
      </c>
      <c r="R9" s="2638">
        <f t="shared" si="0"/>
        <v>0</v>
      </c>
      <c r="S9" s="2592"/>
      <c r="T9" s="2592"/>
      <c r="U9" s="2592"/>
      <c r="V9" s="2600"/>
    </row>
    <row r="10" spans="1:22" s="2604" customFormat="1" ht="13.15" customHeight="1">
      <c r="A10" s="2639">
        <v>2</v>
      </c>
      <c r="B10" s="3409" t="s">
        <v>2353</v>
      </c>
      <c r="C10" s="3410"/>
      <c r="D10" s="2640">
        <f>ROUND(D6*E10,0)</f>
        <v>0</v>
      </c>
      <c r="E10" s="2644"/>
      <c r="F10" s="2645" t="s">
        <v>2354</v>
      </c>
      <c r="G10" s="2624"/>
      <c r="H10" s="2599"/>
      <c r="I10" s="2600"/>
      <c r="J10" s="3392"/>
      <c r="K10" s="3394"/>
      <c r="L10" s="2634" t="s">
        <v>2355</v>
      </c>
      <c r="M10" s="2635"/>
      <c r="N10" s="2611"/>
      <c r="O10" s="2636"/>
      <c r="P10" s="2636"/>
      <c r="Q10" s="2637">
        <v>365</v>
      </c>
      <c r="R10" s="2638">
        <f t="shared" si="0"/>
        <v>0</v>
      </c>
      <c r="S10" s="2592"/>
      <c r="T10" s="2592"/>
      <c r="U10" s="2592"/>
      <c r="V10" s="2600"/>
    </row>
    <row r="11" spans="1:22" s="2604" customFormat="1" ht="13.15" customHeight="1">
      <c r="A11" s="2639">
        <v>3</v>
      </c>
      <c r="B11" s="3409" t="s">
        <v>2356</v>
      </c>
      <c r="C11" s="3410"/>
      <c r="D11" s="2640">
        <f>D12+D14+D15+D16</f>
        <v>0</v>
      </c>
      <c r="E11" s="2646" t="e">
        <f>D11/D6</f>
        <v>#DIV/0!</v>
      </c>
      <c r="F11" s="2642"/>
      <c r="G11" s="2643"/>
      <c r="H11" s="2599"/>
      <c r="I11" s="2600"/>
      <c r="J11" s="3392"/>
      <c r="K11" s="3394"/>
      <c r="L11" s="2634" t="s">
        <v>2357</v>
      </c>
      <c r="M11" s="2635"/>
      <c r="N11" s="2611"/>
      <c r="O11" s="2636"/>
      <c r="P11" s="2636"/>
      <c r="Q11" s="2637">
        <v>365</v>
      </c>
      <c r="R11" s="2638">
        <f t="shared" si="0"/>
        <v>0</v>
      </c>
      <c r="S11" s="2592"/>
      <c r="T11" s="2592"/>
      <c r="U11" s="2592"/>
      <c r="V11" s="2600"/>
    </row>
    <row r="12" spans="1:22" s="2604" customFormat="1" ht="13.15" customHeight="1">
      <c r="A12" s="2647" t="s">
        <v>2358</v>
      </c>
      <c r="B12" s="3402" t="s">
        <v>2359</v>
      </c>
      <c r="C12" s="3403"/>
      <c r="D12" s="2648">
        <f>ROUND(D13*1.2%*(1-30%),0)</f>
        <v>0</v>
      </c>
      <c r="E12" s="2649">
        <v>1.2E-2</v>
      </c>
      <c r="F12" s="2642" t="s">
        <v>2360</v>
      </c>
      <c r="G12" s="2643"/>
      <c r="H12" s="2599"/>
      <c r="I12" s="2600"/>
      <c r="J12" s="3392"/>
      <c r="K12" s="3394"/>
      <c r="L12" s="2634" t="s">
        <v>2361</v>
      </c>
      <c r="M12" s="2635"/>
      <c r="N12" s="2611"/>
      <c r="O12" s="2636"/>
      <c r="P12" s="2636"/>
      <c r="Q12" s="2637">
        <v>365</v>
      </c>
      <c r="R12" s="2638">
        <f t="shared" si="0"/>
        <v>0</v>
      </c>
      <c r="S12" s="2592"/>
      <c r="T12" s="2592"/>
      <c r="U12" s="2592"/>
      <c r="V12" s="2600"/>
    </row>
    <row r="13" spans="1:22" s="2604" customFormat="1" ht="13.15" customHeight="1">
      <c r="A13" s="2647"/>
      <c r="B13" s="2650"/>
      <c r="C13" s="2651" t="s">
        <v>2362</v>
      </c>
      <c r="D13" s="2652"/>
      <c r="E13" s="2653"/>
      <c r="F13" s="2642"/>
      <c r="G13" s="2643"/>
      <c r="H13" s="2599"/>
      <c r="I13" s="2600"/>
      <c r="J13" s="3392"/>
      <c r="K13" s="3394"/>
      <c r="L13" s="2634" t="s">
        <v>2363</v>
      </c>
      <c r="M13" s="2635"/>
      <c r="N13" s="2611"/>
      <c r="O13" s="2636"/>
      <c r="P13" s="2636"/>
      <c r="Q13" s="2637">
        <v>365</v>
      </c>
      <c r="R13" s="2638">
        <f t="shared" si="0"/>
        <v>0</v>
      </c>
      <c r="S13" s="2592"/>
      <c r="T13" s="2592"/>
      <c r="U13" s="2592"/>
      <c r="V13" s="2600"/>
    </row>
    <row r="14" spans="1:22" s="2604" customFormat="1" ht="13.15" customHeight="1">
      <c r="A14" s="2647" t="s">
        <v>2364</v>
      </c>
      <c r="B14" s="3402" t="s">
        <v>2365</v>
      </c>
      <c r="C14" s="3403"/>
      <c r="D14" s="2648">
        <f>ROUND(E14*B5/10000,0)</f>
        <v>0</v>
      </c>
      <c r="E14" s="2637"/>
      <c r="F14" s="2642" t="s">
        <v>2366</v>
      </c>
      <c r="G14" s="2643"/>
      <c r="H14" s="2599"/>
      <c r="I14" s="2600"/>
      <c r="J14" s="3392"/>
      <c r="K14" s="3395"/>
      <c r="L14" s="2654" t="s">
        <v>2367</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2368</v>
      </c>
      <c r="B15" s="3402" t="s">
        <v>2369</v>
      </c>
      <c r="C15" s="3403"/>
      <c r="D15" s="2648">
        <f>ROUND(D6*E15,0)</f>
        <v>0</v>
      </c>
      <c r="E15" s="2649">
        <v>5.5E-2</v>
      </c>
      <c r="F15" s="2642" t="s">
        <v>2370</v>
      </c>
      <c r="G15" s="2624"/>
      <c r="H15" s="2599"/>
      <c r="I15" s="2600"/>
      <c r="J15" s="3392">
        <v>2</v>
      </c>
      <c r="K15" s="3393" t="s">
        <v>2371</v>
      </c>
      <c r="L15" s="2634" t="s">
        <v>2372</v>
      </c>
      <c r="M15" s="2635" t="s">
        <v>2373</v>
      </c>
      <c r="N15" s="2635" t="s">
        <v>2374</v>
      </c>
      <c r="O15" s="2636" t="s">
        <v>2375</v>
      </c>
      <c r="P15" s="2636" t="s">
        <v>2337</v>
      </c>
      <c r="Q15" s="2611" t="s">
        <v>2376</v>
      </c>
      <c r="R15" s="2658" t="s">
        <v>2338</v>
      </c>
      <c r="S15" s="2592"/>
      <c r="T15" s="2592"/>
      <c r="U15" s="2592"/>
      <c r="V15" s="2600"/>
    </row>
    <row r="16" spans="1:22" s="2604" customFormat="1" ht="13.15" customHeight="1">
      <c r="A16" s="2647" t="s">
        <v>2377</v>
      </c>
      <c r="B16" s="3402" t="s">
        <v>2378</v>
      </c>
      <c r="C16" s="3403"/>
      <c r="D16" s="2659">
        <f>D6*E16</f>
        <v>0</v>
      </c>
      <c r="E16" s="2660"/>
      <c r="F16" s="2645" t="s">
        <v>2379</v>
      </c>
      <c r="G16" s="2624"/>
      <c r="H16" s="2599"/>
      <c r="I16" s="2600"/>
      <c r="J16" s="3392"/>
      <c r="K16" s="3394"/>
      <c r="L16" s="2634" t="s">
        <v>2380</v>
      </c>
      <c r="M16" s="2635"/>
      <c r="N16" s="2635"/>
      <c r="O16" s="2636"/>
      <c r="P16" s="2637">
        <v>365</v>
      </c>
      <c r="Q16" s="2611"/>
      <c r="R16" s="2658">
        <f>ROUND(M16*N16*O16*P16/10000,0)</f>
        <v>0</v>
      </c>
      <c r="S16" s="2592"/>
      <c r="T16" s="2592"/>
      <c r="U16" s="2592"/>
      <c r="V16" s="2600"/>
    </row>
    <row r="17" spans="1:22" s="2604" customFormat="1" ht="13.15" customHeight="1" thickBot="1">
      <c r="A17" s="2661">
        <v>4</v>
      </c>
      <c r="B17" s="3404" t="s">
        <v>2381</v>
      </c>
      <c r="C17" s="3405"/>
      <c r="D17" s="2662">
        <f>ROUND(D6*E17,0)</f>
        <v>0</v>
      </c>
      <c r="E17" s="2663"/>
      <c r="F17" s="2664" t="s">
        <v>2382</v>
      </c>
      <c r="G17" s="2624"/>
      <c r="H17" s="2599"/>
      <c r="I17" s="2600"/>
      <c r="J17" s="3392"/>
      <c r="K17" s="3394"/>
      <c r="L17" s="2634" t="s">
        <v>2383</v>
      </c>
      <c r="M17" s="2635"/>
      <c r="N17" s="2635"/>
      <c r="O17" s="2636"/>
      <c r="P17" s="2637">
        <v>365</v>
      </c>
      <c r="Q17" s="2611"/>
      <c r="R17" s="2658">
        <f>ROUND(M17*N17*O17*P17/10000,0)</f>
        <v>0</v>
      </c>
      <c r="S17" s="2592"/>
      <c r="T17" s="2592"/>
      <c r="U17" s="2592"/>
      <c r="V17" s="2600"/>
    </row>
    <row r="18" spans="1:22" s="2604" customFormat="1" ht="13.15" customHeight="1" thickBot="1">
      <c r="A18" s="2627" t="s">
        <v>2384</v>
      </c>
      <c r="B18" s="2628"/>
      <c r="C18" s="2628"/>
      <c r="D18" s="2665">
        <f>ROUND(D6*E18,0)</f>
        <v>0</v>
      </c>
      <c r="E18" s="2666"/>
      <c r="F18" s="2667" t="s">
        <v>2385</v>
      </c>
      <c r="G18" s="2624"/>
      <c r="H18" s="2599"/>
      <c r="I18" s="2600"/>
      <c r="J18" s="3392"/>
      <c r="K18" s="3394"/>
      <c r="L18" s="2634" t="s">
        <v>2386</v>
      </c>
      <c r="M18" s="2635"/>
      <c r="N18" s="2635"/>
      <c r="O18" s="2636"/>
      <c r="P18" s="2637">
        <v>365</v>
      </c>
      <c r="Q18" s="2611"/>
      <c r="R18" s="2658">
        <f>ROUND(M18*N18*O18*P18/10000,0)</f>
        <v>0</v>
      </c>
      <c r="S18" s="2592"/>
      <c r="T18" s="2592"/>
      <c r="U18" s="2592"/>
      <c r="V18" s="2600"/>
    </row>
    <row r="19" spans="1:22" s="2604" customFormat="1" ht="13.15" customHeight="1" thickBot="1">
      <c r="A19" s="2668" t="s">
        <v>2387</v>
      </c>
      <c r="B19" s="2622"/>
      <c r="C19" s="2622"/>
      <c r="D19" s="2622"/>
      <c r="E19" s="2622"/>
      <c r="F19" s="2623"/>
      <c r="G19" s="2643"/>
      <c r="H19" s="2599"/>
      <c r="I19" s="2600"/>
      <c r="J19" s="3392"/>
      <c r="K19" s="3395"/>
      <c r="L19" s="2654" t="s">
        <v>2367</v>
      </c>
      <c r="M19" s="2655"/>
      <c r="N19" s="2655">
        <f>SUM(N16:N18)</f>
        <v>0</v>
      </c>
      <c r="O19" s="2656"/>
      <c r="P19" s="2669" t="s">
        <v>2431</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92">
        <v>3</v>
      </c>
      <c r="K20" s="3393" t="s">
        <v>2388</v>
      </c>
      <c r="L20" s="2634" t="s">
        <v>2389</v>
      </c>
      <c r="M20" s="2635" t="s">
        <v>2390</v>
      </c>
      <c r="N20" s="2672" t="s">
        <v>2391</v>
      </c>
      <c r="O20" s="2636" t="s">
        <v>2392</v>
      </c>
      <c r="P20" s="2637" t="s">
        <v>2393</v>
      </c>
      <c r="Q20" s="2611" t="s">
        <v>2394</v>
      </c>
      <c r="R20" s="2658" t="s">
        <v>2395</v>
      </c>
      <c r="S20" s="2592"/>
      <c r="T20" s="2592"/>
      <c r="U20" s="2592"/>
      <c r="V20" s="2600"/>
    </row>
    <row r="21" spans="1:22" s="2604" customFormat="1" ht="13.15" customHeight="1">
      <c r="A21" s="2627"/>
      <c r="B21" s="2628"/>
      <c r="C21" s="2673" t="s">
        <v>2396</v>
      </c>
      <c r="D21" s="2674" t="s">
        <v>2397</v>
      </c>
      <c r="E21" s="2675" t="s">
        <v>2398</v>
      </c>
      <c r="F21" s="2671"/>
      <c r="G21" s="2643"/>
      <c r="H21" s="2599"/>
      <c r="I21" s="2600"/>
      <c r="J21" s="3392"/>
      <c r="K21" s="3394"/>
      <c r="L21" s="2634" t="s">
        <v>2399</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2400</v>
      </c>
      <c r="D22" s="2678" t="s">
        <v>2401</v>
      </c>
      <c r="E22" s="2679" t="s">
        <v>2402</v>
      </c>
      <c r="F22" s="2671"/>
      <c r="G22" s="2592"/>
      <c r="H22" s="2599"/>
      <c r="I22" s="2600"/>
      <c r="J22" s="3392"/>
      <c r="K22" s="3394"/>
      <c r="L22" s="2634" t="s">
        <v>2403</v>
      </c>
      <c r="M22" s="2635"/>
      <c r="N22" s="2635"/>
      <c r="O22" s="2636"/>
      <c r="P22" s="2637">
        <v>365</v>
      </c>
      <c r="Q22" s="2611"/>
      <c r="R22" s="2676">
        <f>ROUND(M22*N22*O22*P22/10000,0)</f>
        <v>0</v>
      </c>
      <c r="S22" s="2592"/>
      <c r="T22" s="2592"/>
      <c r="U22" s="2592"/>
      <c r="V22" s="2600"/>
    </row>
    <row r="23" spans="1:22" s="2604" customFormat="1" ht="13.15" customHeight="1">
      <c r="A23" s="2680">
        <v>1</v>
      </c>
      <c r="B23" s="2681" t="s">
        <v>2404</v>
      </c>
      <c r="C23" s="2682">
        <f>D6</f>
        <v>0</v>
      </c>
      <c r="D23" s="2683">
        <f>C23*(1+D24)</f>
        <v>0</v>
      </c>
      <c r="E23" s="2684">
        <f>D23*(1+E24)</f>
        <v>0</v>
      </c>
      <c r="F23" s="2685"/>
      <c r="G23" s="2686"/>
      <c r="H23" s="2599"/>
      <c r="I23" s="2600"/>
      <c r="J23" s="3392"/>
      <c r="K23" s="3394"/>
      <c r="L23" s="2634" t="s">
        <v>2405</v>
      </c>
      <c r="M23" s="2635"/>
      <c r="N23" s="2635"/>
      <c r="O23" s="2636"/>
      <c r="P23" s="2637">
        <v>365</v>
      </c>
      <c r="Q23" s="2611"/>
      <c r="R23" s="2676">
        <f>ROUND(M23*N23*O23*P23/10000,0)</f>
        <v>0</v>
      </c>
      <c r="S23" s="2592"/>
      <c r="T23" s="2592"/>
      <c r="U23" s="2592"/>
      <c r="V23" s="2600"/>
    </row>
    <row r="24" spans="1:22" s="2604" customFormat="1" ht="13.15" customHeight="1">
      <c r="A24" s="2687"/>
      <c r="B24" s="2688" t="s">
        <v>2406</v>
      </c>
      <c r="C24" s="2689"/>
      <c r="D24" s="2690"/>
      <c r="E24" s="2691"/>
      <c r="F24" s="2692"/>
      <c r="G24" s="2686"/>
      <c r="H24" s="2599"/>
      <c r="I24" s="2600"/>
      <c r="J24" s="3392"/>
      <c r="K24" s="3395"/>
      <c r="L24" s="2654" t="s">
        <v>2367</v>
      </c>
      <c r="M24" s="2655">
        <f>SUM(M21:M23)</f>
        <v>0</v>
      </c>
      <c r="N24" s="2655"/>
      <c r="O24" s="2656"/>
      <c r="P24" s="2669" t="s">
        <v>2431</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2407</v>
      </c>
      <c r="L25" s="2695"/>
      <c r="M25" s="2695"/>
      <c r="N25" s="2695"/>
      <c r="O25" s="2695"/>
      <c r="P25" s="2696"/>
      <c r="Q25" s="2697">
        <v>0</v>
      </c>
      <c r="R25" s="2670">
        <f>ROUND(R14*Q25,0)</f>
        <v>0</v>
      </c>
      <c r="S25" s="2592"/>
      <c r="T25" s="2592"/>
      <c r="U25" s="2592"/>
      <c r="V25" s="2698"/>
    </row>
    <row r="26" spans="1:22" s="2699" customFormat="1" ht="13.15" customHeight="1">
      <c r="A26" s="2680">
        <v>2</v>
      </c>
      <c r="B26" s="2681" t="s">
        <v>2408</v>
      </c>
      <c r="C26" s="2682">
        <f>D7</f>
        <v>0</v>
      </c>
      <c r="D26" s="2683">
        <f>D23*D27</f>
        <v>0</v>
      </c>
      <c r="E26" s="2684">
        <f>E23*E27</f>
        <v>0</v>
      </c>
      <c r="F26" s="2685"/>
      <c r="G26" s="2686"/>
      <c r="H26" s="2599"/>
      <c r="I26" s="2600"/>
      <c r="J26" s="3396">
        <v>5</v>
      </c>
      <c r="K26" s="2700" t="s">
        <v>2409</v>
      </c>
      <c r="L26" s="2701"/>
      <c r="M26" s="2702"/>
      <c r="N26" s="2703" t="s">
        <v>2410</v>
      </c>
      <c r="O26" s="2703" t="s">
        <v>2411</v>
      </c>
      <c r="P26" s="2704" t="s">
        <v>2412</v>
      </c>
      <c r="Q26" s="2704" t="s">
        <v>2413</v>
      </c>
      <c r="R26" s="2609" t="s">
        <v>2338</v>
      </c>
      <c r="S26" s="2643"/>
      <c r="T26" s="2643"/>
      <c r="U26" s="2643"/>
      <c r="V26" s="2698"/>
    </row>
    <row r="27" spans="1:22" s="2604" customFormat="1" ht="13.15" customHeight="1">
      <c r="A27" s="2687"/>
      <c r="B27" s="2688" t="s">
        <v>2414</v>
      </c>
      <c r="C27" s="2705" t="e">
        <f>E7</f>
        <v>#DIV/0!</v>
      </c>
      <c r="D27" s="2690"/>
      <c r="E27" s="2691"/>
      <c r="F27" s="2692"/>
      <c r="G27" s="2686"/>
      <c r="H27" s="2706"/>
      <c r="I27" s="2698"/>
      <c r="J27" s="339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2415</v>
      </c>
      <c r="F28" s="2692"/>
      <c r="G28" s="2592"/>
      <c r="H28" s="2706"/>
      <c r="I28" s="2698"/>
      <c r="J28" s="2712">
        <v>6</v>
      </c>
      <c r="K28" s="2713" t="s">
        <v>2416</v>
      </c>
      <c r="L28" s="2714" t="s">
        <v>2417</v>
      </c>
      <c r="M28" s="2715"/>
      <c r="N28" s="2714" t="s">
        <v>2418</v>
      </c>
      <c r="O28" s="2716"/>
      <c r="P28" s="2714" t="s">
        <v>2419</v>
      </c>
      <c r="Q28" s="2717">
        <v>1.4999999999999999E-2</v>
      </c>
      <c r="R28" s="2718"/>
      <c r="S28" s="2592"/>
      <c r="T28" s="2592"/>
      <c r="U28" s="2592"/>
      <c r="V28" s="2698"/>
    </row>
    <row r="29" spans="1:22" s="2699" customFormat="1" ht="13.15" customHeight="1">
      <c r="A29" s="2680">
        <v>3</v>
      </c>
      <c r="B29" s="2681" t="s">
        <v>2420</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2414</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2421</v>
      </c>
      <c r="K31" s="2590"/>
      <c r="L31" s="2590"/>
      <c r="M31" s="2590"/>
      <c r="N31" s="2590"/>
      <c r="O31" s="2590"/>
      <c r="P31" s="2590"/>
      <c r="Q31" s="2590"/>
      <c r="R31" s="2591"/>
      <c r="S31" s="2592"/>
      <c r="T31" s="2592"/>
      <c r="U31" s="2592"/>
      <c r="V31" s="2698"/>
    </row>
    <row r="32" spans="1:22" s="2699" customFormat="1" ht="13.15" customHeight="1">
      <c r="A32" s="2680">
        <v>4</v>
      </c>
      <c r="B32" s="2681" t="s">
        <v>2422</v>
      </c>
      <c r="C32" s="2682">
        <f>C23-C26-C29</f>
        <v>0</v>
      </c>
      <c r="D32" s="2683">
        <f>D23-D26-D29</f>
        <v>0</v>
      </c>
      <c r="E32" s="2684">
        <f>E23-E26-E29</f>
        <v>0</v>
      </c>
      <c r="F32" s="2685"/>
      <c r="G32" s="2592"/>
      <c r="H32" s="2599"/>
      <c r="I32" s="2600"/>
      <c r="J32" s="3398" t="s">
        <v>2314</v>
      </c>
      <c r="K32" s="3399"/>
      <c r="L32" s="2601" t="s">
        <v>2315</v>
      </c>
      <c r="M32" s="2601" t="s">
        <v>2316</v>
      </c>
      <c r="N32" s="2601" t="s">
        <v>2317</v>
      </c>
      <c r="O32" s="2601" t="s">
        <v>2318</v>
      </c>
      <c r="P32" s="2601" t="s">
        <v>2319</v>
      </c>
      <c r="Q32" s="2602" t="s">
        <v>2320</v>
      </c>
      <c r="R32" s="2721" t="s">
        <v>2321</v>
      </c>
      <c r="S32" s="2592"/>
      <c r="T32" s="2592"/>
      <c r="U32" s="2592"/>
      <c r="V32" s="2698"/>
    </row>
    <row r="33" spans="1:23" s="2604" customFormat="1" ht="13.15" customHeight="1">
      <c r="A33" s="2680"/>
      <c r="B33" s="2681"/>
      <c r="C33" s="2682"/>
      <c r="D33" s="2722"/>
      <c r="E33" s="2723"/>
      <c r="F33" s="2685"/>
      <c r="G33" s="2592"/>
      <c r="H33" s="2706"/>
      <c r="I33" s="2698"/>
      <c r="J33" s="3400" t="s">
        <v>2324</v>
      </c>
      <c r="K33" s="3401"/>
      <c r="L33" s="2607"/>
      <c r="M33" s="2607"/>
      <c r="N33" s="2607"/>
      <c r="O33" s="2607"/>
      <c r="P33" s="2607"/>
      <c r="Q33" s="2608"/>
      <c r="R33" s="2724">
        <f>SUM(L33:Q33)</f>
        <v>0</v>
      </c>
      <c r="S33" s="2592"/>
      <c r="T33" s="2592"/>
      <c r="U33" s="2592"/>
      <c r="V33" s="2600"/>
    </row>
    <row r="34" spans="1:23" s="2604" customFormat="1" ht="13.15" customHeight="1">
      <c r="A34" s="2680">
        <v>5</v>
      </c>
      <c r="B34" s="2681" t="s">
        <v>2423</v>
      </c>
      <c r="C34" s="2725"/>
      <c r="D34" s="2726"/>
      <c r="E34" s="2727"/>
      <c r="F34" s="2685"/>
      <c r="G34" s="2592"/>
      <c r="H34" s="2706"/>
      <c r="I34" s="2698"/>
      <c r="J34" s="3400" t="s">
        <v>2326</v>
      </c>
      <c r="K34" s="340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2424</v>
      </c>
      <c r="C35" s="2729"/>
      <c r="D35" s="2730"/>
      <c r="E35" s="2731"/>
      <c r="F35" s="2685"/>
      <c r="G35" s="2732"/>
      <c r="H35" s="2599"/>
      <c r="I35" s="2698"/>
      <c r="J35" s="2618" t="s">
        <v>2328</v>
      </c>
      <c r="K35" s="2619"/>
      <c r="L35" s="2619"/>
      <c r="M35" s="2620"/>
      <c r="N35" s="2620"/>
      <c r="O35" s="2620"/>
      <c r="P35" s="2620"/>
      <c r="Q35" s="2620"/>
      <c r="R35" s="2733">
        <f>R40+R41+R43</f>
        <v>0</v>
      </c>
      <c r="S35" s="2592"/>
      <c r="T35" s="2592" t="s">
        <v>2329</v>
      </c>
      <c r="U35" s="2592"/>
      <c r="V35" s="2600"/>
    </row>
    <row r="36" spans="1:23" s="2604" customFormat="1" ht="13.15" customHeight="1" thickBot="1">
      <c r="A36" s="2680">
        <v>7</v>
      </c>
      <c r="B36" s="2734" t="s">
        <v>2425</v>
      </c>
      <c r="C36" s="2735"/>
      <c r="D36" s="2736"/>
      <c r="E36" s="2737"/>
      <c r="F36" s="2738">
        <f>C36+D36+E36</f>
        <v>0</v>
      </c>
      <c r="G36" s="2592"/>
      <c r="H36" s="2599"/>
      <c r="I36" s="2600"/>
      <c r="J36" s="3392">
        <v>1</v>
      </c>
      <c r="K36" s="3393" t="s">
        <v>2426</v>
      </c>
      <c r="L36" s="2625"/>
      <c r="M36" s="2626"/>
      <c r="N36" s="2626"/>
      <c r="O36" s="2626"/>
      <c r="P36" s="2626"/>
      <c r="Q36" s="2626"/>
      <c r="R36" s="2609" t="s">
        <v>2338</v>
      </c>
      <c r="S36" s="2592"/>
      <c r="T36" s="2592" t="s">
        <v>2339</v>
      </c>
      <c r="U36" s="2592"/>
      <c r="V36" s="2600"/>
    </row>
    <row r="37" spans="1:23" s="2604" customFormat="1" ht="13.15" customHeight="1">
      <c r="A37" s="2680"/>
      <c r="B37" s="2681"/>
      <c r="C37" s="2681"/>
      <c r="D37" s="2681"/>
      <c r="E37" s="2681"/>
      <c r="F37" s="2685"/>
      <c r="G37" s="2592"/>
      <c r="H37" s="2599"/>
      <c r="I37" s="2600"/>
      <c r="J37" s="3392"/>
      <c r="K37" s="3394"/>
      <c r="L37" s="2634"/>
      <c r="M37" s="2635"/>
      <c r="N37" s="2611"/>
      <c r="O37" s="2636"/>
      <c r="P37" s="2636"/>
      <c r="Q37" s="2637"/>
      <c r="R37" s="2638"/>
      <c r="S37" s="2592"/>
      <c r="T37" s="2592" t="s">
        <v>2342</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92"/>
      <c r="K38" s="3394"/>
      <c r="L38" s="2634"/>
      <c r="M38" s="2635"/>
      <c r="N38" s="2611"/>
      <c r="O38" s="2636"/>
      <c r="P38" s="2636"/>
      <c r="Q38" s="2637"/>
      <c r="R38" s="2638"/>
      <c r="S38" s="2592"/>
      <c r="T38" s="2592" t="s">
        <v>2349</v>
      </c>
      <c r="U38" s="2592"/>
      <c r="V38" s="2600"/>
    </row>
    <row r="39" spans="1:23" s="2604" customFormat="1" ht="13.15" customHeight="1">
      <c r="A39" s="2680">
        <v>9</v>
      </c>
      <c r="B39" s="2681" t="s">
        <v>2427</v>
      </c>
      <c r="C39" s="2648" t="e">
        <f>C38</f>
        <v>#DIV/0!</v>
      </c>
      <c r="D39" s="2681">
        <f>D38/(1+D34)^C36</f>
        <v>0</v>
      </c>
      <c r="E39" s="2681">
        <f>E38/(1+E34)^(C36+D36)</f>
        <v>0</v>
      </c>
      <c r="F39" s="2685"/>
      <c r="G39" s="2600"/>
      <c r="H39" s="2599"/>
      <c r="I39" s="2600"/>
      <c r="J39" s="3392"/>
      <c r="K39" s="3394"/>
      <c r="L39" s="2634"/>
      <c r="M39" s="2635"/>
      <c r="N39" s="2611"/>
      <c r="O39" s="2636"/>
      <c r="P39" s="2636"/>
      <c r="Q39" s="2637"/>
      <c r="R39" s="2638"/>
      <c r="S39" s="2592"/>
      <c r="T39" s="2592"/>
      <c r="U39" s="2592"/>
      <c r="V39" s="2600"/>
    </row>
    <row r="40" spans="1:23" s="2604" customFormat="1" ht="13.15" customHeight="1">
      <c r="A40" s="2739">
        <v>10</v>
      </c>
      <c r="B40" s="2681" t="s">
        <v>2428</v>
      </c>
      <c r="C40" s="2740" t="e">
        <f>C39+D39+E39</f>
        <v>#DIV/0!</v>
      </c>
      <c r="D40" s="2741"/>
      <c r="E40" s="2741"/>
      <c r="F40" s="2742"/>
      <c r="G40" s="2592"/>
      <c r="H40" s="2599"/>
      <c r="I40" s="2600"/>
      <c r="J40" s="3392"/>
      <c r="K40" s="3395"/>
      <c r="L40" s="2654" t="s">
        <v>2367</v>
      </c>
      <c r="M40" s="2655"/>
      <c r="N40" s="2655"/>
      <c r="O40" s="2656"/>
      <c r="P40" s="2656"/>
      <c r="Q40" s="2657"/>
      <c r="R40" s="2603">
        <f>SUM(R37:R39)</f>
        <v>0</v>
      </c>
      <c r="S40" s="2592"/>
      <c r="T40" s="2592"/>
      <c r="U40" s="2592"/>
      <c r="V40" s="2600"/>
    </row>
    <row r="41" spans="1:23" s="2604" customFormat="1" ht="13.15" customHeight="1" thickBot="1">
      <c r="A41" s="2743">
        <v>11</v>
      </c>
      <c r="B41" s="2744" t="s">
        <v>2429</v>
      </c>
      <c r="C41" s="2744" t="e">
        <f>ROUND(C40*10000/B4,0)</f>
        <v>#DIV/0!</v>
      </c>
      <c r="D41" s="2745"/>
      <c r="E41" s="2745"/>
      <c r="F41" s="2746"/>
      <c r="G41" s="2599"/>
      <c r="H41" s="2599"/>
      <c r="I41" s="2600"/>
      <c r="J41" s="2693">
        <v>2</v>
      </c>
      <c r="K41" s="2694" t="s">
        <v>2407</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6">
        <v>3</v>
      </c>
      <c r="K42" s="2700" t="s">
        <v>2409</v>
      </c>
      <c r="L42" s="2701"/>
      <c r="M42" s="2702"/>
      <c r="N42" s="2703" t="s">
        <v>2410</v>
      </c>
      <c r="O42" s="2703" t="s">
        <v>2411</v>
      </c>
      <c r="P42" s="2704" t="s">
        <v>2412</v>
      </c>
      <c r="Q42" s="2704" t="s">
        <v>2413</v>
      </c>
      <c r="R42" s="2609" t="s">
        <v>2338</v>
      </c>
      <c r="S42" s="2643"/>
      <c r="T42" s="2643"/>
      <c r="U42" s="2592"/>
      <c r="V42" s="2600"/>
    </row>
    <row r="43" spans="1:23" ht="13.15" customHeight="1">
      <c r="A43" s="2604"/>
      <c r="B43" s="2604"/>
      <c r="C43" s="2604"/>
      <c r="D43" s="2604"/>
      <c r="E43" s="2604"/>
      <c r="F43" s="2604"/>
      <c r="I43" s="2587"/>
      <c r="J43" s="339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2416</v>
      </c>
      <c r="L44" s="2749" t="s">
        <v>2417</v>
      </c>
      <c r="M44" s="2715"/>
      <c r="N44" s="2749" t="s">
        <v>2418</v>
      </c>
      <c r="O44" s="2715"/>
      <c r="P44" s="2749" t="s">
        <v>2419</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37" sqref="L37"/>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2167.8602999999998</v>
      </c>
      <c r="C2" s="1729" t="s">
        <v>1651</v>
      </c>
      <c r="D2" s="1730" t="s">
        <v>1652</v>
      </c>
      <c r="E2" s="2392">
        <f>SUM(E6:E13)</f>
        <v>455.09</v>
      </c>
      <c r="F2" s="2479"/>
      <c r="G2" s="459"/>
      <c r="H2" s="459"/>
      <c r="I2" s="459"/>
      <c r="J2" s="459"/>
      <c r="K2" s="459"/>
      <c r="L2" s="459"/>
      <c r="M2" s="459"/>
      <c r="N2" s="459"/>
      <c r="O2" s="459"/>
      <c r="P2" s="459"/>
      <c r="Q2" s="459"/>
      <c r="R2" s="459"/>
      <c r="S2" s="459"/>
    </row>
    <row r="3" spans="1:22" ht="15.75">
      <c r="A3" s="1728" t="s">
        <v>686</v>
      </c>
      <c r="B3" s="2386">
        <f ca="1">ROUND(B2*10000/E2,0)</f>
        <v>47636</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1" t="s">
        <v>1654</v>
      </c>
      <c r="C5" s="3412"/>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2167.8602999999998</v>
      </c>
      <c r="C6" s="1729" t="s">
        <v>1651</v>
      </c>
      <c r="D6" s="2479"/>
      <c r="E6" s="2391">
        <f>IF(OR(A6=0,F6="否"),0,'数据-取费表'!K6+'数据-取费表'!S6)</f>
        <v>455.09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估价对象为北京市房地产，为所有。根据，估价对象（分摊）出让国有建设用地使用权面积为0平方米，建筑面积为455.09平方米。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估价对象为北京市房地产,属开发建设的，该项目尚在开发建设中。根据，估价对象（分摊）出让国有建设用地使用权面积为0平方米，规划建筑面积为455.09平方米。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2023年3月3日（评估专业人员实地查勘之日）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L37" sqref="L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455.09</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52" t="s">
        <v>1667</v>
      </c>
      <c r="D4" s="3353"/>
      <c r="E4" s="3354" t="s">
        <v>1668</v>
      </c>
      <c r="F4" s="3355"/>
      <c r="G4" s="3352" t="s">
        <v>1669</v>
      </c>
      <c r="H4" s="3353"/>
      <c r="I4" s="3352" t="s">
        <v>1670</v>
      </c>
      <c r="J4" s="3353"/>
      <c r="K4" s="1744" t="s">
        <v>1671</v>
      </c>
      <c r="L4" s="2486"/>
      <c r="M4" s="2487"/>
      <c r="N4" s="2487"/>
      <c r="O4" s="2487"/>
      <c r="P4" s="3417" t="s">
        <v>1672</v>
      </c>
      <c r="Q4" s="3418"/>
      <c r="R4" s="3421" t="s">
        <v>1668</v>
      </c>
      <c r="S4" s="3422"/>
      <c r="T4" s="3421" t="s">
        <v>1669</v>
      </c>
      <c r="U4" s="3422"/>
      <c r="V4" s="3336" t="s">
        <v>1670</v>
      </c>
      <c r="W4" s="3336"/>
      <c r="X4" s="1265"/>
      <c r="Y4" s="3421" t="s">
        <v>1672</v>
      </c>
      <c r="Z4" s="3422"/>
      <c r="AA4" s="3416" t="s">
        <v>1668</v>
      </c>
      <c r="AB4" s="3416" t="s">
        <v>1669</v>
      </c>
      <c r="AC4" s="3416" t="s">
        <v>1670</v>
      </c>
    </row>
    <row r="5" spans="1:29" ht="15">
      <c r="A5" s="348"/>
      <c r="B5" s="349"/>
      <c r="C5" s="3371" t="s">
        <v>1673</v>
      </c>
      <c r="D5" s="3372"/>
      <c r="E5" s="3382" t="s">
        <v>1674</v>
      </c>
      <c r="F5" s="3383"/>
      <c r="G5" s="3371" t="s">
        <v>1675</v>
      </c>
      <c r="H5" s="3372"/>
      <c r="I5" s="3371" t="s">
        <v>1676</v>
      </c>
      <c r="J5" s="3372"/>
      <c r="K5" s="1745"/>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1745"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75" t="s">
        <v>1680</v>
      </c>
      <c r="Q7" s="3376"/>
      <c r="R7" s="664" t="s">
        <v>20</v>
      </c>
      <c r="S7" s="665">
        <f t="shared" ref="S7:S15" si="0">F7</f>
        <v>0</v>
      </c>
      <c r="T7" s="664" t="s">
        <v>20</v>
      </c>
      <c r="U7" s="665">
        <f t="shared" ref="U7:U15" si="1">H7</f>
        <v>0</v>
      </c>
      <c r="V7" s="664" t="s">
        <v>20</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75" t="s">
        <v>1683</v>
      </c>
      <c r="Q8" s="3374"/>
      <c r="R8" s="664" t="s">
        <v>20</v>
      </c>
      <c r="S8" s="665">
        <f t="shared" si="0"/>
        <v>100</v>
      </c>
      <c r="T8" s="664" t="s">
        <v>20</v>
      </c>
      <c r="U8" s="665">
        <f t="shared" si="1"/>
        <v>100</v>
      </c>
      <c r="V8" s="664" t="s">
        <v>20</v>
      </c>
      <c r="W8" s="665">
        <f t="shared" si="2"/>
        <v>100</v>
      </c>
      <c r="X8" s="666"/>
      <c r="Y8" s="3375" t="s">
        <v>1683</v>
      </c>
      <c r="Z8" s="337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34"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34"/>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34"/>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34"/>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34"/>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34"/>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40" t="s">
        <v>1691</v>
      </c>
      <c r="Q15" s="1263" t="str">
        <f t="shared" si="6"/>
        <v>居住社区成熟度</v>
      </c>
      <c r="R15" s="667" t="s">
        <v>18</v>
      </c>
      <c r="S15" s="668">
        <f t="shared" si="0"/>
        <v>100</v>
      </c>
      <c r="T15" s="667" t="s">
        <v>18</v>
      </c>
      <c r="U15" s="668">
        <f t="shared" si="1"/>
        <v>100</v>
      </c>
      <c r="V15" s="667" t="s">
        <v>18</v>
      </c>
      <c r="W15" s="668">
        <f t="shared" si="2"/>
        <v>100</v>
      </c>
      <c r="X15" s="1265"/>
      <c r="Y15" s="334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41"/>
      <c r="Q16" s="1263"/>
      <c r="R16" s="667"/>
      <c r="S16" s="668"/>
      <c r="T16" s="667"/>
      <c r="U16" s="668"/>
      <c r="V16" s="667"/>
      <c r="W16" s="668"/>
      <c r="X16" s="1265"/>
      <c r="Y16" s="3343"/>
      <c r="Z16" s="1264"/>
      <c r="AA16" s="1264">
        <v>1</v>
      </c>
      <c r="AB16" s="1264">
        <v>1</v>
      </c>
      <c r="AC16" s="1264">
        <v>1</v>
      </c>
    </row>
    <row r="17" spans="1:29" ht="15">
      <c r="A17" s="367"/>
      <c r="B17" s="390" t="s">
        <v>1259</v>
      </c>
      <c r="C17" s="1754" t="str">
        <f>估价对象房地状况!C6</f>
        <v>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41"/>
      <c r="Q17" s="1263" t="str">
        <f>B17</f>
        <v>交通便捷度</v>
      </c>
      <c r="R17" s="667" t="s">
        <v>18</v>
      </c>
      <c r="S17" s="668">
        <f>F17</f>
        <v>100</v>
      </c>
      <c r="T17" s="667" t="s">
        <v>18</v>
      </c>
      <c r="U17" s="668">
        <f>H17</f>
        <v>100</v>
      </c>
      <c r="V17" s="667" t="s">
        <v>18</v>
      </c>
      <c r="W17" s="668">
        <f>J17</f>
        <v>100</v>
      </c>
      <c r="X17" s="1265"/>
      <c r="Y17" s="334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41"/>
      <c r="Q18" s="1263"/>
      <c r="R18" s="667"/>
      <c r="S18" s="668"/>
      <c r="T18" s="667"/>
      <c r="U18" s="668"/>
      <c r="V18" s="667"/>
      <c r="W18" s="668"/>
      <c r="X18" s="1265"/>
      <c r="Y18" s="3343"/>
      <c r="Z18" s="1264"/>
      <c r="AA18" s="1264">
        <v>1</v>
      </c>
      <c r="AB18" s="1264">
        <v>1</v>
      </c>
      <c r="AC18" s="1264">
        <v>1</v>
      </c>
    </row>
    <row r="19" spans="1:29" ht="15">
      <c r="A19" s="367"/>
      <c r="B19" s="390" t="s">
        <v>1258</v>
      </c>
      <c r="C19" s="1754" t="str">
        <f>估价对象房地状况!C7</f>
        <v>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41"/>
      <c r="Q19" s="1263" t="str">
        <f>B19</f>
        <v>公共配套设施</v>
      </c>
      <c r="R19" s="667" t="s">
        <v>18</v>
      </c>
      <c r="S19" s="668">
        <f>F19</f>
        <v>100</v>
      </c>
      <c r="T19" s="667" t="s">
        <v>18</v>
      </c>
      <c r="U19" s="668">
        <f>H19</f>
        <v>100</v>
      </c>
      <c r="V19" s="667" t="s">
        <v>18</v>
      </c>
      <c r="W19" s="668">
        <f>J19</f>
        <v>100</v>
      </c>
      <c r="X19" s="1265"/>
      <c r="Y19" s="334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41"/>
      <c r="Q20" s="1263"/>
      <c r="R20" s="667"/>
      <c r="S20" s="668"/>
      <c r="T20" s="667"/>
      <c r="U20" s="668"/>
      <c r="V20" s="667"/>
      <c r="W20" s="668"/>
      <c r="X20" s="1265"/>
      <c r="Y20" s="3343"/>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41"/>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41"/>
      <c r="Q22" s="1263"/>
      <c r="R22" s="667"/>
      <c r="S22" s="668"/>
      <c r="T22" s="667"/>
      <c r="U22" s="668"/>
      <c r="V22" s="667"/>
      <c r="W22" s="668"/>
      <c r="X22" s="1265"/>
      <c r="Y22" s="3343"/>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41"/>
      <c r="Q23" s="1263" t="str">
        <f>B23</f>
        <v>自然及人文环境</v>
      </c>
      <c r="R23" s="667" t="s">
        <v>18</v>
      </c>
      <c r="S23" s="668">
        <f>F23</f>
        <v>100</v>
      </c>
      <c r="T23" s="667" t="s">
        <v>18</v>
      </c>
      <c r="U23" s="668">
        <f>H23</f>
        <v>100</v>
      </c>
      <c r="V23" s="667" t="s">
        <v>18</v>
      </c>
      <c r="W23" s="668">
        <f>J23</f>
        <v>100</v>
      </c>
      <c r="X23" s="1265"/>
      <c r="Y23" s="334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41"/>
      <c r="Q24" s="1263"/>
      <c r="R24" s="667"/>
      <c r="S24" s="668"/>
      <c r="T24" s="667"/>
      <c r="U24" s="668"/>
      <c r="V24" s="667"/>
      <c r="W24" s="668"/>
      <c r="X24" s="1265"/>
      <c r="Y24" s="334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41"/>
      <c r="Q26" s="1263" t="str">
        <f t="shared" si="11"/>
        <v>朝向</v>
      </c>
      <c r="R26" s="667" t="s">
        <v>18</v>
      </c>
      <c r="S26" s="668">
        <f t="shared" si="12"/>
        <v>100</v>
      </c>
      <c r="T26" s="667" t="s">
        <v>18</v>
      </c>
      <c r="U26" s="668">
        <f t="shared" si="13"/>
        <v>100</v>
      </c>
      <c r="V26" s="667" t="s">
        <v>18</v>
      </c>
      <c r="W26" s="668">
        <f t="shared" si="14"/>
        <v>100</v>
      </c>
      <c r="X26" s="1265"/>
      <c r="Y26" s="334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41"/>
      <c r="Q27" s="530">
        <f t="shared" si="11"/>
        <v>111</v>
      </c>
      <c r="R27" s="664" t="s">
        <v>18</v>
      </c>
      <c r="S27" s="665">
        <f t="shared" si="12"/>
        <v>100</v>
      </c>
      <c r="T27" s="664" t="s">
        <v>18</v>
      </c>
      <c r="U27" s="665">
        <f t="shared" si="13"/>
        <v>100</v>
      </c>
      <c r="V27" s="664" t="s">
        <v>18</v>
      </c>
      <c r="W27" s="665">
        <f t="shared" si="14"/>
        <v>100</v>
      </c>
      <c r="X27" s="666"/>
      <c r="Y27" s="334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41"/>
      <c r="Q28" s="1263">
        <f t="shared" si="11"/>
        <v>111</v>
      </c>
      <c r="R28" s="667" t="s">
        <v>18</v>
      </c>
      <c r="S28" s="668">
        <f t="shared" si="12"/>
        <v>100</v>
      </c>
      <c r="T28" s="667" t="s">
        <v>18</v>
      </c>
      <c r="U28" s="668">
        <f t="shared" si="13"/>
        <v>100</v>
      </c>
      <c r="V28" s="667" t="s">
        <v>18</v>
      </c>
      <c r="W28" s="668">
        <f t="shared" si="14"/>
        <v>100</v>
      </c>
      <c r="X28" s="1265"/>
      <c r="Y28" s="334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41"/>
      <c r="Q29" s="1263">
        <f t="shared" si="11"/>
        <v>111</v>
      </c>
      <c r="R29" s="667" t="s">
        <v>18</v>
      </c>
      <c r="S29" s="668">
        <f t="shared" si="12"/>
        <v>100</v>
      </c>
      <c r="T29" s="667" t="s">
        <v>18</v>
      </c>
      <c r="U29" s="668">
        <f t="shared" si="13"/>
        <v>100</v>
      </c>
      <c r="V29" s="667" t="s">
        <v>18</v>
      </c>
      <c r="W29" s="668">
        <f t="shared" si="14"/>
        <v>100</v>
      </c>
      <c r="X29" s="1265"/>
      <c r="Y29" s="334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41"/>
      <c r="Q30" s="1263">
        <f t="shared" si="11"/>
        <v>111</v>
      </c>
      <c r="R30" s="667" t="s">
        <v>18</v>
      </c>
      <c r="S30" s="668">
        <f t="shared" si="12"/>
        <v>100</v>
      </c>
      <c r="T30" s="667" t="s">
        <v>18</v>
      </c>
      <c r="U30" s="668">
        <f t="shared" si="13"/>
        <v>100</v>
      </c>
      <c r="V30" s="667" t="s">
        <v>18</v>
      </c>
      <c r="W30" s="668">
        <f t="shared" si="14"/>
        <v>100</v>
      </c>
      <c r="X30" s="1265"/>
      <c r="Y30" s="334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41"/>
      <c r="Q31" s="1263">
        <f t="shared" si="11"/>
        <v>111</v>
      </c>
      <c r="R31" s="667" t="s">
        <v>18</v>
      </c>
      <c r="S31" s="668">
        <f t="shared" si="12"/>
        <v>100</v>
      </c>
      <c r="T31" s="667" t="s">
        <v>18</v>
      </c>
      <c r="U31" s="668">
        <f t="shared" si="13"/>
        <v>100</v>
      </c>
      <c r="V31" s="667" t="s">
        <v>18</v>
      </c>
      <c r="W31" s="668">
        <f t="shared" si="14"/>
        <v>100</v>
      </c>
      <c r="X31" s="1265"/>
      <c r="Y31" s="334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44" t="s">
        <v>1696</v>
      </c>
      <c r="Q32" s="1263" t="str">
        <f t="shared" si="11"/>
        <v>建筑类型</v>
      </c>
      <c r="R32" s="667" t="s">
        <v>18</v>
      </c>
      <c r="S32" s="668">
        <f t="shared" si="12"/>
        <v>100</v>
      </c>
      <c r="T32" s="667" t="s">
        <v>18</v>
      </c>
      <c r="U32" s="668">
        <f t="shared" si="13"/>
        <v>100</v>
      </c>
      <c r="V32" s="667" t="s">
        <v>18</v>
      </c>
      <c r="W32" s="668">
        <f t="shared" si="14"/>
        <v>100</v>
      </c>
      <c r="X32" s="1265"/>
      <c r="Y32" s="334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45"/>
      <c r="Q33" s="531" t="str">
        <f t="shared" si="11"/>
        <v>项目建筑规模</v>
      </c>
      <c r="R33" s="669" t="s">
        <v>18</v>
      </c>
      <c r="S33" s="670" t="e">
        <f t="shared" si="12"/>
        <v>#N/A</v>
      </c>
      <c r="T33" s="669" t="s">
        <v>18</v>
      </c>
      <c r="U33" s="670" t="e">
        <f t="shared" si="13"/>
        <v>#N/A</v>
      </c>
      <c r="V33" s="669" t="s">
        <v>18</v>
      </c>
      <c r="W33" s="670" t="e">
        <f t="shared" si="14"/>
        <v>#N/A</v>
      </c>
      <c r="X33" s="671"/>
      <c r="Y33" s="334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45"/>
      <c r="Q34" s="1263" t="str">
        <f t="shared" si="11"/>
        <v>建筑结构</v>
      </c>
      <c r="R34" s="667" t="s">
        <v>18</v>
      </c>
      <c r="S34" s="668">
        <f t="shared" si="12"/>
        <v>100</v>
      </c>
      <c r="T34" s="667" t="s">
        <v>18</v>
      </c>
      <c r="U34" s="668">
        <f t="shared" si="13"/>
        <v>100</v>
      </c>
      <c r="V34" s="667" t="s">
        <v>18</v>
      </c>
      <c r="W34" s="668">
        <f t="shared" si="14"/>
        <v>100</v>
      </c>
      <c r="X34" s="1265"/>
      <c r="Y34" s="334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45"/>
      <c r="Q35" s="1263" t="str">
        <f t="shared" si="11"/>
        <v>建筑品质</v>
      </c>
      <c r="R35" s="667" t="s">
        <v>18</v>
      </c>
      <c r="S35" s="668">
        <f t="shared" si="12"/>
        <v>100</v>
      </c>
      <c r="T35" s="667" t="s">
        <v>18</v>
      </c>
      <c r="U35" s="668">
        <f t="shared" si="13"/>
        <v>100</v>
      </c>
      <c r="V35" s="667" t="s">
        <v>18</v>
      </c>
      <c r="W35" s="668">
        <f t="shared" si="14"/>
        <v>100</v>
      </c>
      <c r="X35" s="1265"/>
      <c r="Y35" s="334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45"/>
      <c r="Q36" s="1263" t="str">
        <f t="shared" si="11"/>
        <v>公共部分装修</v>
      </c>
      <c r="R36" s="667" t="s">
        <v>18</v>
      </c>
      <c r="S36" s="668">
        <f t="shared" si="12"/>
        <v>100</v>
      </c>
      <c r="T36" s="667" t="s">
        <v>18</v>
      </c>
      <c r="U36" s="668">
        <f t="shared" si="13"/>
        <v>100</v>
      </c>
      <c r="V36" s="667" t="s">
        <v>18</v>
      </c>
      <c r="W36" s="668">
        <f t="shared" si="14"/>
        <v>100</v>
      </c>
      <c r="X36" s="1265"/>
      <c r="Y36" s="334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45"/>
      <c r="Q37" s="530" t="str">
        <f t="shared" si="11"/>
        <v>成新度</v>
      </c>
      <c r="R37" s="664" t="s">
        <v>18</v>
      </c>
      <c r="S37" s="665" t="e">
        <f t="shared" si="12"/>
        <v>#N/A</v>
      </c>
      <c r="T37" s="664" t="s">
        <v>18</v>
      </c>
      <c r="U37" s="665" t="e">
        <f t="shared" si="13"/>
        <v>#N/A</v>
      </c>
      <c r="V37" s="664" t="s">
        <v>18</v>
      </c>
      <c r="W37" s="665" t="e">
        <f t="shared" si="14"/>
        <v>#N/A</v>
      </c>
      <c r="X37" s="666"/>
      <c r="Y37" s="334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45" t="s">
        <v>1696</v>
      </c>
      <c r="Q38" s="1263" t="str">
        <f t="shared" si="11"/>
        <v>物业管理</v>
      </c>
      <c r="R38" s="667" t="s">
        <v>18</v>
      </c>
      <c r="S38" s="668">
        <f t="shared" si="12"/>
        <v>100</v>
      </c>
      <c r="T38" s="667" t="s">
        <v>18</v>
      </c>
      <c r="U38" s="668">
        <f t="shared" si="13"/>
        <v>100</v>
      </c>
      <c r="V38" s="667" t="s">
        <v>18</v>
      </c>
      <c r="W38" s="668">
        <f t="shared" si="14"/>
        <v>100</v>
      </c>
      <c r="X38" s="1265"/>
      <c r="Y38" s="334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45"/>
      <c r="Q39" s="1263" t="str">
        <f t="shared" si="11"/>
        <v>市政基础设施</v>
      </c>
      <c r="R39" s="667" t="s">
        <v>18</v>
      </c>
      <c r="S39" s="668">
        <f t="shared" si="12"/>
        <v>100</v>
      </c>
      <c r="T39" s="667" t="s">
        <v>18</v>
      </c>
      <c r="U39" s="668">
        <f t="shared" si="13"/>
        <v>100</v>
      </c>
      <c r="V39" s="667" t="s">
        <v>18</v>
      </c>
      <c r="W39" s="668">
        <f t="shared" si="14"/>
        <v>100</v>
      </c>
      <c r="X39" s="1265"/>
      <c r="Y39" s="334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45"/>
      <c r="Q40" s="1263" t="str">
        <f t="shared" si="11"/>
        <v>房型</v>
      </c>
      <c r="R40" s="667" t="s">
        <v>18</v>
      </c>
      <c r="S40" s="668">
        <f t="shared" si="12"/>
        <v>100</v>
      </c>
      <c r="T40" s="667" t="s">
        <v>18</v>
      </c>
      <c r="U40" s="668">
        <f t="shared" si="13"/>
        <v>100</v>
      </c>
      <c r="V40" s="667" t="s">
        <v>18</v>
      </c>
      <c r="W40" s="668">
        <f t="shared" si="14"/>
        <v>100</v>
      </c>
      <c r="X40" s="1265"/>
      <c r="Y40" s="334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45"/>
      <c r="Q41" s="531" t="str">
        <f t="shared" si="11"/>
        <v>单套/主力户型建筑面积</v>
      </c>
      <c r="R41" s="669" t="s">
        <v>18</v>
      </c>
      <c r="S41" s="670">
        <f t="shared" si="12"/>
        <v>100</v>
      </c>
      <c r="T41" s="669" t="s">
        <v>18</v>
      </c>
      <c r="U41" s="670">
        <f t="shared" si="13"/>
        <v>100</v>
      </c>
      <c r="V41" s="669" t="s">
        <v>18</v>
      </c>
      <c r="W41" s="670">
        <f t="shared" si="14"/>
        <v>100</v>
      </c>
      <c r="X41" s="671"/>
      <c r="Y41" s="334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45"/>
      <c r="Q42" s="1263" t="str">
        <f t="shared" si="11"/>
        <v>内部装修</v>
      </c>
      <c r="R42" s="667" t="s">
        <v>18</v>
      </c>
      <c r="S42" s="668">
        <f t="shared" si="12"/>
        <v>100</v>
      </c>
      <c r="T42" s="667" t="s">
        <v>18</v>
      </c>
      <c r="U42" s="668">
        <f t="shared" si="13"/>
        <v>100</v>
      </c>
      <c r="V42" s="667" t="s">
        <v>18</v>
      </c>
      <c r="W42" s="668">
        <f t="shared" si="14"/>
        <v>100</v>
      </c>
      <c r="X42" s="1265"/>
      <c r="Y42" s="334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45"/>
      <c r="Q43" s="1263" t="str">
        <f t="shared" si="11"/>
        <v>内部装修维护情况</v>
      </c>
      <c r="R43" s="667" t="s">
        <v>18</v>
      </c>
      <c r="S43" s="668">
        <f t="shared" si="12"/>
        <v>100</v>
      </c>
      <c r="T43" s="667" t="s">
        <v>18</v>
      </c>
      <c r="U43" s="668">
        <f t="shared" si="13"/>
        <v>100</v>
      </c>
      <c r="V43" s="667" t="s">
        <v>18</v>
      </c>
      <c r="W43" s="668">
        <f t="shared" si="14"/>
        <v>100</v>
      </c>
      <c r="X43" s="1265"/>
      <c r="Y43" s="334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45"/>
      <c r="Q44" s="530">
        <f t="shared" si="11"/>
        <v>111</v>
      </c>
      <c r="R44" s="664" t="s">
        <v>18</v>
      </c>
      <c r="S44" s="665">
        <f t="shared" si="12"/>
        <v>100</v>
      </c>
      <c r="T44" s="664" t="s">
        <v>18</v>
      </c>
      <c r="U44" s="665">
        <f t="shared" si="13"/>
        <v>100</v>
      </c>
      <c r="V44" s="664" t="s">
        <v>18</v>
      </c>
      <c r="W44" s="665">
        <f t="shared" si="14"/>
        <v>100</v>
      </c>
      <c r="X44" s="666"/>
      <c r="Y44" s="334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45"/>
      <c r="Q45" s="1263">
        <f t="shared" si="11"/>
        <v>111</v>
      </c>
      <c r="R45" s="667" t="s">
        <v>18</v>
      </c>
      <c r="S45" s="668">
        <f t="shared" si="12"/>
        <v>100</v>
      </c>
      <c r="T45" s="667" t="s">
        <v>18</v>
      </c>
      <c r="U45" s="668">
        <f t="shared" si="13"/>
        <v>100</v>
      </c>
      <c r="V45" s="667" t="s">
        <v>18</v>
      </c>
      <c r="W45" s="668">
        <f t="shared" si="14"/>
        <v>100</v>
      </c>
      <c r="X45" s="1265"/>
      <c r="Y45" s="334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46"/>
      <c r="Q46" s="1263">
        <f t="shared" si="11"/>
        <v>111</v>
      </c>
      <c r="R46" s="667" t="s">
        <v>17</v>
      </c>
      <c r="S46" s="668">
        <f t="shared" si="12"/>
        <v>100</v>
      </c>
      <c r="T46" s="667" t="s">
        <v>17</v>
      </c>
      <c r="U46" s="668">
        <f t="shared" si="13"/>
        <v>100</v>
      </c>
      <c r="V46" s="667" t="s">
        <v>17</v>
      </c>
      <c r="W46" s="668">
        <f t="shared" si="14"/>
        <v>100</v>
      </c>
      <c r="X46" s="1265"/>
      <c r="Y46" s="334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35" t="str">
        <f>A47</f>
        <v>成交单价（元/平方米）</v>
      </c>
      <c r="Q47" s="3335"/>
      <c r="R47" s="3336">
        <f>E47</f>
        <v>0</v>
      </c>
      <c r="S47" s="3336"/>
      <c r="T47" s="3336">
        <f>G47</f>
        <v>0</v>
      </c>
      <c r="U47" s="3336"/>
      <c r="V47" s="3336">
        <f>I47</f>
        <v>0</v>
      </c>
      <c r="W47" s="333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2023-3</v>
      </c>
      <c r="D58" s="1104">
        <f>EDATE(C58,-1)</f>
        <v>44958</v>
      </c>
      <c r="E58" s="1104">
        <f>EDATE(D58,-1)</f>
        <v>44927</v>
      </c>
      <c r="F58" s="1104">
        <f t="shared" ref="F58:O58" si="19">EDATE(E58,-1)</f>
        <v>44896</v>
      </c>
      <c r="G58" s="1104">
        <f t="shared" si="19"/>
        <v>44866</v>
      </c>
      <c r="H58" s="1104">
        <f t="shared" si="19"/>
        <v>44835</v>
      </c>
      <c r="I58" s="1104">
        <f t="shared" si="19"/>
        <v>44805</v>
      </c>
      <c r="J58" s="1104">
        <f t="shared" si="19"/>
        <v>44774</v>
      </c>
      <c r="K58" s="1104">
        <f t="shared" si="19"/>
        <v>44743</v>
      </c>
      <c r="L58" s="1104">
        <f t="shared" si="19"/>
        <v>44713</v>
      </c>
      <c r="M58" s="1104">
        <f t="shared" si="19"/>
        <v>44682</v>
      </c>
      <c r="N58" s="1104">
        <f t="shared" si="19"/>
        <v>44652</v>
      </c>
      <c r="O58" s="1104">
        <f t="shared" si="19"/>
        <v>44621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455.09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36"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36"/>
      <c r="AC5" s="338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420"/>
      <c r="Q6" s="3361"/>
      <c r="R6" s="3364"/>
      <c r="S6" s="3365"/>
      <c r="T6" s="3366"/>
      <c r="U6" s="3367"/>
      <c r="V6" s="3336"/>
      <c r="W6" s="3336"/>
      <c r="X6" s="1265"/>
      <c r="Y6" s="3366"/>
      <c r="Z6" s="3367"/>
      <c r="AA6" s="3381"/>
      <c r="AB6" s="3336"/>
      <c r="AC6" s="3381"/>
    </row>
    <row r="7" spans="1:29" s="102" customFormat="1" ht="15.75" thickBot="1">
      <c r="A7" s="352" t="s">
        <v>1679</v>
      </c>
      <c r="B7" s="353"/>
      <c r="C7" s="354">
        <f>'数据-取费表'!B2</f>
        <v>44988</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5" t="s">
        <v>1680</v>
      </c>
      <c r="Q7" s="3376"/>
      <c r="R7" s="664" t="s">
        <v>14</v>
      </c>
      <c r="S7" s="665">
        <f t="shared" ref="S7:S15" si="0">F7</f>
        <v>0</v>
      </c>
      <c r="T7" s="664" t="s">
        <v>14</v>
      </c>
      <c r="U7" s="665">
        <f t="shared" ref="U7:U15" si="1">H7</f>
        <v>0</v>
      </c>
      <c r="V7" s="664" t="s">
        <v>14</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5" t="s">
        <v>1683</v>
      </c>
      <c r="Q8" s="3374"/>
      <c r="R8" s="664" t="s">
        <v>14</v>
      </c>
      <c r="S8" s="665">
        <f t="shared" si="0"/>
        <v>100</v>
      </c>
      <c r="T8" s="664" t="s">
        <v>14</v>
      </c>
      <c r="U8" s="665">
        <f t="shared" si="1"/>
        <v>100</v>
      </c>
      <c r="V8" s="664" t="s">
        <v>14</v>
      </c>
      <c r="W8" s="665">
        <f t="shared" si="2"/>
        <v>100</v>
      </c>
      <c r="X8" s="666"/>
      <c r="Y8" s="3375" t="s">
        <v>1683</v>
      </c>
      <c r="Z8" s="337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34"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34"/>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34"/>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34"/>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34"/>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34"/>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40" t="s">
        <v>1691</v>
      </c>
      <c r="Q15" s="1263" t="str">
        <f t="shared" si="6"/>
        <v>商业繁华度</v>
      </c>
      <c r="R15" s="667" t="s">
        <v>14</v>
      </c>
      <c r="S15" s="668">
        <f t="shared" si="0"/>
        <v>100</v>
      </c>
      <c r="T15" s="667" t="s">
        <v>14</v>
      </c>
      <c r="U15" s="668">
        <f t="shared" si="1"/>
        <v>100</v>
      </c>
      <c r="V15" s="667" t="s">
        <v>14</v>
      </c>
      <c r="W15" s="668">
        <f t="shared" si="2"/>
        <v>100</v>
      </c>
      <c r="X15" s="1265"/>
      <c r="Y15" s="334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41"/>
      <c r="Q16" s="1263"/>
      <c r="R16" s="667"/>
      <c r="S16" s="668"/>
      <c r="T16" s="667"/>
      <c r="U16" s="668"/>
      <c r="V16" s="667"/>
      <c r="W16" s="668"/>
      <c r="X16" s="1265"/>
      <c r="Y16" s="3343"/>
      <c r="Z16" s="1264"/>
      <c r="AA16" s="1264">
        <v>1</v>
      </c>
      <c r="AB16" s="1264">
        <v>1</v>
      </c>
      <c r="AC16" s="1264">
        <v>1</v>
      </c>
    </row>
    <row r="17" spans="1:29" ht="15">
      <c r="A17" s="367"/>
      <c r="B17" s="390" t="s">
        <v>1259</v>
      </c>
      <c r="C17" s="1754" t="str">
        <f>估价对象房地状况!C6</f>
        <v>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41"/>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41"/>
      <c r="Q18" s="1263"/>
      <c r="R18" s="667"/>
      <c r="S18" s="668"/>
      <c r="T18" s="667"/>
      <c r="U18" s="668"/>
      <c r="V18" s="667"/>
      <c r="W18" s="668"/>
      <c r="X18" s="1265"/>
      <c r="Y18" s="3343"/>
      <c r="Z18" s="1264"/>
      <c r="AA18" s="1264">
        <v>1</v>
      </c>
      <c r="AB18" s="1264">
        <v>1</v>
      </c>
      <c r="AC18" s="1264">
        <v>1</v>
      </c>
    </row>
    <row r="19" spans="1:29" ht="15">
      <c r="A19" s="367"/>
      <c r="B19" s="390" t="s">
        <v>1778</v>
      </c>
      <c r="C19" s="1754" t="str">
        <f>估价对象房地状况!C7</f>
        <v>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41"/>
      <c r="Q19" s="1263" t="str">
        <f>B19</f>
        <v>公共配套设施</v>
      </c>
      <c r="R19" s="667" t="s">
        <v>14</v>
      </c>
      <c r="S19" s="668">
        <f>F19</f>
        <v>100</v>
      </c>
      <c r="T19" s="667" t="s">
        <v>14</v>
      </c>
      <c r="U19" s="668">
        <f>H19</f>
        <v>100</v>
      </c>
      <c r="V19" s="667" t="s">
        <v>14</v>
      </c>
      <c r="W19" s="668">
        <f>J19</f>
        <v>100</v>
      </c>
      <c r="X19" s="1265"/>
      <c r="Y19" s="334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41"/>
      <c r="Q20" s="1263"/>
      <c r="R20" s="667"/>
      <c r="S20" s="668"/>
      <c r="T20" s="667"/>
      <c r="U20" s="668"/>
      <c r="V20" s="667"/>
      <c r="W20" s="668"/>
      <c r="X20" s="1265"/>
      <c r="Y20" s="3343"/>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41"/>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41"/>
      <c r="Q22" s="1263"/>
      <c r="R22" s="667"/>
      <c r="S22" s="668"/>
      <c r="T22" s="667"/>
      <c r="U22" s="668"/>
      <c r="V22" s="667"/>
      <c r="W22" s="668"/>
      <c r="X22" s="1265"/>
      <c r="Y22" s="3343"/>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41"/>
      <c r="Q23" s="1263" t="str">
        <f>B23</f>
        <v>自然及人文环境</v>
      </c>
      <c r="R23" s="667" t="s">
        <v>14</v>
      </c>
      <c r="S23" s="668">
        <f>F23</f>
        <v>100</v>
      </c>
      <c r="T23" s="667" t="s">
        <v>14</v>
      </c>
      <c r="U23" s="668">
        <f>H23</f>
        <v>100</v>
      </c>
      <c r="V23" s="667" t="s">
        <v>14</v>
      </c>
      <c r="W23" s="668">
        <f>J23</f>
        <v>100</v>
      </c>
      <c r="X23" s="1265"/>
      <c r="Y23" s="334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41"/>
      <c r="Q24" s="1263"/>
      <c r="R24" s="667"/>
      <c r="S24" s="668"/>
      <c r="T24" s="667"/>
      <c r="U24" s="668"/>
      <c r="V24" s="667"/>
      <c r="W24" s="668"/>
      <c r="X24" s="1265"/>
      <c r="Y24" s="334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41"/>
      <c r="Q25" s="1263" t="str">
        <f t="shared" ref="Q25:Q46" si="11">B25</f>
        <v>临街状况</v>
      </c>
      <c r="R25" s="667" t="s">
        <v>14</v>
      </c>
      <c r="S25" s="668">
        <f>F25</f>
        <v>100</v>
      </c>
      <c r="T25" s="667" t="s">
        <v>14</v>
      </c>
      <c r="U25" s="668">
        <f>H25</f>
        <v>100</v>
      </c>
      <c r="V25" s="667" t="s">
        <v>14</v>
      </c>
      <c r="W25" s="668">
        <f>J25</f>
        <v>100</v>
      </c>
      <c r="X25" s="1265"/>
      <c r="Y25" s="334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41"/>
      <c r="Q26" s="1263" t="str">
        <f t="shared" si="11"/>
        <v>平面位置/可视性</v>
      </c>
      <c r="R26" s="667" t="s">
        <v>14</v>
      </c>
      <c r="S26" s="668">
        <f>F26</f>
        <v>100</v>
      </c>
      <c r="T26" s="667" t="s">
        <v>14</v>
      </c>
      <c r="U26" s="668">
        <f>H26</f>
        <v>100</v>
      </c>
      <c r="V26" s="667" t="s">
        <v>14</v>
      </c>
      <c r="W26" s="668">
        <f>J26</f>
        <v>100</v>
      </c>
      <c r="X26" s="1265"/>
      <c r="Y26" s="334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41"/>
      <c r="Q27" s="530" t="str">
        <f t="shared" si="11"/>
        <v>人流量</v>
      </c>
      <c r="R27" s="664" t="s">
        <v>14</v>
      </c>
      <c r="S27" s="665">
        <f>F27</f>
        <v>100</v>
      </c>
      <c r="T27" s="664" t="s">
        <v>14</v>
      </c>
      <c r="U27" s="665">
        <f>H27</f>
        <v>100</v>
      </c>
      <c r="V27" s="664" t="s">
        <v>14</v>
      </c>
      <c r="W27" s="665">
        <f>J27</f>
        <v>100</v>
      </c>
      <c r="X27" s="666"/>
      <c r="Y27" s="334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4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41"/>
      <c r="Q29" s="1263">
        <f t="shared" si="11"/>
        <v>111</v>
      </c>
      <c r="R29" s="667" t="s">
        <v>14</v>
      </c>
      <c r="S29" s="668">
        <f t="shared" si="12"/>
        <v>100</v>
      </c>
      <c r="T29" s="667" t="s">
        <v>14</v>
      </c>
      <c r="U29" s="668">
        <f t="shared" si="13"/>
        <v>100</v>
      </c>
      <c r="V29" s="667" t="s">
        <v>14</v>
      </c>
      <c r="W29" s="668">
        <f t="shared" si="14"/>
        <v>100</v>
      </c>
      <c r="X29" s="1265"/>
      <c r="Y29" s="334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41"/>
      <c r="Q30" s="1263">
        <f t="shared" si="11"/>
        <v>111</v>
      </c>
      <c r="R30" s="667" t="s">
        <v>14</v>
      </c>
      <c r="S30" s="668">
        <f t="shared" si="12"/>
        <v>100</v>
      </c>
      <c r="T30" s="667" t="s">
        <v>14</v>
      </c>
      <c r="U30" s="668">
        <f t="shared" si="13"/>
        <v>100</v>
      </c>
      <c r="V30" s="667" t="s">
        <v>14</v>
      </c>
      <c r="W30" s="668">
        <f t="shared" si="14"/>
        <v>100</v>
      </c>
      <c r="X30" s="1265"/>
      <c r="Y30" s="334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41"/>
      <c r="Q31" s="1263">
        <f t="shared" si="11"/>
        <v>111</v>
      </c>
      <c r="R31" s="667" t="s">
        <v>14</v>
      </c>
      <c r="S31" s="668">
        <f t="shared" si="12"/>
        <v>100</v>
      </c>
      <c r="T31" s="667" t="s">
        <v>14</v>
      </c>
      <c r="U31" s="668">
        <f t="shared" si="13"/>
        <v>100</v>
      </c>
      <c r="V31" s="667" t="s">
        <v>14</v>
      </c>
      <c r="W31" s="668">
        <f t="shared" si="14"/>
        <v>100</v>
      </c>
      <c r="X31" s="1265"/>
      <c r="Y31" s="334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44" t="s">
        <v>1696</v>
      </c>
      <c r="Q32" s="1263" t="str">
        <f t="shared" si="11"/>
        <v>商业类型</v>
      </c>
      <c r="R32" s="667" t="s">
        <v>14</v>
      </c>
      <c r="S32" s="668">
        <f t="shared" si="12"/>
        <v>100</v>
      </c>
      <c r="T32" s="667" t="s">
        <v>14</v>
      </c>
      <c r="U32" s="668">
        <f t="shared" si="13"/>
        <v>100</v>
      </c>
      <c r="V32" s="667" t="s">
        <v>14</v>
      </c>
      <c r="W32" s="668">
        <f t="shared" si="14"/>
        <v>100</v>
      </c>
      <c r="X32" s="1265"/>
      <c r="Y32" s="334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45"/>
      <c r="Q33" s="531" t="str">
        <f t="shared" si="11"/>
        <v>项目建筑规模</v>
      </c>
      <c r="R33" s="669" t="s">
        <v>14</v>
      </c>
      <c r="S33" s="670" t="e">
        <f t="shared" si="12"/>
        <v>#N/A</v>
      </c>
      <c r="T33" s="669" t="s">
        <v>14</v>
      </c>
      <c r="U33" s="670" t="e">
        <f t="shared" si="13"/>
        <v>#N/A</v>
      </c>
      <c r="V33" s="669" t="s">
        <v>14</v>
      </c>
      <c r="W33" s="670" t="e">
        <f t="shared" si="14"/>
        <v>#N/A</v>
      </c>
      <c r="X33" s="671"/>
      <c r="Y33" s="334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45"/>
      <c r="Q34" s="1263" t="str">
        <f t="shared" si="11"/>
        <v>建筑结构</v>
      </c>
      <c r="R34" s="667" t="s">
        <v>14</v>
      </c>
      <c r="S34" s="668">
        <f t="shared" si="12"/>
        <v>100</v>
      </c>
      <c r="T34" s="667" t="s">
        <v>14</v>
      </c>
      <c r="U34" s="668">
        <f t="shared" si="13"/>
        <v>100</v>
      </c>
      <c r="V34" s="667" t="s">
        <v>14</v>
      </c>
      <c r="W34" s="668">
        <f t="shared" si="14"/>
        <v>100</v>
      </c>
      <c r="X34" s="1265"/>
      <c r="Y34" s="334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45"/>
      <c r="Q35" s="1263" t="str">
        <f t="shared" si="11"/>
        <v>公共部分装修</v>
      </c>
      <c r="R35" s="667" t="s">
        <v>14</v>
      </c>
      <c r="S35" s="668">
        <f t="shared" si="12"/>
        <v>100</v>
      </c>
      <c r="T35" s="667" t="s">
        <v>14</v>
      </c>
      <c r="U35" s="668">
        <f t="shared" si="13"/>
        <v>100</v>
      </c>
      <c r="V35" s="667" t="s">
        <v>14</v>
      </c>
      <c r="W35" s="668">
        <f t="shared" si="14"/>
        <v>100</v>
      </c>
      <c r="X35" s="1265"/>
      <c r="Y35" s="334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45"/>
      <c r="Q36" s="1263" t="str">
        <f t="shared" si="11"/>
        <v>成新度</v>
      </c>
      <c r="R36" s="667" t="s">
        <v>14</v>
      </c>
      <c r="S36" s="668" t="e">
        <f t="shared" si="12"/>
        <v>#N/A</v>
      </c>
      <c r="T36" s="667" t="s">
        <v>14</v>
      </c>
      <c r="U36" s="668" t="e">
        <f t="shared" si="13"/>
        <v>#N/A</v>
      </c>
      <c r="V36" s="667" t="s">
        <v>14</v>
      </c>
      <c r="W36" s="668" t="e">
        <f t="shared" si="14"/>
        <v>#N/A</v>
      </c>
      <c r="X36" s="1265"/>
      <c r="Y36" s="334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45"/>
      <c r="Q37" s="530" t="str">
        <f t="shared" si="11"/>
        <v>市政基础设施</v>
      </c>
      <c r="R37" s="664" t="s">
        <v>14</v>
      </c>
      <c r="S37" s="665">
        <f t="shared" si="12"/>
        <v>100</v>
      </c>
      <c r="T37" s="664" t="s">
        <v>14</v>
      </c>
      <c r="U37" s="665">
        <f t="shared" si="13"/>
        <v>100</v>
      </c>
      <c r="V37" s="664" t="s">
        <v>14</v>
      </c>
      <c r="W37" s="665">
        <f t="shared" si="14"/>
        <v>100</v>
      </c>
      <c r="X37" s="666"/>
      <c r="Y37" s="334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45" t="s">
        <v>1696</v>
      </c>
      <c r="Q38" s="1263" t="str">
        <f t="shared" si="11"/>
        <v>业态</v>
      </c>
      <c r="R38" s="667" t="s">
        <v>14</v>
      </c>
      <c r="S38" s="668">
        <f t="shared" si="12"/>
        <v>100</v>
      </c>
      <c r="T38" s="667" t="s">
        <v>14</v>
      </c>
      <c r="U38" s="668">
        <f t="shared" si="13"/>
        <v>100</v>
      </c>
      <c r="V38" s="667" t="s">
        <v>14</v>
      </c>
      <c r="W38" s="668">
        <f t="shared" si="14"/>
        <v>100</v>
      </c>
      <c r="X38" s="1265"/>
      <c r="Y38" s="334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45"/>
      <c r="Q39" s="1263" t="str">
        <f t="shared" si="11"/>
        <v>层高</v>
      </c>
      <c r="R39" s="667" t="s">
        <v>14</v>
      </c>
      <c r="S39" s="668">
        <f t="shared" si="12"/>
        <v>100</v>
      </c>
      <c r="T39" s="667" t="s">
        <v>14</v>
      </c>
      <c r="U39" s="668">
        <f t="shared" si="13"/>
        <v>100</v>
      </c>
      <c r="V39" s="667" t="s">
        <v>14</v>
      </c>
      <c r="W39" s="668">
        <f t="shared" si="14"/>
        <v>100</v>
      </c>
      <c r="X39" s="1265"/>
      <c r="Y39" s="334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45"/>
      <c r="Q40" s="1263" t="str">
        <f t="shared" si="11"/>
        <v>单套建筑面积</v>
      </c>
      <c r="R40" s="667" t="s">
        <v>14</v>
      </c>
      <c r="S40" s="668">
        <f t="shared" si="12"/>
        <v>100</v>
      </c>
      <c r="T40" s="667" t="s">
        <v>14</v>
      </c>
      <c r="U40" s="668">
        <f t="shared" si="13"/>
        <v>100</v>
      </c>
      <c r="V40" s="667" t="s">
        <v>14</v>
      </c>
      <c r="W40" s="668">
        <f t="shared" si="14"/>
        <v>100</v>
      </c>
      <c r="X40" s="1265"/>
      <c r="Y40" s="334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45"/>
      <c r="Q41" s="531" t="str">
        <f t="shared" si="11"/>
        <v>进深比</v>
      </c>
      <c r="R41" s="669" t="s">
        <v>14</v>
      </c>
      <c r="S41" s="670">
        <f t="shared" si="12"/>
        <v>100</v>
      </c>
      <c r="T41" s="669" t="s">
        <v>14</v>
      </c>
      <c r="U41" s="670">
        <f t="shared" si="13"/>
        <v>100</v>
      </c>
      <c r="V41" s="669" t="s">
        <v>14</v>
      </c>
      <c r="W41" s="670">
        <f t="shared" si="14"/>
        <v>100</v>
      </c>
      <c r="X41" s="671"/>
      <c r="Y41" s="334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45"/>
      <c r="Q42" s="1263" t="str">
        <f t="shared" si="11"/>
        <v>内部装修</v>
      </c>
      <c r="R42" s="667" t="s">
        <v>14</v>
      </c>
      <c r="S42" s="668">
        <f t="shared" si="12"/>
        <v>100</v>
      </c>
      <c r="T42" s="667" t="s">
        <v>14</v>
      </c>
      <c r="U42" s="668">
        <f t="shared" si="13"/>
        <v>100</v>
      </c>
      <c r="V42" s="667" t="s">
        <v>14</v>
      </c>
      <c r="W42" s="668">
        <f t="shared" si="14"/>
        <v>100</v>
      </c>
      <c r="X42" s="1265"/>
      <c r="Y42" s="334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45"/>
      <c r="Q43" s="1263" t="str">
        <f t="shared" si="11"/>
        <v>内部装修维护情况</v>
      </c>
      <c r="R43" s="667" t="s">
        <v>14</v>
      </c>
      <c r="S43" s="668">
        <f t="shared" si="12"/>
        <v>100</v>
      </c>
      <c r="T43" s="667" t="s">
        <v>14</v>
      </c>
      <c r="U43" s="668">
        <f t="shared" si="13"/>
        <v>100</v>
      </c>
      <c r="V43" s="667" t="s">
        <v>14</v>
      </c>
      <c r="W43" s="668">
        <f t="shared" si="14"/>
        <v>100</v>
      </c>
      <c r="X43" s="1265"/>
      <c r="Y43" s="334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45"/>
      <c r="Q44" s="530">
        <f t="shared" si="11"/>
        <v>111</v>
      </c>
      <c r="R44" s="664" t="s">
        <v>14</v>
      </c>
      <c r="S44" s="665">
        <f t="shared" si="12"/>
        <v>100</v>
      </c>
      <c r="T44" s="664" t="s">
        <v>14</v>
      </c>
      <c r="U44" s="665">
        <f t="shared" si="13"/>
        <v>100</v>
      </c>
      <c r="V44" s="664" t="s">
        <v>14</v>
      </c>
      <c r="W44" s="665">
        <f t="shared" si="14"/>
        <v>100</v>
      </c>
      <c r="X44" s="666"/>
      <c r="Y44" s="334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45"/>
      <c r="Q45" s="1263">
        <f t="shared" si="11"/>
        <v>111</v>
      </c>
      <c r="R45" s="667" t="s">
        <v>14</v>
      </c>
      <c r="S45" s="668">
        <f t="shared" si="12"/>
        <v>100</v>
      </c>
      <c r="T45" s="667" t="s">
        <v>14</v>
      </c>
      <c r="U45" s="668">
        <f t="shared" si="13"/>
        <v>100</v>
      </c>
      <c r="V45" s="667" t="s">
        <v>14</v>
      </c>
      <c r="W45" s="668">
        <f t="shared" si="14"/>
        <v>100</v>
      </c>
      <c r="X45" s="1265"/>
      <c r="Y45" s="334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46"/>
      <c r="Q46" s="1263">
        <f t="shared" si="11"/>
        <v>111</v>
      </c>
      <c r="R46" s="667" t="s">
        <v>14</v>
      </c>
      <c r="S46" s="668">
        <f t="shared" si="12"/>
        <v>100</v>
      </c>
      <c r="T46" s="667" t="s">
        <v>14</v>
      </c>
      <c r="U46" s="668">
        <f t="shared" si="13"/>
        <v>100</v>
      </c>
      <c r="V46" s="667" t="s">
        <v>14</v>
      </c>
      <c r="W46" s="668">
        <f t="shared" si="14"/>
        <v>100</v>
      </c>
      <c r="X46" s="1265"/>
      <c r="Y46" s="334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35" t="str">
        <f>A47</f>
        <v>成交单价（元/平方米）</v>
      </c>
      <c r="Q47" s="3335"/>
      <c r="R47" s="3336">
        <f>E47</f>
        <v>0</v>
      </c>
      <c r="S47" s="3336"/>
      <c r="T47" s="3336">
        <f>G47</f>
        <v>0</v>
      </c>
      <c r="U47" s="3336"/>
      <c r="V47" s="3336">
        <f>I47</f>
        <v>0</v>
      </c>
      <c r="W47" s="333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2023-3</v>
      </c>
      <c r="D58" s="1104">
        <f>EDATE(C58,-1)</f>
        <v>44958</v>
      </c>
      <c r="E58" s="1104">
        <f t="shared" ref="E58:N58" si="16">EDATE(D58,-1)</f>
        <v>44927</v>
      </c>
      <c r="F58" s="1104">
        <f t="shared" si="16"/>
        <v>44896</v>
      </c>
      <c r="G58" s="1104">
        <f t="shared" si="16"/>
        <v>44866</v>
      </c>
      <c r="H58" s="1104">
        <f t="shared" si="16"/>
        <v>44835</v>
      </c>
      <c r="I58" s="1104">
        <f t="shared" si="16"/>
        <v>44805</v>
      </c>
      <c r="J58" s="1104">
        <f t="shared" si="16"/>
        <v>44774</v>
      </c>
      <c r="K58" s="1104">
        <f t="shared" si="16"/>
        <v>44743</v>
      </c>
      <c r="L58" s="1104">
        <f t="shared" si="16"/>
        <v>44713</v>
      </c>
      <c r="M58" s="1104">
        <f t="shared" si="16"/>
        <v>44682</v>
      </c>
      <c r="N58" s="1104">
        <f t="shared" si="16"/>
        <v>44652</v>
      </c>
      <c r="O58" s="1104">
        <f>EDATE(N58,-1)</f>
        <v>44621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455.09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860"/>
      <c r="M4" s="861"/>
      <c r="N4" s="861"/>
      <c r="O4" s="861"/>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860"/>
      <c r="M5" s="861"/>
      <c r="N5" s="861"/>
      <c r="O5" s="861"/>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537" t="s">
        <v>1678</v>
      </c>
      <c r="L6" s="860"/>
      <c r="M6" s="861"/>
      <c r="N6" s="861"/>
      <c r="O6" s="861"/>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376"/>
      <c r="R7" s="664" t="s">
        <v>14</v>
      </c>
      <c r="S7" s="665">
        <f t="shared" ref="S7:S15" si="0">F7</f>
        <v>0</v>
      </c>
      <c r="T7" s="664" t="s">
        <v>14</v>
      </c>
      <c r="U7" s="665">
        <f t="shared" ref="U7:U15" si="1">H7</f>
        <v>0</v>
      </c>
      <c r="V7" s="664" t="s">
        <v>14</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4"/>
      <c r="R8" s="664" t="s">
        <v>14</v>
      </c>
      <c r="S8" s="665">
        <f t="shared" si="0"/>
        <v>100</v>
      </c>
      <c r="T8" s="664" t="s">
        <v>14</v>
      </c>
      <c r="U8" s="665">
        <f t="shared" si="1"/>
        <v>100</v>
      </c>
      <c r="V8" s="664" t="s">
        <v>14</v>
      </c>
      <c r="W8" s="665">
        <f t="shared" si="2"/>
        <v>100</v>
      </c>
      <c r="X8" s="666"/>
      <c r="Y8" s="3375" t="s">
        <v>1683</v>
      </c>
      <c r="Z8" s="337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5"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35"/>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5"/>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35"/>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35"/>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2" t="s">
        <v>1691</v>
      </c>
      <c r="Q15" s="1263" t="str">
        <f t="shared" si="6"/>
        <v>产业集聚程度</v>
      </c>
      <c r="R15" s="667" t="s">
        <v>14</v>
      </c>
      <c r="S15" s="668">
        <f t="shared" si="0"/>
        <v>100</v>
      </c>
      <c r="T15" s="667" t="s">
        <v>14</v>
      </c>
      <c r="U15" s="668">
        <f t="shared" si="1"/>
        <v>100</v>
      </c>
      <c r="V15" s="667" t="s">
        <v>14</v>
      </c>
      <c r="W15" s="668">
        <f t="shared" si="2"/>
        <v>100</v>
      </c>
      <c r="X15" s="1265"/>
      <c r="Y15" s="334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43"/>
      <c r="Q16" s="1263"/>
      <c r="R16" s="667"/>
      <c r="S16" s="668"/>
      <c r="T16" s="667"/>
      <c r="U16" s="668"/>
      <c r="V16" s="667"/>
      <c r="W16" s="668"/>
      <c r="X16" s="1265"/>
      <c r="Y16" s="334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3"/>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43"/>
      <c r="Q18" s="1263"/>
      <c r="R18" s="667"/>
      <c r="S18" s="668"/>
      <c r="T18" s="667"/>
      <c r="U18" s="668"/>
      <c r="V18" s="667"/>
      <c r="W18" s="668"/>
      <c r="X18" s="1265"/>
      <c r="Y18" s="334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3"/>
      <c r="Q19" s="1263" t="str">
        <f>B19</f>
        <v>公共配套设施</v>
      </c>
      <c r="R19" s="667" t="s">
        <v>14</v>
      </c>
      <c r="S19" s="668">
        <f>F19</f>
        <v>100</v>
      </c>
      <c r="T19" s="667" t="s">
        <v>14</v>
      </c>
      <c r="U19" s="668">
        <f>H19</f>
        <v>100</v>
      </c>
      <c r="V19" s="667" t="s">
        <v>14</v>
      </c>
      <c r="W19" s="668">
        <f>J19</f>
        <v>100</v>
      </c>
      <c r="X19" s="1265"/>
      <c r="Y19" s="334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43"/>
      <c r="Q20" s="1263"/>
      <c r="R20" s="667"/>
      <c r="S20" s="668"/>
      <c r="T20" s="667"/>
      <c r="U20" s="668"/>
      <c r="V20" s="667"/>
      <c r="W20" s="668"/>
      <c r="X20" s="1265"/>
      <c r="Y20" s="334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3"/>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43"/>
      <c r="Q22" s="1263"/>
      <c r="R22" s="667"/>
      <c r="S22" s="668"/>
      <c r="T22" s="667"/>
      <c r="U22" s="668"/>
      <c r="V22" s="667"/>
      <c r="W22" s="668"/>
      <c r="X22" s="1265"/>
      <c r="Y22" s="334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3"/>
      <c r="Q23" s="1263" t="str">
        <f>B23</f>
        <v>环境质量</v>
      </c>
      <c r="R23" s="667" t="s">
        <v>14</v>
      </c>
      <c r="S23" s="668">
        <f>F23</f>
        <v>100</v>
      </c>
      <c r="T23" s="667" t="s">
        <v>14</v>
      </c>
      <c r="U23" s="668">
        <f>H23</f>
        <v>100</v>
      </c>
      <c r="V23" s="667" t="s">
        <v>14</v>
      </c>
      <c r="W23" s="668">
        <f>J23</f>
        <v>100</v>
      </c>
      <c r="X23" s="1265"/>
      <c r="Y23" s="334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43"/>
      <c r="Q24" s="1263"/>
      <c r="R24" s="667"/>
      <c r="S24" s="668"/>
      <c r="T24" s="667"/>
      <c r="U24" s="668"/>
      <c r="V24" s="667"/>
      <c r="W24" s="668"/>
      <c r="X24" s="1265"/>
      <c r="Y24" s="334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3"/>
      <c r="Q25" s="1263">
        <f>B25</f>
        <v>111</v>
      </c>
      <c r="R25" s="667" t="s">
        <v>14</v>
      </c>
      <c r="S25" s="668">
        <f>F25</f>
        <v>100</v>
      </c>
      <c r="T25" s="667" t="s">
        <v>14</v>
      </c>
      <c r="U25" s="668">
        <f>H25</f>
        <v>100</v>
      </c>
      <c r="V25" s="667" t="s">
        <v>14</v>
      </c>
      <c r="W25" s="668">
        <f>J25</f>
        <v>100</v>
      </c>
      <c r="X25" s="1265"/>
      <c r="Y25" s="334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3"/>
      <c r="Q26" s="1263">
        <f t="shared" ref="Q26:Q40" si="11">B26</f>
        <v>111</v>
      </c>
      <c r="R26" s="667" t="s">
        <v>14</v>
      </c>
      <c r="S26" s="668">
        <f>F26</f>
        <v>100</v>
      </c>
      <c r="T26" s="667" t="s">
        <v>14</v>
      </c>
      <c r="U26" s="668">
        <f>H26</f>
        <v>100</v>
      </c>
      <c r="V26" s="667" t="s">
        <v>14</v>
      </c>
      <c r="W26" s="668">
        <f>J26</f>
        <v>100</v>
      </c>
      <c r="X26" s="1265"/>
      <c r="Y26" s="334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3"/>
      <c r="Q27" s="530">
        <f t="shared" si="11"/>
        <v>111</v>
      </c>
      <c r="R27" s="664" t="s">
        <v>14</v>
      </c>
      <c r="S27" s="665">
        <f>F27</f>
        <v>100</v>
      </c>
      <c r="T27" s="664" t="s">
        <v>14</v>
      </c>
      <c r="U27" s="665">
        <f>H27</f>
        <v>100</v>
      </c>
      <c r="V27" s="664" t="s">
        <v>14</v>
      </c>
      <c r="W27" s="665">
        <f>J27</f>
        <v>100</v>
      </c>
      <c r="X27" s="666"/>
      <c r="Y27" s="334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3"/>
      <c r="Q28" s="1263">
        <f t="shared" si="11"/>
        <v>111</v>
      </c>
      <c r="R28" s="667" t="s">
        <v>14</v>
      </c>
      <c r="S28" s="668">
        <f t="shared" ref="S28:S40" si="12">F28</f>
        <v>100</v>
      </c>
      <c r="T28" s="667" t="s">
        <v>14</v>
      </c>
      <c r="U28" s="668">
        <f t="shared" ref="U28:U40" si="13">H28</f>
        <v>100</v>
      </c>
      <c r="V28" s="667" t="s">
        <v>14</v>
      </c>
      <c r="W28" s="668">
        <f t="shared" ref="W28:W40" si="14">J28</f>
        <v>100</v>
      </c>
      <c r="X28" s="1265"/>
      <c r="Y28" s="334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4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47"/>
      <c r="Q30" s="531" t="str">
        <f t="shared" si="11"/>
        <v>项目建筑规模</v>
      </c>
      <c r="R30" s="669" t="s">
        <v>14</v>
      </c>
      <c r="S30" s="670" t="e">
        <f t="shared" si="12"/>
        <v>#N/A</v>
      </c>
      <c r="T30" s="669" t="s">
        <v>14</v>
      </c>
      <c r="U30" s="670" t="e">
        <f t="shared" si="13"/>
        <v>#N/A</v>
      </c>
      <c r="V30" s="669" t="s">
        <v>14</v>
      </c>
      <c r="W30" s="670" t="e">
        <f t="shared" si="14"/>
        <v>#N/A</v>
      </c>
      <c r="X30" s="671"/>
      <c r="Y30" s="334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47"/>
      <c r="Q31" s="1263" t="str">
        <f t="shared" si="11"/>
        <v>建筑结构</v>
      </c>
      <c r="R31" s="667" t="s">
        <v>14</v>
      </c>
      <c r="S31" s="668">
        <f t="shared" si="12"/>
        <v>100</v>
      </c>
      <c r="T31" s="667" t="s">
        <v>14</v>
      </c>
      <c r="U31" s="668">
        <f t="shared" si="13"/>
        <v>100</v>
      </c>
      <c r="V31" s="667" t="s">
        <v>14</v>
      </c>
      <c r="W31" s="668">
        <f t="shared" si="14"/>
        <v>100</v>
      </c>
      <c r="X31" s="1265"/>
      <c r="Y31" s="334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47"/>
      <c r="Q32" s="1263" t="str">
        <f t="shared" si="11"/>
        <v>公共部分装修</v>
      </c>
      <c r="R32" s="667" t="s">
        <v>14</v>
      </c>
      <c r="S32" s="668">
        <f t="shared" si="12"/>
        <v>100</v>
      </c>
      <c r="T32" s="667" t="s">
        <v>14</v>
      </c>
      <c r="U32" s="668">
        <f t="shared" si="13"/>
        <v>100</v>
      </c>
      <c r="V32" s="667" t="s">
        <v>14</v>
      </c>
      <c r="W32" s="668">
        <f t="shared" si="14"/>
        <v>100</v>
      </c>
      <c r="X32" s="1265"/>
      <c r="Y32" s="334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47"/>
      <c r="Q33" s="1263" t="str">
        <f t="shared" si="11"/>
        <v>成新度</v>
      </c>
      <c r="R33" s="667" t="s">
        <v>14</v>
      </c>
      <c r="S33" s="668" t="e">
        <f t="shared" si="12"/>
        <v>#N/A</v>
      </c>
      <c r="T33" s="667" t="s">
        <v>14</v>
      </c>
      <c r="U33" s="668" t="e">
        <f t="shared" si="13"/>
        <v>#N/A</v>
      </c>
      <c r="V33" s="667" t="s">
        <v>14</v>
      </c>
      <c r="W33" s="668" t="e">
        <f t="shared" si="14"/>
        <v>#N/A</v>
      </c>
      <c r="X33" s="1265"/>
      <c r="Y33" s="334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47"/>
      <c r="Q34" s="530" t="str">
        <f t="shared" si="11"/>
        <v>物业管理</v>
      </c>
      <c r="R34" s="664" t="s">
        <v>14</v>
      </c>
      <c r="S34" s="665">
        <f t="shared" si="12"/>
        <v>100</v>
      </c>
      <c r="T34" s="664" t="s">
        <v>14</v>
      </c>
      <c r="U34" s="665">
        <f t="shared" si="13"/>
        <v>100</v>
      </c>
      <c r="V34" s="664" t="s">
        <v>14</v>
      </c>
      <c r="W34" s="665">
        <f t="shared" si="14"/>
        <v>100</v>
      </c>
      <c r="X34" s="666"/>
      <c r="Y34" s="334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47" t="s">
        <v>1696</v>
      </c>
      <c r="Q35" s="1263" t="str">
        <f t="shared" si="11"/>
        <v>市政基础设施</v>
      </c>
      <c r="R35" s="667" t="s">
        <v>14</v>
      </c>
      <c r="S35" s="668">
        <f t="shared" si="12"/>
        <v>100</v>
      </c>
      <c r="T35" s="667" t="s">
        <v>14</v>
      </c>
      <c r="U35" s="668">
        <f t="shared" si="13"/>
        <v>100</v>
      </c>
      <c r="V35" s="667" t="s">
        <v>14</v>
      </c>
      <c r="W35" s="668">
        <f t="shared" si="14"/>
        <v>100</v>
      </c>
      <c r="X35" s="1265"/>
      <c r="Y35" s="334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47"/>
      <c r="Q36" s="1263" t="str">
        <f t="shared" si="11"/>
        <v>内部装修</v>
      </c>
      <c r="R36" s="667" t="s">
        <v>14</v>
      </c>
      <c r="S36" s="668">
        <f t="shared" si="12"/>
        <v>100</v>
      </c>
      <c r="T36" s="667" t="s">
        <v>14</v>
      </c>
      <c r="U36" s="668">
        <f t="shared" si="13"/>
        <v>100</v>
      </c>
      <c r="V36" s="667" t="s">
        <v>14</v>
      </c>
      <c r="W36" s="668">
        <f t="shared" si="14"/>
        <v>100</v>
      </c>
      <c r="X36" s="1265"/>
      <c r="Y36" s="334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47"/>
      <c r="Q37" s="1263" t="str">
        <f t="shared" si="11"/>
        <v>内部装修状况</v>
      </c>
      <c r="R37" s="667" t="s">
        <v>14</v>
      </c>
      <c r="S37" s="668">
        <f t="shared" si="12"/>
        <v>100</v>
      </c>
      <c r="T37" s="667" t="s">
        <v>14</v>
      </c>
      <c r="U37" s="668">
        <f t="shared" si="13"/>
        <v>100</v>
      </c>
      <c r="V37" s="667" t="s">
        <v>14</v>
      </c>
      <c r="W37" s="668">
        <f t="shared" si="14"/>
        <v>100</v>
      </c>
      <c r="X37" s="1265"/>
      <c r="Y37" s="334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47"/>
      <c r="Q38" s="531">
        <f t="shared" si="11"/>
        <v>111</v>
      </c>
      <c r="R38" s="669" t="s">
        <v>14</v>
      </c>
      <c r="S38" s="670">
        <f t="shared" si="12"/>
        <v>100</v>
      </c>
      <c r="T38" s="669" t="s">
        <v>14</v>
      </c>
      <c r="U38" s="670">
        <f t="shared" si="13"/>
        <v>100</v>
      </c>
      <c r="V38" s="669" t="s">
        <v>14</v>
      </c>
      <c r="W38" s="670">
        <f t="shared" si="14"/>
        <v>100</v>
      </c>
      <c r="X38" s="671"/>
      <c r="Y38" s="334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47"/>
      <c r="Q39" s="1263">
        <f t="shared" si="11"/>
        <v>111</v>
      </c>
      <c r="R39" s="667" t="s">
        <v>14</v>
      </c>
      <c r="S39" s="668">
        <f t="shared" si="12"/>
        <v>100</v>
      </c>
      <c r="T39" s="667" t="s">
        <v>14</v>
      </c>
      <c r="U39" s="668">
        <f t="shared" si="13"/>
        <v>100</v>
      </c>
      <c r="V39" s="667" t="s">
        <v>14</v>
      </c>
      <c r="W39" s="668">
        <f t="shared" si="14"/>
        <v>100</v>
      </c>
      <c r="X39" s="1265"/>
      <c r="Y39" s="334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48"/>
      <c r="Q40" s="1263">
        <f t="shared" si="11"/>
        <v>111</v>
      </c>
      <c r="R40" s="667" t="s">
        <v>14</v>
      </c>
      <c r="S40" s="668">
        <f t="shared" si="12"/>
        <v>100</v>
      </c>
      <c r="T40" s="667" t="s">
        <v>14</v>
      </c>
      <c r="U40" s="668">
        <f t="shared" si="13"/>
        <v>100</v>
      </c>
      <c r="V40" s="667" t="s">
        <v>14</v>
      </c>
      <c r="W40" s="668">
        <f t="shared" si="14"/>
        <v>100</v>
      </c>
      <c r="X40" s="1265"/>
      <c r="Y40" s="334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35" t="str">
        <f>A41</f>
        <v>成交单价（元/平方米）</v>
      </c>
      <c r="Q41" s="3335"/>
      <c r="R41" s="3336">
        <f>E41</f>
        <v>0</v>
      </c>
      <c r="S41" s="3336"/>
      <c r="T41" s="3336">
        <f>G41</f>
        <v>0</v>
      </c>
      <c r="U41" s="3336"/>
      <c r="V41" s="3336">
        <f>I41</f>
        <v>0</v>
      </c>
      <c r="W41" s="333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35" t="str">
        <f>A42</f>
        <v>比较价值（元/平方米）</v>
      </c>
      <c r="Q42" s="3335"/>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2023-3</v>
      </c>
      <c r="D52" s="1104">
        <f>EDATE(C52,-1)</f>
        <v>44958</v>
      </c>
      <c r="E52" s="1104">
        <f t="shared" ref="E52:O52" si="16">EDATE(D52,-1)</f>
        <v>44927</v>
      </c>
      <c r="F52" s="1104">
        <f t="shared" si="16"/>
        <v>44896</v>
      </c>
      <c r="G52" s="1104">
        <f t="shared" si="16"/>
        <v>44866</v>
      </c>
      <c r="H52" s="1104">
        <f t="shared" si="16"/>
        <v>44835</v>
      </c>
      <c r="I52" s="1104">
        <f t="shared" si="16"/>
        <v>44805</v>
      </c>
      <c r="J52" s="1104">
        <f t="shared" si="16"/>
        <v>44774</v>
      </c>
      <c r="K52" s="1104">
        <f t="shared" si="16"/>
        <v>44743</v>
      </c>
      <c r="L52" s="1104">
        <f t="shared" si="16"/>
        <v>44713</v>
      </c>
      <c r="M52" s="1104">
        <f t="shared" si="16"/>
        <v>44682</v>
      </c>
      <c r="N52" s="1104">
        <f t="shared" si="16"/>
        <v>44652</v>
      </c>
      <c r="O52" s="1104">
        <f t="shared" si="16"/>
        <v>44621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5" t="s">
        <v>1680</v>
      </c>
      <c r="Q7" s="3376"/>
      <c r="R7" s="664" t="s">
        <v>14</v>
      </c>
      <c r="S7" s="665">
        <f t="shared" ref="S7:S14" si="0">F7</f>
        <v>0</v>
      </c>
      <c r="T7" s="664" t="s">
        <v>14</v>
      </c>
      <c r="U7" s="665">
        <f t="shared" ref="U7:U14" si="1">H7</f>
        <v>0</v>
      </c>
      <c r="V7" s="664" t="s">
        <v>14</v>
      </c>
      <c r="W7" s="665">
        <f t="shared" ref="W7:W14" si="2">J7</f>
        <v>0</v>
      </c>
      <c r="X7" s="666"/>
      <c r="Y7" s="3375" t="s">
        <v>1680</v>
      </c>
      <c r="Z7" s="337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5" t="s">
        <v>1683</v>
      </c>
      <c r="Q8" s="3374"/>
      <c r="R8" s="664" t="s">
        <v>14</v>
      </c>
      <c r="S8" s="665">
        <f t="shared" si="0"/>
        <v>100</v>
      </c>
      <c r="T8" s="664" t="s">
        <v>14</v>
      </c>
      <c r="U8" s="665">
        <f t="shared" si="1"/>
        <v>100</v>
      </c>
      <c r="V8" s="664" t="s">
        <v>14</v>
      </c>
      <c r="W8" s="665">
        <f t="shared" si="2"/>
        <v>100</v>
      </c>
      <c r="X8" s="666"/>
      <c r="Y8" s="3375" t="s">
        <v>1683</v>
      </c>
      <c r="Z8" s="337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35"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35"/>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35"/>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35"/>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42" t="s">
        <v>1691</v>
      </c>
      <c r="Q14" s="1263" t="str">
        <f t="shared" si="6"/>
        <v>交通便捷度</v>
      </c>
      <c r="R14" s="667" t="s">
        <v>14</v>
      </c>
      <c r="S14" s="668">
        <f t="shared" si="0"/>
        <v>100</v>
      </c>
      <c r="T14" s="667" t="s">
        <v>14</v>
      </c>
      <c r="U14" s="668">
        <f t="shared" si="1"/>
        <v>100</v>
      </c>
      <c r="V14" s="667" t="s">
        <v>14</v>
      </c>
      <c r="W14" s="668">
        <f t="shared" si="2"/>
        <v>100</v>
      </c>
      <c r="X14" s="1265"/>
      <c r="Y14" s="334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43"/>
      <c r="Q15" s="1263"/>
      <c r="R15" s="667"/>
      <c r="S15" s="668"/>
      <c r="T15" s="667"/>
      <c r="U15" s="668"/>
      <c r="V15" s="667"/>
      <c r="W15" s="668"/>
      <c r="X15" s="1265"/>
      <c r="Y15" s="3343"/>
      <c r="Z15" s="1264"/>
      <c r="AA15" s="1264">
        <v>1</v>
      </c>
      <c r="AB15" s="1264">
        <v>1</v>
      </c>
      <c r="AC15" s="1264">
        <v>1</v>
      </c>
    </row>
    <row r="16" spans="1:29" ht="15">
      <c r="A16" s="348"/>
      <c r="B16" s="556" t="s">
        <v>1812</v>
      </c>
      <c r="C16" s="1754" t="str">
        <f>IF(B1="工业",估价对象房地状况!G5,估价对象房地状况!C7)</f>
        <v>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43"/>
      <c r="Q16" s="1263" t="str">
        <f>B16</f>
        <v>公共配套设施</v>
      </c>
      <c r="R16" s="667" t="s">
        <v>14</v>
      </c>
      <c r="S16" s="668">
        <f>F16</f>
        <v>100</v>
      </c>
      <c r="T16" s="667" t="s">
        <v>14</v>
      </c>
      <c r="U16" s="668">
        <f>H16</f>
        <v>100</v>
      </c>
      <c r="V16" s="667" t="s">
        <v>14</v>
      </c>
      <c r="W16" s="668">
        <f>J16</f>
        <v>100</v>
      </c>
      <c r="X16" s="1265"/>
      <c r="Y16" s="334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43"/>
      <c r="Q17" s="1263"/>
      <c r="R17" s="667"/>
      <c r="S17" s="668"/>
      <c r="T17" s="667"/>
      <c r="U17" s="668"/>
      <c r="V17" s="667"/>
      <c r="W17" s="668"/>
      <c r="X17" s="1265"/>
      <c r="Y17" s="3343"/>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43"/>
      <c r="Q18" s="1263" t="str">
        <f>B18</f>
        <v>基础设施水平</v>
      </c>
      <c r="R18" s="667" t="s">
        <v>14</v>
      </c>
      <c r="S18" s="668">
        <f>F18</f>
        <v>100</v>
      </c>
      <c r="T18" s="667" t="s">
        <v>14</v>
      </c>
      <c r="U18" s="668">
        <f>H18</f>
        <v>100</v>
      </c>
      <c r="V18" s="667" t="s">
        <v>14</v>
      </c>
      <c r="W18" s="668">
        <f>J18</f>
        <v>100</v>
      </c>
      <c r="X18" s="1265"/>
      <c r="Y18" s="334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43"/>
      <c r="Q19" s="1263"/>
      <c r="R19" s="667"/>
      <c r="S19" s="668"/>
      <c r="T19" s="667"/>
      <c r="U19" s="668"/>
      <c r="V19" s="667"/>
      <c r="W19" s="668"/>
      <c r="X19" s="1265"/>
      <c r="Y19" s="3343"/>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43"/>
      <c r="Q20" s="1263" t="str">
        <f>B20</f>
        <v>自然及人文环境</v>
      </c>
      <c r="R20" s="667" t="s">
        <v>14</v>
      </c>
      <c r="S20" s="668">
        <f>F20</f>
        <v>100</v>
      </c>
      <c r="T20" s="667" t="s">
        <v>14</v>
      </c>
      <c r="U20" s="668">
        <f>H20</f>
        <v>100</v>
      </c>
      <c r="V20" s="667" t="s">
        <v>14</v>
      </c>
      <c r="W20" s="668">
        <f>J20</f>
        <v>100</v>
      </c>
      <c r="X20" s="1265"/>
      <c r="Y20" s="334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43"/>
      <c r="Q21" s="1263"/>
      <c r="R21" s="667"/>
      <c r="S21" s="668"/>
      <c r="T21" s="667"/>
      <c r="U21" s="668"/>
      <c r="V21" s="667"/>
      <c r="W21" s="668"/>
      <c r="X21" s="1265"/>
      <c r="Y21" s="334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43"/>
      <c r="Q22" s="1263" t="str">
        <f>B22</f>
        <v>楼层</v>
      </c>
      <c r="R22" s="667" t="s">
        <v>14</v>
      </c>
      <c r="S22" s="668">
        <f>F22</f>
        <v>100</v>
      </c>
      <c r="T22" s="667" t="s">
        <v>14</v>
      </c>
      <c r="U22" s="668">
        <f>H22</f>
        <v>100</v>
      </c>
      <c r="V22" s="667" t="s">
        <v>14</v>
      </c>
      <c r="W22" s="668">
        <f>J22</f>
        <v>100</v>
      </c>
      <c r="X22" s="1265"/>
      <c r="Y22" s="334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43"/>
      <c r="Q23" s="1263">
        <f>B23</f>
        <v>111</v>
      </c>
      <c r="R23" s="667" t="s">
        <v>14</v>
      </c>
      <c r="S23" s="668">
        <f>F23</f>
        <v>100</v>
      </c>
      <c r="T23" s="667" t="s">
        <v>14</v>
      </c>
      <c r="U23" s="668">
        <f>H23</f>
        <v>100</v>
      </c>
      <c r="V23" s="667" t="s">
        <v>14</v>
      </c>
      <c r="W23" s="668">
        <f>J23</f>
        <v>100</v>
      </c>
      <c r="X23" s="1265"/>
      <c r="Y23" s="334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43"/>
      <c r="Q24" s="1263">
        <f t="shared" ref="Q24:Q36" si="11">B24</f>
        <v>111</v>
      </c>
      <c r="R24" s="667" t="s">
        <v>14</v>
      </c>
      <c r="S24" s="668">
        <f>F24</f>
        <v>100</v>
      </c>
      <c r="T24" s="667" t="s">
        <v>14</v>
      </c>
      <c r="U24" s="668">
        <f>H24</f>
        <v>100</v>
      </c>
      <c r="V24" s="667" t="s">
        <v>14</v>
      </c>
      <c r="W24" s="668">
        <f>J24</f>
        <v>100</v>
      </c>
      <c r="X24" s="1265"/>
      <c r="Y24" s="334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43"/>
      <c r="Q25" s="530">
        <f t="shared" si="11"/>
        <v>111</v>
      </c>
      <c r="R25" s="664" t="s">
        <v>14</v>
      </c>
      <c r="S25" s="665">
        <f>F25</f>
        <v>100</v>
      </c>
      <c r="T25" s="664" t="s">
        <v>14</v>
      </c>
      <c r="U25" s="665">
        <f>H25</f>
        <v>100</v>
      </c>
      <c r="V25" s="664" t="s">
        <v>14</v>
      </c>
      <c r="W25" s="665">
        <f>J25</f>
        <v>100</v>
      </c>
      <c r="X25" s="666"/>
      <c r="Y25" s="334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4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47"/>
      <c r="Q27" s="531" t="str">
        <f t="shared" si="11"/>
        <v>项目停车位配比</v>
      </c>
      <c r="R27" s="669" t="s">
        <v>14</v>
      </c>
      <c r="S27" s="670">
        <f t="shared" si="12"/>
        <v>100</v>
      </c>
      <c r="T27" s="669" t="s">
        <v>14</v>
      </c>
      <c r="U27" s="670">
        <f t="shared" si="13"/>
        <v>100</v>
      </c>
      <c r="V27" s="669" t="s">
        <v>14</v>
      </c>
      <c r="W27" s="670">
        <f t="shared" si="14"/>
        <v>100</v>
      </c>
      <c r="X27" s="671"/>
      <c r="Y27" s="334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47"/>
      <c r="Q28" s="1263" t="str">
        <f t="shared" si="11"/>
        <v>公共部分装修</v>
      </c>
      <c r="R28" s="667" t="s">
        <v>14</v>
      </c>
      <c r="S28" s="668">
        <f t="shared" si="12"/>
        <v>100</v>
      </c>
      <c r="T28" s="667" t="s">
        <v>14</v>
      </c>
      <c r="U28" s="668">
        <f t="shared" si="13"/>
        <v>100</v>
      </c>
      <c r="V28" s="667" t="s">
        <v>14</v>
      </c>
      <c r="W28" s="668">
        <f t="shared" si="14"/>
        <v>100</v>
      </c>
      <c r="X28" s="1265"/>
      <c r="Y28" s="334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47"/>
      <c r="Q29" s="1263" t="str">
        <f t="shared" si="11"/>
        <v>成新率</v>
      </c>
      <c r="R29" s="667" t="s">
        <v>14</v>
      </c>
      <c r="S29" s="668" t="e">
        <f t="shared" si="12"/>
        <v>#N/A</v>
      </c>
      <c r="T29" s="667" t="s">
        <v>14</v>
      </c>
      <c r="U29" s="668" t="e">
        <f t="shared" si="13"/>
        <v>#N/A</v>
      </c>
      <c r="V29" s="667" t="s">
        <v>14</v>
      </c>
      <c r="W29" s="668" t="e">
        <f t="shared" si="14"/>
        <v>#N/A</v>
      </c>
      <c r="X29" s="1265"/>
      <c r="Y29" s="334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47"/>
      <c r="Q30" s="1263" t="str">
        <f t="shared" si="11"/>
        <v>物业等级</v>
      </c>
      <c r="R30" s="667" t="s">
        <v>14</v>
      </c>
      <c r="S30" s="668">
        <f t="shared" si="12"/>
        <v>100</v>
      </c>
      <c r="T30" s="667" t="s">
        <v>14</v>
      </c>
      <c r="U30" s="668">
        <f t="shared" si="13"/>
        <v>100</v>
      </c>
      <c r="V30" s="667" t="s">
        <v>14</v>
      </c>
      <c r="W30" s="668">
        <f t="shared" si="14"/>
        <v>100</v>
      </c>
      <c r="X30" s="1265"/>
      <c r="Y30" s="334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47"/>
      <c r="Q31" s="530" t="str">
        <f t="shared" si="11"/>
        <v>停车位面积</v>
      </c>
      <c r="R31" s="664" t="s">
        <v>14</v>
      </c>
      <c r="S31" s="665" t="e">
        <f t="shared" si="12"/>
        <v>#N/A</v>
      </c>
      <c r="T31" s="664" t="s">
        <v>14</v>
      </c>
      <c r="U31" s="665" t="e">
        <f t="shared" si="13"/>
        <v>#N/A</v>
      </c>
      <c r="V31" s="664" t="s">
        <v>14</v>
      </c>
      <c r="W31" s="665" t="e">
        <f t="shared" si="14"/>
        <v>#N/A</v>
      </c>
      <c r="X31" s="666"/>
      <c r="Y31" s="334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47" t="s">
        <v>1696</v>
      </c>
      <c r="Q32" s="1263" t="str">
        <f t="shared" si="11"/>
        <v>车位类型</v>
      </c>
      <c r="R32" s="667" t="s">
        <v>14</v>
      </c>
      <c r="S32" s="668">
        <f t="shared" si="12"/>
        <v>100</v>
      </c>
      <c r="T32" s="667" t="s">
        <v>14</v>
      </c>
      <c r="U32" s="668">
        <f t="shared" si="13"/>
        <v>100</v>
      </c>
      <c r="V32" s="667" t="s">
        <v>14</v>
      </c>
      <c r="W32" s="668">
        <f t="shared" si="14"/>
        <v>100</v>
      </c>
      <c r="X32" s="1265"/>
      <c r="Y32" s="334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47"/>
      <c r="Q33" s="1263" t="str">
        <f t="shared" si="11"/>
        <v>是否直接入户</v>
      </c>
      <c r="R33" s="667" t="s">
        <v>14</v>
      </c>
      <c r="S33" s="668">
        <f t="shared" si="12"/>
        <v>100</v>
      </c>
      <c r="T33" s="667" t="s">
        <v>14</v>
      </c>
      <c r="U33" s="668">
        <f t="shared" si="13"/>
        <v>100</v>
      </c>
      <c r="V33" s="667" t="s">
        <v>14</v>
      </c>
      <c r="W33" s="668">
        <f t="shared" si="14"/>
        <v>100</v>
      </c>
      <c r="X33" s="1265"/>
      <c r="Y33" s="334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47"/>
      <c r="Q34" s="1263">
        <f t="shared" si="11"/>
        <v>111</v>
      </c>
      <c r="R34" s="667" t="s">
        <v>14</v>
      </c>
      <c r="S34" s="668">
        <f t="shared" si="12"/>
        <v>100</v>
      </c>
      <c r="T34" s="667" t="s">
        <v>14</v>
      </c>
      <c r="U34" s="668">
        <f t="shared" si="13"/>
        <v>100</v>
      </c>
      <c r="V34" s="667" t="s">
        <v>14</v>
      </c>
      <c r="W34" s="668">
        <f t="shared" si="14"/>
        <v>100</v>
      </c>
      <c r="X34" s="1265"/>
      <c r="Y34" s="334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47"/>
      <c r="Q35" s="531">
        <f t="shared" si="11"/>
        <v>111</v>
      </c>
      <c r="R35" s="669" t="s">
        <v>14</v>
      </c>
      <c r="S35" s="670">
        <f t="shared" si="12"/>
        <v>100</v>
      </c>
      <c r="T35" s="669" t="s">
        <v>14</v>
      </c>
      <c r="U35" s="670">
        <f t="shared" si="13"/>
        <v>100</v>
      </c>
      <c r="V35" s="669" t="s">
        <v>14</v>
      </c>
      <c r="W35" s="670">
        <f t="shared" si="14"/>
        <v>100</v>
      </c>
      <c r="X35" s="671"/>
      <c r="Y35" s="334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47"/>
      <c r="Q36" s="1263">
        <f t="shared" si="11"/>
        <v>111</v>
      </c>
      <c r="R36" s="667" t="s">
        <v>14</v>
      </c>
      <c r="S36" s="668">
        <f t="shared" si="12"/>
        <v>100</v>
      </c>
      <c r="T36" s="667" t="s">
        <v>14</v>
      </c>
      <c r="U36" s="668">
        <f t="shared" si="13"/>
        <v>100</v>
      </c>
      <c r="V36" s="667" t="s">
        <v>14</v>
      </c>
      <c r="W36" s="668">
        <f t="shared" si="14"/>
        <v>100</v>
      </c>
      <c r="X36" s="1265"/>
      <c r="Y36" s="3347"/>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335" t="str">
        <f>A37</f>
        <v>成交单价</v>
      </c>
      <c r="Q37" s="3335"/>
      <c r="R37" s="3336">
        <f>E37</f>
        <v>0</v>
      </c>
      <c r="S37" s="3336"/>
      <c r="T37" s="3336">
        <f>G37</f>
        <v>0</v>
      </c>
      <c r="U37" s="3336"/>
      <c r="V37" s="3336">
        <f>I37</f>
        <v>0</v>
      </c>
      <c r="W37" s="333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35" t="str">
        <f>A38</f>
        <v>比较价值（元/平方米）</v>
      </c>
      <c r="Q38" s="3335"/>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3" t="str">
        <f>A39</f>
        <v>估价对象XX用房的比较价值（楼面单价，元/平方米）</v>
      </c>
      <c r="Q39" s="3414"/>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2023-3</v>
      </c>
      <c r="D48" s="1104">
        <f>EDATE(C48,-1)</f>
        <v>44958</v>
      </c>
      <c r="E48" s="1104">
        <f t="shared" ref="E48:O48" si="16">EDATE(D48,-1)</f>
        <v>44927</v>
      </c>
      <c r="F48" s="1104">
        <f t="shared" si="16"/>
        <v>44896</v>
      </c>
      <c r="G48" s="1104">
        <f t="shared" si="16"/>
        <v>44866</v>
      </c>
      <c r="H48" s="1104">
        <f t="shared" si="16"/>
        <v>44835</v>
      </c>
      <c r="I48" s="1104">
        <f t="shared" si="16"/>
        <v>44805</v>
      </c>
      <c r="J48" s="1104">
        <f t="shared" si="16"/>
        <v>44774</v>
      </c>
      <c r="K48" s="1104">
        <f t="shared" si="16"/>
        <v>44743</v>
      </c>
      <c r="L48" s="1104">
        <f t="shared" si="16"/>
        <v>44713</v>
      </c>
      <c r="M48" s="1104">
        <f t="shared" si="16"/>
        <v>44682</v>
      </c>
      <c r="N48" s="1104">
        <f t="shared" si="16"/>
        <v>44652</v>
      </c>
      <c r="O48" s="1104">
        <f t="shared" si="16"/>
        <v>44621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75" t="s">
        <v>1680</v>
      </c>
      <c r="Q7" s="3376"/>
      <c r="R7" s="664" t="s">
        <v>14</v>
      </c>
      <c r="S7" s="665">
        <f t="shared" ref="S7:S14" si="0">F7</f>
        <v>0</v>
      </c>
      <c r="T7" s="664" t="s">
        <v>14</v>
      </c>
      <c r="U7" s="665">
        <f t="shared" ref="U7:U14" si="1">H7</f>
        <v>0</v>
      </c>
      <c r="V7" s="664" t="s">
        <v>14</v>
      </c>
      <c r="W7" s="665">
        <f t="shared" ref="W7:W14" si="2">J7</f>
        <v>0</v>
      </c>
      <c r="X7" s="666"/>
      <c r="Y7" s="3375" t="s">
        <v>1680</v>
      </c>
      <c r="Z7" s="337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5" t="s">
        <v>1683</v>
      </c>
      <c r="Q8" s="3374"/>
      <c r="R8" s="664" t="s">
        <v>14</v>
      </c>
      <c r="S8" s="665">
        <f t="shared" si="0"/>
        <v>100</v>
      </c>
      <c r="T8" s="664" t="s">
        <v>14</v>
      </c>
      <c r="U8" s="665">
        <f t="shared" si="1"/>
        <v>100</v>
      </c>
      <c r="V8" s="664" t="s">
        <v>14</v>
      </c>
      <c r="W8" s="665">
        <f t="shared" si="2"/>
        <v>100</v>
      </c>
      <c r="X8" s="666"/>
      <c r="Y8" s="3375" t="s">
        <v>1683</v>
      </c>
      <c r="Z8" s="337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35"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35"/>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35"/>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35"/>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42" t="s">
        <v>1691</v>
      </c>
      <c r="Q14" s="1263" t="str">
        <f t="shared" si="6"/>
        <v>交通便捷度</v>
      </c>
      <c r="R14" s="667" t="s">
        <v>14</v>
      </c>
      <c r="S14" s="668">
        <f t="shared" si="0"/>
        <v>100</v>
      </c>
      <c r="T14" s="667" t="s">
        <v>14</v>
      </c>
      <c r="U14" s="668">
        <f t="shared" si="1"/>
        <v>100</v>
      </c>
      <c r="V14" s="667" t="s">
        <v>14</v>
      </c>
      <c r="W14" s="668">
        <f t="shared" si="2"/>
        <v>100</v>
      </c>
      <c r="X14" s="1265"/>
      <c r="Y14" s="334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43"/>
      <c r="Q15" s="1263"/>
      <c r="R15" s="667"/>
      <c r="S15" s="668"/>
      <c r="T15" s="667"/>
      <c r="U15" s="668"/>
      <c r="V15" s="667"/>
      <c r="W15" s="668"/>
      <c r="X15" s="1265"/>
      <c r="Y15" s="3343"/>
      <c r="Z15" s="1264"/>
      <c r="AA15" s="1264">
        <v>1</v>
      </c>
      <c r="AB15" s="1264">
        <v>1</v>
      </c>
      <c r="AC15" s="1264">
        <v>1</v>
      </c>
    </row>
    <row r="16" spans="1:29" ht="15">
      <c r="A16" s="367"/>
      <c r="B16" s="390" t="s">
        <v>1812</v>
      </c>
      <c r="C16" s="1754" t="str">
        <f>IF(B1="工业",估价对象房地状况!G5,估价对象房地状况!C7)</f>
        <v>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43"/>
      <c r="Q16" s="1263" t="str">
        <f>B16</f>
        <v>公共配套设施</v>
      </c>
      <c r="R16" s="667" t="s">
        <v>14</v>
      </c>
      <c r="S16" s="668">
        <f>F16</f>
        <v>100</v>
      </c>
      <c r="T16" s="667" t="s">
        <v>14</v>
      </c>
      <c r="U16" s="668">
        <f>H16</f>
        <v>100</v>
      </c>
      <c r="V16" s="667" t="s">
        <v>14</v>
      </c>
      <c r="W16" s="668">
        <f>J16</f>
        <v>100</v>
      </c>
      <c r="X16" s="1265"/>
      <c r="Y16" s="334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43"/>
      <c r="Q17" s="1263"/>
      <c r="R17" s="667"/>
      <c r="S17" s="668"/>
      <c r="T17" s="667"/>
      <c r="U17" s="668"/>
      <c r="V17" s="667"/>
      <c r="W17" s="668"/>
      <c r="X17" s="1265"/>
      <c r="Y17" s="3343"/>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43"/>
      <c r="Q18" s="1263" t="str">
        <f>B18</f>
        <v>基础设施水平</v>
      </c>
      <c r="R18" s="667" t="s">
        <v>14</v>
      </c>
      <c r="S18" s="668">
        <f>F18</f>
        <v>100</v>
      </c>
      <c r="T18" s="667" t="s">
        <v>14</v>
      </c>
      <c r="U18" s="668">
        <f>H18</f>
        <v>100</v>
      </c>
      <c r="V18" s="667" t="s">
        <v>14</v>
      </c>
      <c r="W18" s="668">
        <f>J18</f>
        <v>100</v>
      </c>
      <c r="X18" s="1265"/>
      <c r="Y18" s="334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43"/>
      <c r="Q19" s="1263"/>
      <c r="R19" s="667"/>
      <c r="S19" s="668"/>
      <c r="T19" s="667"/>
      <c r="U19" s="668"/>
      <c r="V19" s="667"/>
      <c r="W19" s="668"/>
      <c r="X19" s="1265"/>
      <c r="Y19" s="3343"/>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43"/>
      <c r="Q20" s="1263" t="str">
        <f>B20</f>
        <v>自然及人文环境</v>
      </c>
      <c r="R20" s="667" t="s">
        <v>14</v>
      </c>
      <c r="S20" s="668">
        <f>F20</f>
        <v>100</v>
      </c>
      <c r="T20" s="667" t="s">
        <v>14</v>
      </c>
      <c r="U20" s="668">
        <f>H20</f>
        <v>100</v>
      </c>
      <c r="V20" s="667" t="s">
        <v>14</v>
      </c>
      <c r="W20" s="668">
        <f>J20</f>
        <v>100</v>
      </c>
      <c r="X20" s="1265"/>
      <c r="Y20" s="334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43"/>
      <c r="Q21" s="1263"/>
      <c r="R21" s="667"/>
      <c r="S21" s="668"/>
      <c r="T21" s="667"/>
      <c r="U21" s="668"/>
      <c r="V21" s="667"/>
      <c r="W21" s="668"/>
      <c r="X21" s="1265"/>
      <c r="Y21" s="334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43"/>
      <c r="Q22" s="1263" t="str">
        <f>B22</f>
        <v>楼层</v>
      </c>
      <c r="R22" s="667" t="s">
        <v>14</v>
      </c>
      <c r="S22" s="668">
        <f>F22</f>
        <v>100</v>
      </c>
      <c r="T22" s="667" t="s">
        <v>14</v>
      </c>
      <c r="U22" s="668">
        <f>H22</f>
        <v>100</v>
      </c>
      <c r="V22" s="667" t="s">
        <v>14</v>
      </c>
      <c r="W22" s="668">
        <f>J22</f>
        <v>100</v>
      </c>
      <c r="X22" s="1265"/>
      <c r="Y22" s="334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43"/>
      <c r="Q23" s="1263">
        <f>B23</f>
        <v>111</v>
      </c>
      <c r="R23" s="667" t="s">
        <v>14</v>
      </c>
      <c r="S23" s="668">
        <f>F23</f>
        <v>100</v>
      </c>
      <c r="T23" s="667" t="s">
        <v>14</v>
      </c>
      <c r="U23" s="668">
        <f>H23</f>
        <v>100</v>
      </c>
      <c r="V23" s="667" t="s">
        <v>14</v>
      </c>
      <c r="W23" s="668">
        <f>J23</f>
        <v>100</v>
      </c>
      <c r="X23" s="1265"/>
      <c r="Y23" s="334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43"/>
      <c r="Q24" s="1263">
        <f t="shared" ref="Q24:Q34" si="11">B24</f>
        <v>111</v>
      </c>
      <c r="R24" s="667" t="s">
        <v>14</v>
      </c>
      <c r="S24" s="668">
        <f>F24</f>
        <v>100</v>
      </c>
      <c r="T24" s="667" t="s">
        <v>14</v>
      </c>
      <c r="U24" s="668">
        <f>H24</f>
        <v>100</v>
      </c>
      <c r="V24" s="667" t="s">
        <v>14</v>
      </c>
      <c r="W24" s="668">
        <f>J24</f>
        <v>100</v>
      </c>
      <c r="X24" s="1265"/>
      <c r="Y24" s="334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43"/>
      <c r="Q25" s="530">
        <f t="shared" si="11"/>
        <v>111</v>
      </c>
      <c r="R25" s="664" t="s">
        <v>14</v>
      </c>
      <c r="S25" s="665">
        <f>F25</f>
        <v>100</v>
      </c>
      <c r="T25" s="664" t="s">
        <v>14</v>
      </c>
      <c r="U25" s="665">
        <f>H25</f>
        <v>100</v>
      </c>
      <c r="V25" s="664" t="s">
        <v>14</v>
      </c>
      <c r="W25" s="665">
        <f>J25</f>
        <v>100</v>
      </c>
      <c r="X25" s="666"/>
      <c r="Y25" s="334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4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47"/>
      <c r="Q27" s="531" t="str">
        <f t="shared" si="11"/>
        <v>成新率</v>
      </c>
      <c r="R27" s="669" t="s">
        <v>14</v>
      </c>
      <c r="S27" s="670" t="e">
        <f t="shared" si="12"/>
        <v>#N/A</v>
      </c>
      <c r="T27" s="669" t="s">
        <v>14</v>
      </c>
      <c r="U27" s="670" t="e">
        <f t="shared" si="13"/>
        <v>#N/A</v>
      </c>
      <c r="V27" s="669" t="s">
        <v>14</v>
      </c>
      <c r="W27" s="670" t="e">
        <f t="shared" si="14"/>
        <v>#N/A</v>
      </c>
      <c r="X27" s="671"/>
      <c r="Y27" s="334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47"/>
      <c r="Q28" s="1263" t="str">
        <f t="shared" si="11"/>
        <v>物业等级</v>
      </c>
      <c r="R28" s="667" t="s">
        <v>14</v>
      </c>
      <c r="S28" s="668">
        <f t="shared" si="12"/>
        <v>100</v>
      </c>
      <c r="T28" s="667" t="s">
        <v>14</v>
      </c>
      <c r="U28" s="668">
        <f t="shared" si="13"/>
        <v>100</v>
      </c>
      <c r="V28" s="667" t="s">
        <v>14</v>
      </c>
      <c r="W28" s="668">
        <f t="shared" si="14"/>
        <v>100</v>
      </c>
      <c r="X28" s="1265"/>
      <c r="Y28" s="334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47"/>
      <c r="Q29" s="1263" t="str">
        <f t="shared" si="11"/>
        <v>有无电梯</v>
      </c>
      <c r="R29" s="667" t="s">
        <v>14</v>
      </c>
      <c r="S29" s="668">
        <f t="shared" si="12"/>
        <v>100</v>
      </c>
      <c r="T29" s="667" t="s">
        <v>14</v>
      </c>
      <c r="U29" s="668">
        <f t="shared" si="13"/>
        <v>100</v>
      </c>
      <c r="V29" s="667" t="s">
        <v>14</v>
      </c>
      <c r="W29" s="668">
        <f t="shared" si="14"/>
        <v>100</v>
      </c>
      <c r="X29" s="1265"/>
      <c r="Y29" s="334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47"/>
      <c r="Q30" s="1263" t="str">
        <f t="shared" si="11"/>
        <v>建筑面积</v>
      </c>
      <c r="R30" s="667" t="s">
        <v>14</v>
      </c>
      <c r="S30" s="668" t="e">
        <f t="shared" si="12"/>
        <v>#N/A</v>
      </c>
      <c r="T30" s="667" t="s">
        <v>14</v>
      </c>
      <c r="U30" s="668" t="e">
        <f t="shared" si="13"/>
        <v>#N/A</v>
      </c>
      <c r="V30" s="667" t="s">
        <v>14</v>
      </c>
      <c r="W30" s="668" t="e">
        <f t="shared" si="14"/>
        <v>#N/A</v>
      </c>
      <c r="X30" s="1265"/>
      <c r="Y30" s="334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47"/>
      <c r="Q31" s="530" t="str">
        <f t="shared" si="11"/>
        <v>是否封闭</v>
      </c>
      <c r="R31" s="664" t="s">
        <v>14</v>
      </c>
      <c r="S31" s="665">
        <f t="shared" si="12"/>
        <v>100</v>
      </c>
      <c r="T31" s="664" t="s">
        <v>14</v>
      </c>
      <c r="U31" s="665">
        <f t="shared" si="13"/>
        <v>100</v>
      </c>
      <c r="V31" s="664" t="s">
        <v>14</v>
      </c>
      <c r="W31" s="665">
        <f t="shared" si="14"/>
        <v>100</v>
      </c>
      <c r="X31" s="666"/>
      <c r="Y31" s="334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47" t="s">
        <v>1696</v>
      </c>
      <c r="Q32" s="1263">
        <f t="shared" si="11"/>
        <v>111</v>
      </c>
      <c r="R32" s="667" t="s">
        <v>14</v>
      </c>
      <c r="S32" s="668">
        <f t="shared" si="12"/>
        <v>100</v>
      </c>
      <c r="T32" s="667" t="s">
        <v>14</v>
      </c>
      <c r="U32" s="668">
        <f t="shared" si="13"/>
        <v>100</v>
      </c>
      <c r="V32" s="667" t="s">
        <v>14</v>
      </c>
      <c r="W32" s="668">
        <f t="shared" si="14"/>
        <v>100</v>
      </c>
      <c r="X32" s="1265"/>
      <c r="Y32" s="334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47"/>
      <c r="Q33" s="1263">
        <f t="shared" si="11"/>
        <v>111</v>
      </c>
      <c r="R33" s="667" t="s">
        <v>14</v>
      </c>
      <c r="S33" s="668">
        <f t="shared" si="12"/>
        <v>100</v>
      </c>
      <c r="T33" s="667" t="s">
        <v>14</v>
      </c>
      <c r="U33" s="668">
        <f t="shared" si="13"/>
        <v>100</v>
      </c>
      <c r="V33" s="667" t="s">
        <v>14</v>
      </c>
      <c r="W33" s="668">
        <f t="shared" si="14"/>
        <v>100</v>
      </c>
      <c r="X33" s="1265"/>
      <c r="Y33" s="334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47"/>
      <c r="Q34" s="1263">
        <f t="shared" si="11"/>
        <v>111</v>
      </c>
      <c r="R34" s="667" t="s">
        <v>14</v>
      </c>
      <c r="S34" s="668">
        <f t="shared" si="12"/>
        <v>100</v>
      </c>
      <c r="T34" s="667" t="s">
        <v>14</v>
      </c>
      <c r="U34" s="668">
        <f t="shared" si="13"/>
        <v>100</v>
      </c>
      <c r="V34" s="667" t="s">
        <v>14</v>
      </c>
      <c r="W34" s="668">
        <f t="shared" si="14"/>
        <v>100</v>
      </c>
      <c r="X34" s="1265"/>
      <c r="Y34" s="334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35" t="str">
        <f>A35</f>
        <v>成交单价（元/平方米）</v>
      </c>
      <c r="Q35" s="3335"/>
      <c r="R35" s="3336">
        <f>E35</f>
        <v>0</v>
      </c>
      <c r="S35" s="3336"/>
      <c r="T35" s="3336">
        <f>G35</f>
        <v>0</v>
      </c>
      <c r="U35" s="3336"/>
      <c r="V35" s="3336">
        <f>I35</f>
        <v>0</v>
      </c>
      <c r="W35" s="333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35" t="str">
        <f>A36</f>
        <v>比较价值（元/平方米）</v>
      </c>
      <c r="Q36" s="3335"/>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3" t="str">
        <f>A37</f>
        <v>估价对象XX用房的比较价值（楼面单价，元/平方米）</v>
      </c>
      <c r="Q37" s="3414"/>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2023-3</v>
      </c>
      <c r="D46" s="1104">
        <f>EDATE(C46,-1)</f>
        <v>44958</v>
      </c>
      <c r="E46" s="1104">
        <f t="shared" ref="E46:O46" si="16">EDATE(D46,-1)</f>
        <v>44927</v>
      </c>
      <c r="F46" s="1104">
        <f t="shared" si="16"/>
        <v>44896</v>
      </c>
      <c r="G46" s="1104">
        <f t="shared" si="16"/>
        <v>44866</v>
      </c>
      <c r="H46" s="1104">
        <f t="shared" si="16"/>
        <v>44835</v>
      </c>
      <c r="I46" s="1104">
        <f t="shared" si="16"/>
        <v>44805</v>
      </c>
      <c r="J46" s="1104">
        <f t="shared" si="16"/>
        <v>44774</v>
      </c>
      <c r="K46" s="1104">
        <f t="shared" si="16"/>
        <v>44743</v>
      </c>
      <c r="L46" s="1104">
        <f t="shared" si="16"/>
        <v>44713</v>
      </c>
      <c r="M46" s="1104">
        <f t="shared" si="16"/>
        <v>44682</v>
      </c>
      <c r="N46" s="1104">
        <f t="shared" si="16"/>
        <v>44652</v>
      </c>
      <c r="O46" s="1104">
        <f t="shared" si="16"/>
        <v>44621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75" t="s">
        <v>1680</v>
      </c>
      <c r="Q7" s="3376"/>
      <c r="R7" s="664" t="s">
        <v>14</v>
      </c>
      <c r="S7" s="665">
        <f t="shared" ref="S7:S15" si="0">F7</f>
        <v>0</v>
      </c>
      <c r="T7" s="664" t="s">
        <v>14</v>
      </c>
      <c r="U7" s="665">
        <f t="shared" ref="U7:U15" si="1">H7</f>
        <v>0</v>
      </c>
      <c r="V7" s="664" t="s">
        <v>14</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5" t="s">
        <v>1683</v>
      </c>
      <c r="Q8" s="3374"/>
      <c r="R8" s="664" t="s">
        <v>14</v>
      </c>
      <c r="S8" s="665">
        <f t="shared" si="0"/>
        <v>0</v>
      </c>
      <c r="T8" s="664" t="s">
        <v>14</v>
      </c>
      <c r="U8" s="665">
        <f t="shared" si="1"/>
        <v>0</v>
      </c>
      <c r="V8" s="664" t="s">
        <v>14</v>
      </c>
      <c r="W8" s="665">
        <f t="shared" si="2"/>
        <v>0</v>
      </c>
      <c r="X8" s="666"/>
      <c r="Y8" s="3375" t="s">
        <v>1683</v>
      </c>
      <c r="Z8" s="337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35"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9"/>
      <c r="M10" s="2490"/>
      <c r="N10" s="2490"/>
      <c r="O10" s="2541"/>
      <c r="P10" s="3335"/>
      <c r="Q10" s="530" t="str">
        <f t="shared" si="6"/>
        <v>土地使用年限（年）</v>
      </c>
      <c r="R10" s="664" t="s">
        <v>14</v>
      </c>
      <c r="S10" s="665">
        <f t="shared" si="0"/>
        <v>120</v>
      </c>
      <c r="T10" s="664" t="s">
        <v>14</v>
      </c>
      <c r="U10" s="665">
        <f t="shared" si="1"/>
        <v>120</v>
      </c>
      <c r="V10" s="664" t="s">
        <v>14</v>
      </c>
      <c r="W10" s="665">
        <f t="shared" si="2"/>
        <v>120</v>
      </c>
      <c r="X10" s="666"/>
      <c r="Y10" s="324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35"/>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35"/>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35"/>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42" t="s">
        <v>1691</v>
      </c>
      <c r="Q15" s="1263" t="str">
        <f t="shared" si="6"/>
        <v>居住社区成熟度</v>
      </c>
      <c r="R15" s="667" t="s">
        <v>14</v>
      </c>
      <c r="S15" s="668">
        <f t="shared" si="0"/>
        <v>100</v>
      </c>
      <c r="T15" s="667" t="s">
        <v>14</v>
      </c>
      <c r="U15" s="668">
        <f t="shared" si="1"/>
        <v>100</v>
      </c>
      <c r="V15" s="667" t="s">
        <v>14</v>
      </c>
      <c r="W15" s="668">
        <f t="shared" si="2"/>
        <v>100</v>
      </c>
      <c r="X15" s="1265"/>
      <c r="Y15" s="334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43"/>
      <c r="Q16" s="1263"/>
      <c r="R16" s="667"/>
      <c r="S16" s="668"/>
      <c r="T16" s="667"/>
      <c r="U16" s="668"/>
      <c r="V16" s="667"/>
      <c r="W16" s="668"/>
      <c r="X16" s="1265"/>
      <c r="Y16" s="334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43"/>
      <c r="Q17" s="1263" t="str">
        <f>B17</f>
        <v>商业繁华度</v>
      </c>
      <c r="R17" s="667" t="s">
        <v>14</v>
      </c>
      <c r="S17" s="668">
        <f>F17</f>
        <v>100</v>
      </c>
      <c r="T17" s="667" t="s">
        <v>14</v>
      </c>
      <c r="U17" s="668">
        <f>H17</f>
        <v>100</v>
      </c>
      <c r="V17" s="667" t="s">
        <v>14</v>
      </c>
      <c r="W17" s="668">
        <f>J17</f>
        <v>100</v>
      </c>
      <c r="X17" s="1265"/>
      <c r="Y17" s="334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43"/>
      <c r="Q18" s="1263"/>
      <c r="R18" s="667"/>
      <c r="S18" s="668"/>
      <c r="T18" s="667"/>
      <c r="U18" s="668"/>
      <c r="V18" s="667"/>
      <c r="W18" s="668"/>
      <c r="X18" s="1265"/>
      <c r="Y18" s="3343"/>
      <c r="Z18" s="1264"/>
      <c r="AA18" s="1264">
        <v>1</v>
      </c>
      <c r="AB18" s="1264">
        <v>1</v>
      </c>
      <c r="AC18" s="1264">
        <v>1</v>
      </c>
    </row>
    <row r="19" spans="1:29" ht="15">
      <c r="A19" s="367"/>
      <c r="B19" s="390" t="s">
        <v>1811</v>
      </c>
      <c r="C19" s="1806" t="str">
        <f>估价对象房地状况!C17</f>
        <v>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43"/>
      <c r="Q19" s="1263" t="str">
        <f>B19</f>
        <v>办公集聚程度</v>
      </c>
      <c r="R19" s="667" t="s">
        <v>14</v>
      </c>
      <c r="S19" s="668">
        <f>F19</f>
        <v>100</v>
      </c>
      <c r="T19" s="667" t="s">
        <v>14</v>
      </c>
      <c r="U19" s="668">
        <f>H19</f>
        <v>100</v>
      </c>
      <c r="V19" s="667" t="s">
        <v>14</v>
      </c>
      <c r="W19" s="668">
        <f>J19</f>
        <v>100</v>
      </c>
      <c r="X19" s="1265"/>
      <c r="Y19" s="334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43"/>
      <c r="Q20" s="1263"/>
      <c r="R20" s="667"/>
      <c r="S20" s="668"/>
      <c r="T20" s="667"/>
      <c r="U20" s="668"/>
      <c r="V20" s="667"/>
      <c r="W20" s="668"/>
      <c r="X20" s="1265"/>
      <c r="Y20" s="3343"/>
      <c r="Z20" s="1264"/>
      <c r="AA20" s="1264">
        <v>1</v>
      </c>
      <c r="AB20" s="1264">
        <v>1</v>
      </c>
      <c r="AC20" s="1264">
        <v>1</v>
      </c>
    </row>
    <row r="21" spans="1:29" ht="15">
      <c r="A21" s="367"/>
      <c r="B21" s="390" t="s">
        <v>1833</v>
      </c>
      <c r="C21" s="1754" t="str">
        <f>估价对象房地状况!C18</f>
        <v>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43"/>
      <c r="Q21" s="1263" t="str">
        <f>B21</f>
        <v>交通便捷度</v>
      </c>
      <c r="R21" s="667" t="s">
        <v>14</v>
      </c>
      <c r="S21" s="668">
        <f>F21</f>
        <v>100</v>
      </c>
      <c r="T21" s="667" t="s">
        <v>14</v>
      </c>
      <c r="U21" s="668">
        <f>H21</f>
        <v>100</v>
      </c>
      <c r="V21" s="667" t="s">
        <v>14</v>
      </c>
      <c r="W21" s="668">
        <f>J21</f>
        <v>100</v>
      </c>
      <c r="X21" s="1265"/>
      <c r="Y21" s="334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43"/>
      <c r="Q22" s="1263"/>
      <c r="R22" s="667"/>
      <c r="S22" s="668"/>
      <c r="T22" s="667"/>
      <c r="U22" s="668"/>
      <c r="V22" s="667"/>
      <c r="W22" s="668"/>
      <c r="X22" s="1265"/>
      <c r="Y22" s="334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43"/>
      <c r="Q23" s="1263" t="str">
        <f t="shared" ref="Q23:Q37" si="8">B23</f>
        <v>区域土地利用方向</v>
      </c>
      <c r="R23" s="667" t="s">
        <v>14</v>
      </c>
      <c r="S23" s="668">
        <f>F23</f>
        <v>100</v>
      </c>
      <c r="T23" s="667" t="s">
        <v>14</v>
      </c>
      <c r="U23" s="668">
        <f>H23</f>
        <v>100</v>
      </c>
      <c r="V23" s="667" t="s">
        <v>14</v>
      </c>
      <c r="W23" s="668">
        <f>J23</f>
        <v>100</v>
      </c>
      <c r="X23" s="1265"/>
      <c r="Y23" s="334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43"/>
      <c r="Q24" s="1263"/>
      <c r="R24" s="667"/>
      <c r="S24" s="668"/>
      <c r="T24" s="667"/>
      <c r="U24" s="668"/>
      <c r="V24" s="667"/>
      <c r="W24" s="668"/>
      <c r="X24" s="1265"/>
      <c r="Y24" s="3343"/>
      <c r="Z24" s="1264"/>
      <c r="AA24" s="1264"/>
      <c r="AB24" s="1264"/>
      <c r="AC24" s="1264"/>
    </row>
    <row r="25" spans="1:29" ht="27">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43"/>
      <c r="Q25" s="1263" t="str">
        <f t="shared" si="8"/>
        <v>自然及人文环境状况</v>
      </c>
      <c r="R25" s="667" t="s">
        <v>14</v>
      </c>
      <c r="S25" s="668">
        <f>F25</f>
        <v>100</v>
      </c>
      <c r="T25" s="667" t="s">
        <v>14</v>
      </c>
      <c r="U25" s="668">
        <f>H25</f>
        <v>100</v>
      </c>
      <c r="V25" s="667" t="s">
        <v>14</v>
      </c>
      <c r="W25" s="668">
        <f>J25</f>
        <v>100</v>
      </c>
      <c r="X25" s="1265"/>
      <c r="Y25" s="334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43"/>
      <c r="Q26" s="1263"/>
      <c r="R26" s="667"/>
      <c r="S26" s="668"/>
      <c r="T26" s="667"/>
      <c r="U26" s="668"/>
      <c r="V26" s="667"/>
      <c r="W26" s="668"/>
      <c r="X26" s="1265"/>
      <c r="Y26" s="3343"/>
      <c r="Z26" s="1264"/>
      <c r="AA26" s="1264">
        <v>1</v>
      </c>
      <c r="AB26" s="1264">
        <v>1</v>
      </c>
      <c r="AC26" s="1264">
        <v>1</v>
      </c>
    </row>
    <row r="27" spans="1:29" s="102" customFormat="1" ht="15">
      <c r="A27" s="443"/>
      <c r="B27" s="586" t="s">
        <v>1778</v>
      </c>
      <c r="C27" s="1754" t="str">
        <f>估价对象房地状况!C21</f>
        <v>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43"/>
      <c r="Q27" s="530" t="str">
        <f t="shared" si="8"/>
        <v>公共配套设施</v>
      </c>
      <c r="R27" s="664" t="s">
        <v>14</v>
      </c>
      <c r="S27" s="665">
        <f>F27</f>
        <v>100</v>
      </c>
      <c r="T27" s="664" t="s">
        <v>14</v>
      </c>
      <c r="U27" s="665">
        <f>H27</f>
        <v>100</v>
      </c>
      <c r="V27" s="664" t="s">
        <v>14</v>
      </c>
      <c r="W27" s="665">
        <f>J27</f>
        <v>100</v>
      </c>
      <c r="X27" s="666"/>
      <c r="Y27" s="334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43"/>
      <c r="Q28" s="530"/>
      <c r="R28" s="664"/>
      <c r="S28" s="665"/>
      <c r="T28" s="664"/>
      <c r="U28" s="665"/>
      <c r="V28" s="664"/>
      <c r="W28" s="665"/>
      <c r="X28" s="666"/>
      <c r="Y28" s="3343"/>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43"/>
      <c r="Q29" s="530" t="str">
        <f t="shared" ref="Q29" si="9">B29</f>
        <v>基础设施水平</v>
      </c>
      <c r="R29" s="664" t="s">
        <v>14</v>
      </c>
      <c r="S29" s="665">
        <f>F29</f>
        <v>100</v>
      </c>
      <c r="T29" s="664" t="s">
        <v>14</v>
      </c>
      <c r="U29" s="665">
        <f>H29</f>
        <v>100</v>
      </c>
      <c r="V29" s="664" t="s">
        <v>14</v>
      </c>
      <c r="W29" s="665">
        <f>J29</f>
        <v>100</v>
      </c>
      <c r="X29" s="666"/>
      <c r="Y29" s="334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43"/>
      <c r="Q30" s="530"/>
      <c r="R30" s="664"/>
      <c r="S30" s="665"/>
      <c r="T30" s="664"/>
      <c r="U30" s="665"/>
      <c r="V30" s="664"/>
      <c r="W30" s="665"/>
      <c r="X30" s="666"/>
      <c r="Y30" s="334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4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43"/>
      <c r="Q32" s="1263" t="str">
        <f t="shared" si="8"/>
        <v>毗邻道路的类型与等级</v>
      </c>
      <c r="R32" s="667" t="s">
        <v>14</v>
      </c>
      <c r="S32" s="668">
        <f t="shared" si="10"/>
        <v>100</v>
      </c>
      <c r="T32" s="667" t="s">
        <v>14</v>
      </c>
      <c r="U32" s="668">
        <f t="shared" si="11"/>
        <v>100</v>
      </c>
      <c r="V32" s="667" t="s">
        <v>14</v>
      </c>
      <c r="W32" s="668">
        <f t="shared" si="12"/>
        <v>100</v>
      </c>
      <c r="X32" s="1265"/>
      <c r="Y32" s="334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43"/>
      <c r="Q33" s="1263"/>
      <c r="R33" s="667"/>
      <c r="S33" s="668"/>
      <c r="T33" s="667"/>
      <c r="U33" s="668"/>
      <c r="V33" s="667"/>
      <c r="W33" s="668"/>
      <c r="X33" s="1265"/>
      <c r="Y33" s="334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43"/>
      <c r="Q34" s="1263" t="str">
        <f t="shared" si="8"/>
        <v>土地级别</v>
      </c>
      <c r="R34" s="667" t="s">
        <v>14</v>
      </c>
      <c r="S34" s="668">
        <f t="shared" si="10"/>
        <v>100</v>
      </c>
      <c r="T34" s="667" t="s">
        <v>14</v>
      </c>
      <c r="U34" s="668">
        <f t="shared" si="11"/>
        <v>100</v>
      </c>
      <c r="V34" s="667" t="s">
        <v>14</v>
      </c>
      <c r="W34" s="668">
        <f t="shared" si="12"/>
        <v>100</v>
      </c>
      <c r="X34" s="1265"/>
      <c r="Y34" s="334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43"/>
      <c r="Q35" s="1263">
        <f t="shared" si="8"/>
        <v>111</v>
      </c>
      <c r="R35" s="667" t="s">
        <v>14</v>
      </c>
      <c r="S35" s="668">
        <f t="shared" si="10"/>
        <v>100</v>
      </c>
      <c r="T35" s="667" t="s">
        <v>14</v>
      </c>
      <c r="U35" s="668">
        <f t="shared" si="11"/>
        <v>100</v>
      </c>
      <c r="V35" s="667" t="s">
        <v>14</v>
      </c>
      <c r="W35" s="668">
        <f t="shared" si="12"/>
        <v>100</v>
      </c>
      <c r="X35" s="1265"/>
      <c r="Y35" s="334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3" t="s">
        <v>1696</v>
      </c>
      <c r="Q36" s="1263">
        <f t="shared" si="8"/>
        <v>111</v>
      </c>
      <c r="R36" s="667" t="s">
        <v>14</v>
      </c>
      <c r="S36" s="668">
        <f t="shared" si="10"/>
        <v>100</v>
      </c>
      <c r="T36" s="667" t="s">
        <v>14</v>
      </c>
      <c r="U36" s="668">
        <f t="shared" si="11"/>
        <v>100</v>
      </c>
      <c r="V36" s="667" t="s">
        <v>14</v>
      </c>
      <c r="W36" s="668">
        <f t="shared" si="12"/>
        <v>100</v>
      </c>
      <c r="X36" s="1265"/>
      <c r="Y36" s="334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47"/>
      <c r="Q37" s="1263">
        <f t="shared" si="8"/>
        <v>111</v>
      </c>
      <c r="R37" s="669" t="s">
        <v>14</v>
      </c>
      <c r="S37" s="670">
        <f t="shared" si="10"/>
        <v>100</v>
      </c>
      <c r="T37" s="669" t="s">
        <v>14</v>
      </c>
      <c r="U37" s="670">
        <f t="shared" si="11"/>
        <v>100</v>
      </c>
      <c r="V37" s="669" t="s">
        <v>14</v>
      </c>
      <c r="W37" s="670">
        <f t="shared" si="12"/>
        <v>100</v>
      </c>
      <c r="X37" s="671"/>
      <c r="Y37" s="334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47"/>
      <c r="Q38" s="1263" t="str">
        <f>B38</f>
        <v>宗地面积</v>
      </c>
      <c r="R38" s="667" t="s">
        <v>14</v>
      </c>
      <c r="S38" s="668" t="e">
        <f t="shared" si="10"/>
        <v>#N/A</v>
      </c>
      <c r="T38" s="667" t="s">
        <v>14</v>
      </c>
      <c r="U38" s="668" t="e">
        <f t="shared" si="11"/>
        <v>#N/A</v>
      </c>
      <c r="V38" s="667" t="s">
        <v>14</v>
      </c>
      <c r="W38" s="668" t="e">
        <f t="shared" si="12"/>
        <v>#N/A</v>
      </c>
      <c r="X38" s="1265"/>
      <c r="Y38" s="334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47"/>
      <c r="Q39" s="1263" t="str">
        <f t="shared" ref="Q39:Q45" si="14">B39</f>
        <v>宗地形状</v>
      </c>
      <c r="R39" s="667" t="s">
        <v>14</v>
      </c>
      <c r="S39" s="668">
        <f t="shared" si="10"/>
        <v>100</v>
      </c>
      <c r="T39" s="667" t="s">
        <v>14</v>
      </c>
      <c r="U39" s="668">
        <f t="shared" si="11"/>
        <v>100</v>
      </c>
      <c r="V39" s="667" t="s">
        <v>14</v>
      </c>
      <c r="W39" s="668">
        <f t="shared" si="12"/>
        <v>100</v>
      </c>
      <c r="X39" s="1265"/>
      <c r="Y39" s="334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47"/>
      <c r="Q40" s="1263" t="str">
        <f t="shared" si="14"/>
        <v>临街宽度及深度</v>
      </c>
      <c r="R40" s="667" t="s">
        <v>14</v>
      </c>
      <c r="S40" s="668">
        <f t="shared" si="10"/>
        <v>100</v>
      </c>
      <c r="T40" s="667" t="s">
        <v>14</v>
      </c>
      <c r="U40" s="668">
        <f t="shared" si="11"/>
        <v>100</v>
      </c>
      <c r="V40" s="667" t="s">
        <v>14</v>
      </c>
      <c r="W40" s="668">
        <f t="shared" si="12"/>
        <v>100</v>
      </c>
      <c r="X40" s="1265"/>
      <c r="Y40" s="334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47"/>
      <c r="Q41" s="1263" t="str">
        <f t="shared" si="14"/>
        <v>宗地开发程度</v>
      </c>
      <c r="R41" s="664" t="s">
        <v>14</v>
      </c>
      <c r="S41" s="665">
        <f t="shared" si="10"/>
        <v>100</v>
      </c>
      <c r="T41" s="664" t="s">
        <v>14</v>
      </c>
      <c r="U41" s="665">
        <f t="shared" si="11"/>
        <v>100</v>
      </c>
      <c r="V41" s="664" t="s">
        <v>14</v>
      </c>
      <c r="W41" s="665">
        <f t="shared" si="12"/>
        <v>100</v>
      </c>
      <c r="X41" s="666"/>
      <c r="Y41" s="334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47" t="s">
        <v>1696</v>
      </c>
      <c r="Q42" s="1263" t="str">
        <f t="shared" si="14"/>
        <v>工程地质条件</v>
      </c>
      <c r="R42" s="667" t="s">
        <v>14</v>
      </c>
      <c r="S42" s="668">
        <f t="shared" si="10"/>
        <v>100</v>
      </c>
      <c r="T42" s="667" t="s">
        <v>14</v>
      </c>
      <c r="U42" s="668">
        <f t="shared" si="11"/>
        <v>100</v>
      </c>
      <c r="V42" s="667" t="s">
        <v>14</v>
      </c>
      <c r="W42" s="668">
        <f t="shared" si="12"/>
        <v>100</v>
      </c>
      <c r="X42" s="1265"/>
      <c r="Y42" s="334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47"/>
      <c r="Q43" s="1263">
        <f t="shared" si="14"/>
        <v>111</v>
      </c>
      <c r="R43" s="667" t="s">
        <v>14</v>
      </c>
      <c r="S43" s="668">
        <f t="shared" si="10"/>
        <v>100</v>
      </c>
      <c r="T43" s="667" t="s">
        <v>14</v>
      </c>
      <c r="U43" s="668">
        <f t="shared" si="11"/>
        <v>100</v>
      </c>
      <c r="V43" s="667" t="s">
        <v>14</v>
      </c>
      <c r="W43" s="668">
        <f t="shared" si="12"/>
        <v>100</v>
      </c>
      <c r="X43" s="1265"/>
      <c r="Y43" s="334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47"/>
      <c r="Q44" s="1263">
        <f t="shared" si="14"/>
        <v>111</v>
      </c>
      <c r="R44" s="667" t="s">
        <v>14</v>
      </c>
      <c r="S44" s="668">
        <f t="shared" si="10"/>
        <v>100</v>
      </c>
      <c r="T44" s="667" t="s">
        <v>14</v>
      </c>
      <c r="U44" s="668">
        <f t="shared" si="11"/>
        <v>100</v>
      </c>
      <c r="V44" s="667" t="s">
        <v>14</v>
      </c>
      <c r="W44" s="668">
        <f t="shared" si="12"/>
        <v>100</v>
      </c>
      <c r="X44" s="1265"/>
      <c r="Y44" s="334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47"/>
      <c r="Q45" s="1263">
        <f t="shared" si="14"/>
        <v>111</v>
      </c>
      <c r="R45" s="669" t="s">
        <v>14</v>
      </c>
      <c r="S45" s="670">
        <f t="shared" si="10"/>
        <v>100</v>
      </c>
      <c r="T45" s="669" t="s">
        <v>14</v>
      </c>
      <c r="U45" s="670">
        <f t="shared" si="11"/>
        <v>100</v>
      </c>
      <c r="V45" s="669" t="s">
        <v>14</v>
      </c>
      <c r="W45" s="670">
        <f t="shared" si="12"/>
        <v>100</v>
      </c>
      <c r="X45" s="671"/>
      <c r="Y45" s="334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35" t="str">
        <f>A46</f>
        <v>成交单价</v>
      </c>
      <c r="Q46" s="3335"/>
      <c r="R46" s="3336">
        <f>E46</f>
        <v>0</v>
      </c>
      <c r="S46" s="3336"/>
      <c r="T46" s="3336">
        <f>G46</f>
        <v>0</v>
      </c>
      <c r="U46" s="3336"/>
      <c r="V46" s="3336">
        <f>I46</f>
        <v>0</v>
      </c>
      <c r="W46" s="333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35" t="str">
        <f>A47</f>
        <v>比较价值（元/平方米）</v>
      </c>
      <c r="Q47" s="3335"/>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3" t="str">
        <f>A48</f>
        <v>估价对象XX用房的比较价值（楼面单价，元/平方米）</v>
      </c>
      <c r="Q48" s="3414"/>
      <c r="R48" s="3426" t="e">
        <f>ROUND(IF(D47="简单平均",AVERAGE(R47:W47),R47*F47+T47*H47+V47*J47),0)</f>
        <v>#DIV/0!</v>
      </c>
      <c r="S48" s="3426"/>
      <c r="T48" s="3426"/>
      <c r="U48" s="3426"/>
      <c r="V48" s="3426"/>
      <c r="W48" s="342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52" t="s">
        <v>1887</v>
      </c>
      <c r="H55" s="342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455.09</v>
      </c>
      <c r="F56" s="833" t="e">
        <f t="shared" ref="F56:F64" si="15">ROUND(B56*E56/10000,0)</f>
        <v>#DIV/0!</v>
      </c>
      <c r="G56" s="3334"/>
      <c r="H56" s="333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455.09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2023-3-1</v>
      </c>
      <c r="D67" s="656">
        <f>EDATE(C67,-3)</f>
        <v>44896</v>
      </c>
      <c r="E67" s="656">
        <f>EDATE(D67,-3)</f>
        <v>44805</v>
      </c>
      <c r="F67" s="656">
        <f t="shared" ref="F67:O67" si="18">EDATE(E67,-3)</f>
        <v>44713</v>
      </c>
      <c r="G67" s="656">
        <f t="shared" si="18"/>
        <v>44621</v>
      </c>
      <c r="H67" s="656">
        <f t="shared" si="18"/>
        <v>44531</v>
      </c>
      <c r="I67" s="656">
        <f t="shared" si="18"/>
        <v>44440</v>
      </c>
      <c r="J67" s="656">
        <f t="shared" si="18"/>
        <v>44348</v>
      </c>
      <c r="K67" s="656">
        <f t="shared" si="18"/>
        <v>44256</v>
      </c>
      <c r="L67" s="656">
        <f t="shared" si="18"/>
        <v>44166</v>
      </c>
      <c r="M67" s="656">
        <f t="shared" si="18"/>
        <v>44075</v>
      </c>
      <c r="N67" s="656">
        <f t="shared" si="18"/>
        <v>43983</v>
      </c>
      <c r="O67" s="656">
        <f t="shared" si="18"/>
        <v>43891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428" t="s">
        <v>1919</v>
      </c>
      <c r="D6" s="3429"/>
      <c r="E6" s="3430" t="s">
        <v>1919</v>
      </c>
      <c r="F6" s="3431"/>
      <c r="G6" s="3428" t="s">
        <v>1919</v>
      </c>
      <c r="H6" s="3429"/>
      <c r="I6" s="3428" t="s">
        <v>1919</v>
      </c>
      <c r="J6" s="3429"/>
      <c r="K6" s="537"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75" t="s">
        <v>1680</v>
      </c>
      <c r="Q7" s="3376"/>
      <c r="R7" s="664" t="s">
        <v>14</v>
      </c>
      <c r="S7" s="665">
        <f t="shared" ref="S7:S15" si="0">F7</f>
        <v>0</v>
      </c>
      <c r="T7" s="664" t="s">
        <v>14</v>
      </c>
      <c r="U7" s="665">
        <f t="shared" ref="U7:U15" si="1">H7</f>
        <v>0</v>
      </c>
      <c r="V7" s="664" t="s">
        <v>14</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5" t="s">
        <v>1683</v>
      </c>
      <c r="Q8" s="3374"/>
      <c r="R8" s="664" t="s">
        <v>14</v>
      </c>
      <c r="S8" s="665">
        <f t="shared" si="0"/>
        <v>0</v>
      </c>
      <c r="T8" s="664" t="s">
        <v>14</v>
      </c>
      <c r="U8" s="665">
        <f t="shared" si="1"/>
        <v>0</v>
      </c>
      <c r="V8" s="664" t="s">
        <v>14</v>
      </c>
      <c r="W8" s="665">
        <f t="shared" si="2"/>
        <v>0</v>
      </c>
      <c r="X8" s="666"/>
      <c r="Y8" s="3375" t="s">
        <v>1683</v>
      </c>
      <c r="Z8" s="337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35"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9"/>
      <c r="M10" s="2490"/>
      <c r="N10" s="2490"/>
      <c r="O10" s="2541"/>
      <c r="P10" s="3335"/>
      <c r="Q10" s="530" t="str">
        <f t="shared" si="6"/>
        <v>土地使用年限（年）</v>
      </c>
      <c r="R10" s="664" t="s">
        <v>14</v>
      </c>
      <c r="S10" s="665">
        <f t="shared" si="0"/>
        <v>120</v>
      </c>
      <c r="T10" s="664" t="s">
        <v>14</v>
      </c>
      <c r="U10" s="665">
        <f t="shared" si="1"/>
        <v>120</v>
      </c>
      <c r="V10" s="664" t="s">
        <v>14</v>
      </c>
      <c r="W10" s="665">
        <f t="shared" si="2"/>
        <v>120</v>
      </c>
      <c r="X10" s="666"/>
      <c r="Y10" s="324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35"/>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35"/>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35"/>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42" t="s">
        <v>1691</v>
      </c>
      <c r="Q15" s="1263" t="str">
        <f t="shared" si="6"/>
        <v>产业集聚程度</v>
      </c>
      <c r="R15" s="667" t="s">
        <v>14</v>
      </c>
      <c r="S15" s="668">
        <f t="shared" si="0"/>
        <v>100</v>
      </c>
      <c r="T15" s="667" t="s">
        <v>14</v>
      </c>
      <c r="U15" s="668">
        <f t="shared" si="1"/>
        <v>100</v>
      </c>
      <c r="V15" s="667" t="s">
        <v>14</v>
      </c>
      <c r="W15" s="668">
        <f t="shared" si="2"/>
        <v>100</v>
      </c>
      <c r="X15" s="1265"/>
      <c r="Y15" s="334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43"/>
      <c r="Q16" s="1263"/>
      <c r="R16" s="667"/>
      <c r="S16" s="668"/>
      <c r="T16" s="667"/>
      <c r="U16" s="668"/>
      <c r="V16" s="667"/>
      <c r="W16" s="668"/>
      <c r="X16" s="1265"/>
      <c r="Y16" s="334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43"/>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43"/>
      <c r="Q18" s="1263"/>
      <c r="R18" s="667"/>
      <c r="S18" s="668"/>
      <c r="T18" s="667"/>
      <c r="U18" s="668"/>
      <c r="V18" s="667"/>
      <c r="W18" s="668"/>
      <c r="X18" s="1265"/>
      <c r="Y18" s="334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43"/>
      <c r="Q19" s="1263" t="str">
        <f t="shared" ref="Q19:Q33" si="8">B19</f>
        <v>区域土地利用方向</v>
      </c>
      <c r="R19" s="667" t="s">
        <v>14</v>
      </c>
      <c r="S19" s="668">
        <f>F19</f>
        <v>100</v>
      </c>
      <c r="T19" s="667" t="s">
        <v>14</v>
      </c>
      <c r="U19" s="668">
        <f>H19</f>
        <v>100</v>
      </c>
      <c r="V19" s="667" t="s">
        <v>14</v>
      </c>
      <c r="W19" s="668">
        <f>J19</f>
        <v>100</v>
      </c>
      <c r="X19" s="1265"/>
      <c r="Y19" s="334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43"/>
      <c r="Q20" s="1263"/>
      <c r="R20" s="667"/>
      <c r="S20" s="668"/>
      <c r="T20" s="667"/>
      <c r="U20" s="668"/>
      <c r="V20" s="667"/>
      <c r="W20" s="668"/>
      <c r="X20" s="1265"/>
      <c r="Y20" s="334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43"/>
      <c r="Q21" s="1263" t="str">
        <f t="shared" si="8"/>
        <v>环境状况</v>
      </c>
      <c r="R21" s="667" t="s">
        <v>14</v>
      </c>
      <c r="S21" s="668">
        <f>F21</f>
        <v>100</v>
      </c>
      <c r="T21" s="667" t="s">
        <v>14</v>
      </c>
      <c r="U21" s="668">
        <f>H21</f>
        <v>100</v>
      </c>
      <c r="V21" s="667" t="s">
        <v>14</v>
      </c>
      <c r="W21" s="668">
        <f>J21</f>
        <v>100</v>
      </c>
      <c r="X21" s="1265"/>
      <c r="Y21" s="334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43"/>
      <c r="Q22" s="1263"/>
      <c r="R22" s="667"/>
      <c r="S22" s="668"/>
      <c r="T22" s="667"/>
      <c r="U22" s="668"/>
      <c r="V22" s="667"/>
      <c r="W22" s="668"/>
      <c r="X22" s="1265"/>
      <c r="Y22" s="334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43"/>
      <c r="Q23" s="530" t="str">
        <f t="shared" si="8"/>
        <v>公共配套设施</v>
      </c>
      <c r="R23" s="664" t="s">
        <v>14</v>
      </c>
      <c r="S23" s="665">
        <f>F23</f>
        <v>100</v>
      </c>
      <c r="T23" s="664" t="s">
        <v>14</v>
      </c>
      <c r="U23" s="665">
        <f>H23</f>
        <v>100</v>
      </c>
      <c r="V23" s="664" t="s">
        <v>14</v>
      </c>
      <c r="W23" s="665">
        <f>J23</f>
        <v>100</v>
      </c>
      <c r="X23" s="666"/>
      <c r="Y23" s="334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43"/>
      <c r="Q24" s="530"/>
      <c r="R24" s="664"/>
      <c r="S24" s="665"/>
      <c r="T24" s="664"/>
      <c r="U24" s="665"/>
      <c r="V24" s="664"/>
      <c r="W24" s="665"/>
      <c r="X24" s="666"/>
      <c r="Y24" s="334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43"/>
      <c r="Q25" s="530" t="str">
        <f t="shared" ref="Q25" si="9">B25</f>
        <v>基础设施水平</v>
      </c>
      <c r="R25" s="664" t="s">
        <v>14</v>
      </c>
      <c r="S25" s="665">
        <f>F25</f>
        <v>100</v>
      </c>
      <c r="T25" s="664" t="s">
        <v>14</v>
      </c>
      <c r="U25" s="665">
        <f>H25</f>
        <v>100</v>
      </c>
      <c r="V25" s="664" t="s">
        <v>14</v>
      </c>
      <c r="W25" s="665">
        <f>J25</f>
        <v>100</v>
      </c>
      <c r="X25" s="666"/>
      <c r="Y25" s="334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43"/>
      <c r="Q26" s="530"/>
      <c r="R26" s="664"/>
      <c r="S26" s="665"/>
      <c r="T26" s="664"/>
      <c r="U26" s="665"/>
      <c r="V26" s="664"/>
      <c r="W26" s="665"/>
      <c r="X26" s="666"/>
      <c r="Y26" s="334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4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43"/>
      <c r="Q28" s="1263" t="str">
        <f t="shared" si="8"/>
        <v>毗邻道路的类型与等级</v>
      </c>
      <c r="R28" s="667" t="s">
        <v>14</v>
      </c>
      <c r="S28" s="668">
        <f t="shared" si="10"/>
        <v>100</v>
      </c>
      <c r="T28" s="667" t="s">
        <v>14</v>
      </c>
      <c r="U28" s="668">
        <f t="shared" si="11"/>
        <v>100</v>
      </c>
      <c r="V28" s="667" t="s">
        <v>14</v>
      </c>
      <c r="W28" s="668">
        <f t="shared" si="12"/>
        <v>100</v>
      </c>
      <c r="X28" s="1265"/>
      <c r="Y28" s="334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43"/>
      <c r="Q29" s="1263"/>
      <c r="R29" s="667"/>
      <c r="S29" s="668"/>
      <c r="T29" s="667"/>
      <c r="U29" s="668"/>
      <c r="V29" s="667"/>
      <c r="W29" s="668"/>
      <c r="X29" s="1265"/>
      <c r="Y29" s="334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43"/>
      <c r="Q30" s="1263" t="str">
        <f t="shared" si="8"/>
        <v>土地级别</v>
      </c>
      <c r="R30" s="667" t="s">
        <v>14</v>
      </c>
      <c r="S30" s="668">
        <f t="shared" si="10"/>
        <v>100</v>
      </c>
      <c r="T30" s="667" t="s">
        <v>14</v>
      </c>
      <c r="U30" s="668">
        <f t="shared" si="11"/>
        <v>100</v>
      </c>
      <c r="V30" s="667" t="s">
        <v>14</v>
      </c>
      <c r="W30" s="668">
        <f t="shared" si="12"/>
        <v>100</v>
      </c>
      <c r="X30" s="1265"/>
      <c r="Y30" s="334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43"/>
      <c r="Q31" s="1263">
        <f t="shared" si="8"/>
        <v>111</v>
      </c>
      <c r="R31" s="667" t="s">
        <v>14</v>
      </c>
      <c r="S31" s="668">
        <f t="shared" si="10"/>
        <v>100</v>
      </c>
      <c r="T31" s="667" t="s">
        <v>14</v>
      </c>
      <c r="U31" s="668">
        <f t="shared" si="11"/>
        <v>100</v>
      </c>
      <c r="V31" s="667" t="s">
        <v>14</v>
      </c>
      <c r="W31" s="668">
        <f t="shared" si="12"/>
        <v>100</v>
      </c>
      <c r="X31" s="1265"/>
      <c r="Y31" s="334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3" t="s">
        <v>1696</v>
      </c>
      <c r="Q32" s="1263">
        <f t="shared" si="8"/>
        <v>111</v>
      </c>
      <c r="R32" s="667" t="s">
        <v>14</v>
      </c>
      <c r="S32" s="668">
        <f t="shared" si="10"/>
        <v>100</v>
      </c>
      <c r="T32" s="667" t="s">
        <v>14</v>
      </c>
      <c r="U32" s="668">
        <f t="shared" si="11"/>
        <v>100</v>
      </c>
      <c r="V32" s="667" t="s">
        <v>14</v>
      </c>
      <c r="W32" s="668">
        <f t="shared" si="12"/>
        <v>100</v>
      </c>
      <c r="X32" s="1265"/>
      <c r="Y32" s="334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47"/>
      <c r="Q33" s="1263">
        <f t="shared" si="8"/>
        <v>111</v>
      </c>
      <c r="R33" s="669" t="s">
        <v>14</v>
      </c>
      <c r="S33" s="670">
        <f t="shared" si="10"/>
        <v>100</v>
      </c>
      <c r="T33" s="669" t="s">
        <v>14</v>
      </c>
      <c r="U33" s="670">
        <f t="shared" si="11"/>
        <v>100</v>
      </c>
      <c r="V33" s="669" t="s">
        <v>14</v>
      </c>
      <c r="W33" s="670">
        <f t="shared" si="12"/>
        <v>100</v>
      </c>
      <c r="X33" s="671"/>
      <c r="Y33" s="334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47"/>
      <c r="Q34" s="1263" t="str">
        <f>B34</f>
        <v>宗地面积</v>
      </c>
      <c r="R34" s="667" t="s">
        <v>14</v>
      </c>
      <c r="S34" s="668" t="e">
        <f t="shared" si="10"/>
        <v>#N/A</v>
      </c>
      <c r="T34" s="667" t="s">
        <v>14</v>
      </c>
      <c r="U34" s="668" t="e">
        <f t="shared" si="11"/>
        <v>#N/A</v>
      </c>
      <c r="V34" s="667" t="s">
        <v>14</v>
      </c>
      <c r="W34" s="668" t="e">
        <f t="shared" si="12"/>
        <v>#N/A</v>
      </c>
      <c r="X34" s="1265"/>
      <c r="Y34" s="334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47"/>
      <c r="Q35" s="1263" t="str">
        <f t="shared" ref="Q35:Q40" si="14">B35</f>
        <v>宗地形状</v>
      </c>
      <c r="R35" s="667" t="s">
        <v>14</v>
      </c>
      <c r="S35" s="668">
        <f t="shared" si="10"/>
        <v>100</v>
      </c>
      <c r="T35" s="667" t="s">
        <v>14</v>
      </c>
      <c r="U35" s="668">
        <f t="shared" si="11"/>
        <v>100</v>
      </c>
      <c r="V35" s="667" t="s">
        <v>14</v>
      </c>
      <c r="W35" s="668">
        <f t="shared" si="12"/>
        <v>100</v>
      </c>
      <c r="X35" s="1265"/>
      <c r="Y35" s="334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47"/>
      <c r="Q36" s="1263" t="str">
        <f t="shared" si="14"/>
        <v>宗地开发程度</v>
      </c>
      <c r="R36" s="664" t="s">
        <v>14</v>
      </c>
      <c r="S36" s="665">
        <f t="shared" si="10"/>
        <v>100</v>
      </c>
      <c r="T36" s="664" t="s">
        <v>14</v>
      </c>
      <c r="U36" s="665">
        <f t="shared" si="11"/>
        <v>100</v>
      </c>
      <c r="V36" s="664" t="s">
        <v>14</v>
      </c>
      <c r="W36" s="665">
        <f t="shared" si="12"/>
        <v>100</v>
      </c>
      <c r="X36" s="666"/>
      <c r="Y36" s="334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47" t="s">
        <v>1696</v>
      </c>
      <c r="Q37" s="1263" t="str">
        <f t="shared" si="14"/>
        <v>工程地质条件</v>
      </c>
      <c r="R37" s="667" t="s">
        <v>14</v>
      </c>
      <c r="S37" s="668">
        <f t="shared" si="10"/>
        <v>100</v>
      </c>
      <c r="T37" s="667" t="s">
        <v>14</v>
      </c>
      <c r="U37" s="668">
        <f t="shared" si="11"/>
        <v>100</v>
      </c>
      <c r="V37" s="667" t="s">
        <v>14</v>
      </c>
      <c r="W37" s="668">
        <f t="shared" si="12"/>
        <v>100</v>
      </c>
      <c r="X37" s="1265"/>
      <c r="Y37" s="334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47"/>
      <c r="Q38" s="1263">
        <f t="shared" si="14"/>
        <v>111</v>
      </c>
      <c r="R38" s="667" t="s">
        <v>14</v>
      </c>
      <c r="S38" s="668">
        <f t="shared" si="10"/>
        <v>100</v>
      </c>
      <c r="T38" s="667" t="s">
        <v>14</v>
      </c>
      <c r="U38" s="668">
        <f t="shared" si="11"/>
        <v>100</v>
      </c>
      <c r="V38" s="667" t="s">
        <v>14</v>
      </c>
      <c r="W38" s="668">
        <f t="shared" si="12"/>
        <v>100</v>
      </c>
      <c r="X38" s="1265"/>
      <c r="Y38" s="334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47"/>
      <c r="Q39" s="1263">
        <f t="shared" si="14"/>
        <v>111</v>
      </c>
      <c r="R39" s="667" t="s">
        <v>14</v>
      </c>
      <c r="S39" s="668">
        <f t="shared" si="10"/>
        <v>100</v>
      </c>
      <c r="T39" s="667" t="s">
        <v>14</v>
      </c>
      <c r="U39" s="668">
        <f t="shared" si="11"/>
        <v>100</v>
      </c>
      <c r="V39" s="667" t="s">
        <v>14</v>
      </c>
      <c r="W39" s="668">
        <f t="shared" si="12"/>
        <v>100</v>
      </c>
      <c r="X39" s="1265"/>
      <c r="Y39" s="334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47"/>
      <c r="Q40" s="1263">
        <f t="shared" si="14"/>
        <v>111</v>
      </c>
      <c r="R40" s="669" t="s">
        <v>14</v>
      </c>
      <c r="S40" s="670">
        <f t="shared" si="10"/>
        <v>100</v>
      </c>
      <c r="T40" s="669" t="s">
        <v>14</v>
      </c>
      <c r="U40" s="670">
        <f t="shared" si="11"/>
        <v>100</v>
      </c>
      <c r="V40" s="669" t="s">
        <v>14</v>
      </c>
      <c r="W40" s="670">
        <f t="shared" si="12"/>
        <v>100</v>
      </c>
      <c r="X40" s="671"/>
      <c r="Y40" s="334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35" t="str">
        <f>A41</f>
        <v>成交单价</v>
      </c>
      <c r="Q41" s="3335"/>
      <c r="R41" s="3336">
        <f>E41</f>
        <v>0</v>
      </c>
      <c r="S41" s="3336"/>
      <c r="T41" s="3336">
        <f>G41</f>
        <v>0</v>
      </c>
      <c r="U41" s="3336"/>
      <c r="V41" s="3336">
        <f>I41</f>
        <v>0</v>
      </c>
      <c r="W41" s="333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35" t="str">
        <f>A42</f>
        <v>比较价值（元/平方米）</v>
      </c>
      <c r="Q42" s="3335"/>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3" t="str">
        <f>A43</f>
        <v>估价对象XX用房的比较价值（楼面单价，元/平方米）</v>
      </c>
      <c r="Q43" s="3414"/>
      <c r="R43" s="3426" t="e">
        <f>ROUND(IF(D42="简单平均",AVERAGE(R42:W42),R42*F42+T42*H42+V42*J42),0)</f>
        <v>#DIV/0!</v>
      </c>
      <c r="S43" s="3426"/>
      <c r="T43" s="3426"/>
      <c r="U43" s="3426"/>
      <c r="V43" s="3426"/>
      <c r="W43" s="342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52" t="s">
        <v>1887</v>
      </c>
      <c r="H50" s="342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455.09</v>
      </c>
      <c r="F51" s="611" t="e">
        <f t="shared" ref="F51:F60" si="15">ROUND(B51*E51/10000,0)</f>
        <v>#DIV/0!</v>
      </c>
      <c r="G51" s="3334"/>
      <c r="H51" s="333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2023-3-1</v>
      </c>
      <c r="D63" s="656">
        <f>EDATE(C63,-3)</f>
        <v>44896</v>
      </c>
      <c r="E63" s="656">
        <f>EDATE(D63,-3)</f>
        <v>44805</v>
      </c>
      <c r="F63" s="656">
        <f t="shared" ref="F63:O63" si="18">EDATE(E63,-3)</f>
        <v>44713</v>
      </c>
      <c r="G63" s="656">
        <f t="shared" si="18"/>
        <v>44621</v>
      </c>
      <c r="H63" s="656">
        <f t="shared" si="18"/>
        <v>44531</v>
      </c>
      <c r="I63" s="656">
        <f t="shared" si="18"/>
        <v>44440</v>
      </c>
      <c r="J63" s="656">
        <f t="shared" si="18"/>
        <v>44348</v>
      </c>
      <c r="K63" s="656">
        <f t="shared" si="18"/>
        <v>44256</v>
      </c>
      <c r="L63" s="656">
        <f t="shared" si="18"/>
        <v>44166</v>
      </c>
      <c r="M63" s="656">
        <f t="shared" si="18"/>
        <v>44075</v>
      </c>
      <c r="N63" s="656">
        <f t="shared" si="18"/>
        <v>43983</v>
      </c>
      <c r="O63" s="656">
        <f t="shared" si="18"/>
        <v>43891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5" t="s">
        <v>2084</v>
      </c>
      <c r="D1" s="3436"/>
      <c r="E1" s="3436"/>
      <c r="F1" s="3436"/>
      <c r="G1" s="3436"/>
      <c r="H1" s="3436"/>
      <c r="I1" s="3436"/>
      <c r="J1" s="3436"/>
      <c r="K1" s="3436"/>
      <c r="L1" s="3436"/>
      <c r="M1" s="3436"/>
      <c r="N1" s="3436"/>
      <c r="O1" s="3436"/>
      <c r="P1" s="3436"/>
      <c r="Q1" s="3436"/>
      <c r="R1" s="3436"/>
      <c r="S1" s="34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45"/>
      <c r="B4" s="3446"/>
      <c r="C4" s="3446"/>
      <c r="D4" s="3447"/>
      <c r="E4" s="3447"/>
      <c r="F4" s="3447"/>
      <c r="G4" s="3447"/>
      <c r="H4" s="3447"/>
      <c r="I4" s="3447"/>
      <c r="J4" s="344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4"/>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t="e">
        <f>ROUND(G18/I18,2)</f>
        <v>#DIV/0!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49" t="s">
        <v>3255</v>
      </c>
      <c r="B20" s="159" t="s">
        <v>1994</v>
      </c>
      <c r="C20" s="3031" t="e">
        <f>ROUND(IF(F21="与级别开发程度一致",0,(G21-E21)/C21),0)</f>
        <v>#DIV/0!</v>
      </c>
      <c r="D20" s="3046" t="s">
        <v>1998</v>
      </c>
      <c r="E20" s="3047"/>
      <c r="F20" s="3455" t="s">
        <v>1995</v>
      </c>
      <c r="G20" s="345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5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6" t="s">
        <v>2002</v>
      </c>
      <c r="E23" s="717">
        <v>44197</v>
      </c>
      <c r="F23" s="1896" t="s">
        <v>2003</v>
      </c>
      <c r="G23" s="718">
        <f>'数据-取费表'!B2</f>
        <v>44988</v>
      </c>
      <c r="H23" s="3048" t="s">
        <v>3257</v>
      </c>
      <c r="I23" s="3049" t="str">
        <f>IF(H23="季度增幅（自定义）",SUMIF(N25:N28,E2,O25:O28),"")</f>
        <v/>
      </c>
      <c r="J23" s="3141" t="s">
        <v>3256</v>
      </c>
      <c r="K23" s="1061"/>
      <c r="L23" s="1897" t="s">
        <v>2004</v>
      </c>
      <c r="M23" s="1241">
        <f>ROUND(SUMIF(地价!B2:G2,E2,地价!B16:G16),0)</f>
        <v>0</v>
      </c>
      <c r="N23" s="1898"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存贷款利率!E22/100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3267</v>
      </c>
      <c r="L37" s="1964">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4"/>
      <c r="B39" s="1884" t="s">
        <v>3260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t="str">
        <f>估价对象房地状况!C18</f>
        <v>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3270</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较好</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好</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t="str">
        <f>估价对象房地状况!C18</f>
        <v>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较好</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好</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t="str">
        <f>估价对象房地状况!C18</f>
        <v>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较好</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t="str">
        <f>估价对象房地状况!C20</f>
        <v>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2609</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50" t="s">
        <v>3290</v>
      </c>
      <c r="K92" s="2150" t="s">
        <v>3291</v>
      </c>
      <c r="L92" s="2150" t="s">
        <v>3292</v>
      </c>
      <c r="M92" s="2150" t="s">
        <v>3293</v>
      </c>
      <c r="N92" s="2150"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14.25">
      <c r="A94" s="3080" t="s">
        <v>3274</v>
      </c>
      <c r="B94" s="3071" t="str">
        <f>估价对象房地状况!C18</f>
        <v>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3275</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t="str">
        <f>估价对象房地状况!C24</f>
        <v>较好</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4">
      <c r="A99" s="3080" t="s">
        <v>3278</v>
      </c>
      <c r="B99" s="3071" t="str">
        <f>估价对象房地状况!C21</f>
        <v>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4">
      <c r="A100" s="3080" t="s">
        <v>3279</v>
      </c>
      <c r="B100" s="3071" t="str">
        <f>估价对象房地状况!C22</f>
        <v>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4.75" thickBot="1">
      <c r="A101" s="3081" t="s">
        <v>3280</v>
      </c>
      <c r="B101" s="3088" t="str">
        <f>估价对象房地状况!C20</f>
        <v>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1" t="s">
        <v>3295</v>
      </c>
      <c r="B103" s="3451"/>
      <c r="C103" s="3451"/>
      <c r="D103" s="3451"/>
      <c r="E103" s="3451"/>
      <c r="F103" s="3451"/>
      <c r="G103" s="3451"/>
      <c r="H103" s="3451"/>
      <c r="I103" s="3451"/>
      <c r="J103" s="3451"/>
      <c r="K103" s="1667"/>
      <c r="L103" s="1667"/>
      <c r="M103" s="1667"/>
      <c r="N103" s="1667"/>
    </row>
    <row r="104" spans="1:14">
      <c r="A104" s="3452" t="s">
        <v>3296</v>
      </c>
      <c r="B104" s="3452" t="s">
        <v>3297</v>
      </c>
      <c r="C104" s="3090" t="s">
        <v>3298</v>
      </c>
      <c r="D104" s="3091"/>
      <c r="E104" s="3091"/>
      <c r="F104" s="3091"/>
      <c r="G104" s="3091"/>
      <c r="H104" s="3091"/>
      <c r="I104" s="3091"/>
      <c r="J104" s="3092"/>
      <c r="K104" s="3093"/>
      <c r="L104" s="3093"/>
      <c r="M104" s="3093"/>
      <c r="N104" s="3093"/>
    </row>
    <row r="105" spans="1:14">
      <c r="A105" s="3452"/>
      <c r="B105" s="3452"/>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438"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9"/>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1" t="s">
        <v>3312</v>
      </c>
      <c r="B113" s="3441"/>
      <c r="C113" s="3441"/>
      <c r="D113" s="3441"/>
      <c r="E113" s="3441"/>
      <c r="F113" s="3441"/>
      <c r="G113" s="3441"/>
      <c r="H113" s="3441"/>
      <c r="I113" s="3441"/>
      <c r="J113" s="344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0</v>
      </c>
      <c r="C116" s="3099" t="s">
        <v>3314</v>
      </c>
      <c r="D116" s="3100">
        <f>SUMPRODUCT((A118:A122=F116)*(B117:M117=H116)*B118:M122)</f>
        <v>0</v>
      </c>
      <c r="E116" s="162" t="s">
        <v>3315</v>
      </c>
      <c r="F116" s="3101">
        <f>E2</f>
        <v>0</v>
      </c>
      <c r="G116" s="162" t="s">
        <v>3316</v>
      </c>
      <c r="H116" s="3101">
        <f>G2</f>
        <v>0</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3330</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3331</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3332</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2609</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v>
      </c>
      <c r="B3" s="3158"/>
      <c r="C3" s="3158"/>
      <c r="D3" s="3158"/>
      <c r="E3" s="3158"/>
    </row>
    <row r="4" spans="1:5" ht="19.5" thickBot="1">
      <c r="A4" s="1391"/>
      <c r="B4" s="3156" t="s">
        <v>917</v>
      </c>
      <c r="C4" s="3156"/>
      <c r="D4" s="3156"/>
      <c r="E4" s="1391"/>
    </row>
    <row r="5" spans="1:5" ht="16.5" thickTop="1">
      <c r="B5" s="3154" t="s">
        <v>909</v>
      </c>
      <c r="C5" s="1392" t="s">
        <v>910</v>
      </c>
      <c r="D5" s="797">
        <f ca="1">结果表!H101</f>
        <v>2234</v>
      </c>
    </row>
    <row r="6" spans="1:5" ht="15.75">
      <c r="B6" s="3154"/>
      <c r="C6" s="1392" t="s">
        <v>911</v>
      </c>
      <c r="D6" s="797" t="str">
        <f ca="1">NUMBERSTRING(INT(D5*10000),2)&amp;"元整"</f>
        <v>贰仟贰佰叁拾肆万元整</v>
      </c>
    </row>
    <row r="7" spans="1:5" ht="15.75">
      <c r="B7" s="3159"/>
      <c r="C7" s="1393" t="s">
        <v>912</v>
      </c>
      <c r="D7" s="798">
        <f ca="1">结果表!H102</f>
        <v>49089</v>
      </c>
    </row>
    <row r="8" spans="1:5" ht="15.75">
      <c r="B8" s="3160" t="str">
        <f>结果表!E103</f>
        <v>2.估价师知悉的法定优先受偿款</v>
      </c>
      <c r="C8" s="1394" t="s">
        <v>913</v>
      </c>
      <c r="D8" s="798">
        <f>结果表!H103</f>
        <v>0</v>
      </c>
    </row>
    <row r="9" spans="1:5" ht="15.75">
      <c r="B9" s="31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3" t="str">
        <f>结果表!E107</f>
        <v>3.房地产抵押价值</v>
      </c>
      <c r="C13" s="1397" t="s">
        <v>910</v>
      </c>
      <c r="D13" s="800">
        <f ca="1">结果表!H107</f>
        <v>2234</v>
      </c>
    </row>
    <row r="14" spans="1:5" ht="15.75">
      <c r="B14" s="3154"/>
      <c r="C14" s="1392" t="s">
        <v>911</v>
      </c>
      <c r="D14" s="797" t="str">
        <f ca="1">NUMBERSTRING(INT(D13*10000),2)&amp;"元整"</f>
        <v>贰仟贰佰叁拾肆万元整</v>
      </c>
    </row>
    <row r="15" spans="1:5" ht="15">
      <c r="B15" s="3159"/>
      <c r="C15" s="1393" t="s">
        <v>921</v>
      </c>
      <c r="D15" s="806">
        <f ca="1">结果表!H108</f>
        <v>49089</v>
      </c>
    </row>
    <row r="16" spans="1:5" ht="15">
      <c r="B16" s="3160" t="str">
        <f>结果表!E109</f>
        <v>——</v>
      </c>
      <c r="C16" s="1397" t="s">
        <v>922</v>
      </c>
      <c r="D16" s="1398" t="str">
        <f>结果表!H109</f>
        <v>——</v>
      </c>
    </row>
    <row r="17" spans="1:5" ht="15.75">
      <c r="B17" s="3161"/>
      <c r="C17" s="1392" t="s">
        <v>923</v>
      </c>
      <c r="D17" s="797" t="e">
        <f>NUMBERSTRING(INT(D16*10000),2)&amp;"元整"</f>
        <v>#VALUE!</v>
      </c>
    </row>
    <row r="18" spans="1:5" ht="15">
      <c r="B18" s="3162"/>
      <c r="C18" s="1393" t="s">
        <v>912</v>
      </c>
      <c r="D18" s="806" t="str">
        <f>结果表!H110</f>
        <v>——</v>
      </c>
    </row>
    <row r="19" spans="1:5" ht="15.75">
      <c r="B19" s="3153" t="str">
        <f>结果表!E111</f>
        <v>——</v>
      </c>
      <c r="C19" s="1397" t="s">
        <v>910</v>
      </c>
      <c r="D19" s="798" t="str">
        <f>结果表!H111</f>
        <v>——</v>
      </c>
    </row>
    <row r="20" spans="1:5" ht="15.75">
      <c r="B20" s="3154"/>
      <c r="C20" s="1392" t="s">
        <v>923</v>
      </c>
      <c r="D20" s="797" t="e">
        <f>NUMBERSTRING(INT(D19*10000),2)&amp;"元整"</f>
        <v>#VALUE!</v>
      </c>
    </row>
    <row r="21" spans="1:5" ht="15.75" thickBot="1">
      <c r="B21" s="31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2591</v>
      </c>
      <c r="B1" s="2811" t="s">
        <v>2592</v>
      </c>
      <c r="C1" s="2811" t="s">
        <v>2593</v>
      </c>
      <c r="D1" s="2811" t="s">
        <v>2594</v>
      </c>
      <c r="E1" s="2811" t="s">
        <v>2595</v>
      </c>
      <c r="F1" s="2811" t="s">
        <v>2596</v>
      </c>
      <c r="G1" s="2811" t="s">
        <v>2597</v>
      </c>
      <c r="H1" s="2811" t="s">
        <v>2598</v>
      </c>
      <c r="I1" s="2811" t="s">
        <v>2599</v>
      </c>
      <c r="J1" s="2811" t="s">
        <v>2600</v>
      </c>
      <c r="K1" s="2811" t="s">
        <v>2601</v>
      </c>
      <c r="L1" s="2811" t="s">
        <v>2602</v>
      </c>
      <c r="M1" s="2812" t="s">
        <v>2603</v>
      </c>
    </row>
    <row r="2" spans="1:13" ht="19.5" customHeight="1">
      <c r="A2" s="2814" t="s">
        <v>2604</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2605</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2606</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2607</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2608</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2609</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2610</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2611</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2612</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2613</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2614</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2615</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2616</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2617</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2618</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2619</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2620</v>
      </c>
      <c r="B18" s="2836"/>
      <c r="C18" s="2837"/>
      <c r="D18" s="2837"/>
      <c r="E18" s="2836"/>
      <c r="F18" s="2837"/>
      <c r="G18" s="2837"/>
    </row>
    <row r="19" spans="1:13" ht="19.5" customHeight="1" thickBot="1">
      <c r="A19" s="2834" t="s">
        <v>2621</v>
      </c>
      <c r="B19" s="2839" t="s">
        <v>2622</v>
      </c>
      <c r="C19" s="2839" t="s">
        <v>2623</v>
      </c>
      <c r="D19" s="2840"/>
      <c r="E19" s="2834" t="s">
        <v>2624</v>
      </c>
      <c r="F19" s="2841"/>
      <c r="G19" s="2841"/>
    </row>
    <row r="20" spans="1:13" ht="19.5" customHeight="1">
      <c r="A20" s="3466" t="s">
        <v>2604</v>
      </c>
      <c r="B20" s="3461" t="s">
        <v>2625</v>
      </c>
      <c r="C20" s="2842" t="s">
        <v>2436</v>
      </c>
      <c r="D20" s="2843"/>
      <c r="E20" s="2844">
        <v>1</v>
      </c>
      <c r="F20" s="2845" t="s">
        <v>2437</v>
      </c>
      <c r="G20" s="2845"/>
    </row>
    <row r="21" spans="1:13" ht="19.5" customHeight="1">
      <c r="A21" s="3467"/>
      <c r="B21" s="3460"/>
      <c r="C21" s="2846" t="s">
        <v>2438</v>
      </c>
      <c r="D21" s="2847"/>
      <c r="E21" s="2848">
        <v>1</v>
      </c>
      <c r="F21" s="2845" t="s">
        <v>2439</v>
      </c>
      <c r="G21" s="2845"/>
    </row>
    <row r="22" spans="1:13" ht="19.5" customHeight="1">
      <c r="A22" s="3467"/>
      <c r="B22" s="3460"/>
      <c r="C22" s="2846" t="s">
        <v>2440</v>
      </c>
      <c r="D22" s="2847"/>
      <c r="E22" s="2848">
        <v>0.9</v>
      </c>
      <c r="F22" s="2845" t="s">
        <v>2441</v>
      </c>
      <c r="G22" s="2845"/>
    </row>
    <row r="23" spans="1:13" ht="19.5" customHeight="1">
      <c r="A23" s="3467"/>
      <c r="B23" s="3460"/>
      <c r="C23" s="2846" t="s">
        <v>2442</v>
      </c>
      <c r="D23" s="2847"/>
      <c r="E23" s="2848">
        <v>0.9</v>
      </c>
      <c r="F23" s="2845" t="s">
        <v>2443</v>
      </c>
      <c r="G23" s="2845"/>
    </row>
    <row r="24" spans="1:13" ht="19.5" customHeight="1">
      <c r="A24" s="3467"/>
      <c r="B24" s="3460"/>
      <c r="C24" s="2846" t="s">
        <v>2444</v>
      </c>
      <c r="D24" s="2847"/>
      <c r="E24" s="2848">
        <v>0.8</v>
      </c>
      <c r="F24" s="2845" t="s">
        <v>2445</v>
      </c>
      <c r="G24" s="2845"/>
    </row>
    <row r="25" spans="1:13" ht="19.5" customHeight="1" thickBot="1">
      <c r="A25" s="3468"/>
      <c r="B25" s="3462"/>
      <c r="C25" s="2849" t="s">
        <v>2446</v>
      </c>
      <c r="D25" s="2850"/>
      <c r="E25" s="2851">
        <v>0.8</v>
      </c>
      <c r="F25" s="2845" t="s">
        <v>2447</v>
      </c>
      <c r="G25" s="2845"/>
    </row>
    <row r="26" spans="1:13" ht="19.5" customHeight="1" thickBot="1">
      <c r="A26" s="2852" t="s">
        <v>2626</v>
      </c>
      <c r="B26" s="2853" t="s">
        <v>2625</v>
      </c>
      <c r="C26" s="2854" t="s">
        <v>2627</v>
      </c>
      <c r="D26" s="2855"/>
      <c r="E26" s="2856">
        <v>1</v>
      </c>
      <c r="F26" s="2845" t="s">
        <v>2448</v>
      </c>
      <c r="G26" s="2845"/>
    </row>
    <row r="27" spans="1:13" ht="19.5" customHeight="1">
      <c r="A27" s="3463" t="s">
        <v>2628</v>
      </c>
      <c r="B27" s="3461" t="s">
        <v>2609</v>
      </c>
      <c r="C27" s="2842" t="s">
        <v>2449</v>
      </c>
      <c r="D27" s="2843"/>
      <c r="E27" s="2844">
        <v>1</v>
      </c>
      <c r="F27" s="2845" t="s">
        <v>2450</v>
      </c>
      <c r="G27" s="2845"/>
    </row>
    <row r="28" spans="1:13" ht="19.5" customHeight="1">
      <c r="A28" s="3464"/>
      <c r="B28" s="3460"/>
      <c r="C28" s="2846" t="s">
        <v>2451</v>
      </c>
      <c r="D28" s="2847"/>
      <c r="E28" s="2848">
        <v>1</v>
      </c>
      <c r="F28" s="2845" t="s">
        <v>2452</v>
      </c>
      <c r="G28" s="2845"/>
    </row>
    <row r="29" spans="1:13" ht="19.5" customHeight="1">
      <c r="A29" s="3464"/>
      <c r="B29" s="3460"/>
      <c r="C29" s="2846" t="s">
        <v>2453</v>
      </c>
      <c r="D29" s="2847"/>
      <c r="E29" s="2848">
        <v>0.8</v>
      </c>
      <c r="F29" s="2845" t="s">
        <v>2454</v>
      </c>
      <c r="G29" s="2845"/>
    </row>
    <row r="30" spans="1:13" ht="19.5" customHeight="1">
      <c r="A30" s="3464"/>
      <c r="B30" s="3460"/>
      <c r="C30" s="2846" t="s">
        <v>2455</v>
      </c>
      <c r="D30" s="2847"/>
      <c r="E30" s="2848">
        <v>0.8</v>
      </c>
      <c r="F30" s="2845" t="s">
        <v>2456</v>
      </c>
      <c r="G30" s="2845"/>
    </row>
    <row r="31" spans="1:13" ht="19.5" customHeight="1">
      <c r="A31" s="3464"/>
      <c r="B31" s="3460"/>
      <c r="C31" s="2846" t="s">
        <v>2457</v>
      </c>
      <c r="D31" s="2847"/>
      <c r="E31" s="2848">
        <v>0.8</v>
      </c>
      <c r="F31" s="2845" t="s">
        <v>2458</v>
      </c>
      <c r="G31" s="2845"/>
    </row>
    <row r="32" spans="1:13" ht="19.5" customHeight="1">
      <c r="A32" s="3464"/>
      <c r="B32" s="3460"/>
      <c r="C32" s="2846" t="s">
        <v>2459</v>
      </c>
      <c r="D32" s="2847"/>
      <c r="E32" s="2848">
        <v>0.7</v>
      </c>
      <c r="F32" s="2845" t="s">
        <v>2460</v>
      </c>
      <c r="G32" s="2845"/>
    </row>
    <row r="33" spans="1:7" ht="19.5" customHeight="1">
      <c r="A33" s="3464"/>
      <c r="B33" s="3460"/>
      <c r="C33" s="2846" t="s">
        <v>2461</v>
      </c>
      <c r="D33" s="2847"/>
      <c r="E33" s="2848">
        <v>0.8</v>
      </c>
      <c r="F33" s="2845" t="s">
        <v>2462</v>
      </c>
      <c r="G33" s="2845"/>
    </row>
    <row r="34" spans="1:7" ht="19.5" customHeight="1">
      <c r="A34" s="3464"/>
      <c r="B34" s="3460"/>
      <c r="C34" s="2846" t="s">
        <v>2463</v>
      </c>
      <c r="D34" s="2847"/>
      <c r="E34" s="2848">
        <v>0.6</v>
      </c>
      <c r="F34" s="2845" t="s">
        <v>2464</v>
      </c>
      <c r="G34" s="2845"/>
    </row>
    <row r="35" spans="1:7" ht="19.5" customHeight="1">
      <c r="A35" s="3464"/>
      <c r="B35" s="3460"/>
      <c r="C35" s="2846" t="s">
        <v>2465</v>
      </c>
      <c r="D35" s="2847"/>
      <c r="E35" s="2848">
        <v>0.2</v>
      </c>
      <c r="F35" s="2845" t="s">
        <v>2466</v>
      </c>
      <c r="G35" s="2845"/>
    </row>
    <row r="36" spans="1:7" ht="19.5" customHeight="1">
      <c r="A36" s="3464"/>
      <c r="B36" s="3460"/>
      <c r="C36" s="2846" t="s">
        <v>2467</v>
      </c>
      <c r="D36" s="2847"/>
      <c r="E36" s="2848">
        <v>0.2</v>
      </c>
      <c r="F36" s="2845" t="s">
        <v>2468</v>
      </c>
      <c r="G36" s="2845"/>
    </row>
    <row r="37" spans="1:7" ht="19.5" customHeight="1">
      <c r="A37" s="3464"/>
      <c r="B37" s="3458" t="s">
        <v>2629</v>
      </c>
      <c r="C37" s="2846" t="s">
        <v>2469</v>
      </c>
      <c r="D37" s="2847"/>
      <c r="E37" s="2848">
        <v>0.6</v>
      </c>
      <c r="F37" s="2845" t="s">
        <v>2470</v>
      </c>
      <c r="G37" s="2845"/>
    </row>
    <row r="38" spans="1:7" ht="19.5" customHeight="1">
      <c r="A38" s="3464"/>
      <c r="B38" s="3460"/>
      <c r="C38" s="2846" t="s">
        <v>2471</v>
      </c>
      <c r="D38" s="2847"/>
      <c r="E38" s="2848">
        <v>0.6</v>
      </c>
      <c r="F38" s="2845" t="s">
        <v>2472</v>
      </c>
      <c r="G38" s="2845"/>
    </row>
    <row r="39" spans="1:7" ht="19.5" customHeight="1" thickBot="1">
      <c r="A39" s="3465"/>
      <c r="B39" s="3462"/>
      <c r="C39" s="2849" t="s">
        <v>2473</v>
      </c>
      <c r="D39" s="2850"/>
      <c r="E39" s="2851">
        <v>0.6</v>
      </c>
      <c r="F39" s="2845" t="s">
        <v>2474</v>
      </c>
      <c r="G39" s="2845"/>
    </row>
    <row r="40" spans="1:7" ht="19.5" customHeight="1" thickBot="1">
      <c r="A40" s="2852" t="s">
        <v>2606</v>
      </c>
      <c r="B40" s="2853" t="s">
        <v>2606</v>
      </c>
      <c r="C40" s="2854" t="s">
        <v>2630</v>
      </c>
      <c r="D40" s="2855"/>
      <c r="E40" s="2856">
        <v>1</v>
      </c>
      <c r="F40" s="2845" t="s">
        <v>2475</v>
      </c>
      <c r="G40" s="2845"/>
    </row>
    <row r="41" spans="1:7" ht="19.5" customHeight="1">
      <c r="A41" s="3466" t="s">
        <v>2607</v>
      </c>
      <c r="B41" s="3461" t="s">
        <v>2631</v>
      </c>
      <c r="C41" s="2842" t="s">
        <v>2476</v>
      </c>
      <c r="D41" s="2843"/>
      <c r="E41" s="2844">
        <v>1</v>
      </c>
      <c r="F41" s="2845" t="s">
        <v>2477</v>
      </c>
      <c r="G41" s="2845"/>
    </row>
    <row r="42" spans="1:7" ht="19.5" customHeight="1">
      <c r="A42" s="3467"/>
      <c r="B42" s="3460"/>
      <c r="C42" s="2846" t="s">
        <v>2478</v>
      </c>
      <c r="D42" s="2847"/>
      <c r="E42" s="2848">
        <v>1</v>
      </c>
      <c r="F42" s="2845" t="s">
        <v>2479</v>
      </c>
      <c r="G42" s="2845"/>
    </row>
    <row r="43" spans="1:7" ht="19.5" customHeight="1">
      <c r="A43" s="3467"/>
      <c r="B43" s="3459"/>
      <c r="C43" s="2846" t="s">
        <v>2480</v>
      </c>
      <c r="D43" s="2847"/>
      <c r="E43" s="2848">
        <v>1.5</v>
      </c>
      <c r="F43" s="2845" t="s">
        <v>2481</v>
      </c>
      <c r="G43" s="2845"/>
    </row>
    <row r="44" spans="1:7" ht="19.5" customHeight="1">
      <c r="A44" s="3467"/>
      <c r="B44" s="2857" t="s">
        <v>2632</v>
      </c>
      <c r="C44" s="2846" t="s">
        <v>2633</v>
      </c>
      <c r="D44" s="2847"/>
      <c r="E44" s="2848">
        <v>2</v>
      </c>
      <c r="F44" s="2845" t="s">
        <v>2482</v>
      </c>
      <c r="G44" s="2845"/>
    </row>
    <row r="45" spans="1:7" ht="19.5" customHeight="1">
      <c r="A45" s="3467"/>
      <c r="B45" s="3458" t="s">
        <v>2634</v>
      </c>
      <c r="C45" s="2846" t="s">
        <v>2483</v>
      </c>
      <c r="D45" s="2847"/>
      <c r="E45" s="2848">
        <v>1</v>
      </c>
      <c r="F45" s="2845" t="s">
        <v>2484</v>
      </c>
      <c r="G45" s="2845"/>
    </row>
    <row r="46" spans="1:7" ht="19.5" customHeight="1">
      <c r="A46" s="3467"/>
      <c r="B46" s="3460"/>
      <c r="C46" s="2846" t="s">
        <v>2485</v>
      </c>
      <c r="D46" s="2847"/>
      <c r="E46" s="2848">
        <v>1</v>
      </c>
      <c r="F46" s="2845" t="s">
        <v>2486</v>
      </c>
      <c r="G46" s="2845"/>
    </row>
    <row r="47" spans="1:7" ht="19.5" customHeight="1">
      <c r="A47" s="3467"/>
      <c r="B47" s="3460"/>
      <c r="C47" s="2846" t="s">
        <v>2487</v>
      </c>
      <c r="D47" s="2847"/>
      <c r="E47" s="2848">
        <v>1</v>
      </c>
      <c r="F47" s="2845" t="s">
        <v>2488</v>
      </c>
      <c r="G47" s="2845"/>
    </row>
    <row r="48" spans="1:7" ht="19.5" customHeight="1">
      <c r="A48" s="3467"/>
      <c r="B48" s="3460"/>
      <c r="C48" s="2846" t="s">
        <v>2489</v>
      </c>
      <c r="D48" s="2847"/>
      <c r="E48" s="2848">
        <v>1</v>
      </c>
      <c r="F48" s="2845" t="s">
        <v>2490</v>
      </c>
      <c r="G48" s="2845"/>
    </row>
    <row r="49" spans="1:7" ht="19.5" customHeight="1">
      <c r="A49" s="3467"/>
      <c r="B49" s="3460"/>
      <c r="C49" s="2846" t="s">
        <v>2491</v>
      </c>
      <c r="D49" s="2847"/>
      <c r="E49" s="2848">
        <v>1</v>
      </c>
      <c r="F49" s="2845" t="s">
        <v>2492</v>
      </c>
      <c r="G49" s="2845"/>
    </row>
    <row r="50" spans="1:7" ht="19.5" customHeight="1">
      <c r="A50" s="3467"/>
      <c r="B50" s="3460"/>
      <c r="C50" s="2846" t="s">
        <v>2493</v>
      </c>
      <c r="D50" s="2847"/>
      <c r="E50" s="2848">
        <v>1</v>
      </c>
      <c r="F50" s="2845" t="s">
        <v>2494</v>
      </c>
      <c r="G50" s="2845"/>
    </row>
    <row r="51" spans="1:7" ht="19.5" customHeight="1" thickBot="1">
      <c r="A51" s="3468"/>
      <c r="B51" s="3462"/>
      <c r="C51" s="2849" t="s">
        <v>2495</v>
      </c>
      <c r="D51" s="2850"/>
      <c r="E51" s="2851">
        <v>1</v>
      </c>
      <c r="F51" s="2845" t="s">
        <v>2496</v>
      </c>
      <c r="G51" s="2845"/>
    </row>
    <row r="52" spans="1:7" ht="19.5" customHeight="1">
      <c r="A52" s="2858"/>
      <c r="B52" s="2858"/>
      <c r="C52" s="2858"/>
      <c r="D52" s="2858"/>
      <c r="E52" s="2858"/>
      <c r="F52" s="2858"/>
      <c r="G52" s="2858"/>
    </row>
    <row r="54" spans="1:7" ht="19.5" customHeight="1">
      <c r="A54" s="2859"/>
      <c r="B54" s="2831" t="s">
        <v>2635</v>
      </c>
      <c r="C54" s="2831" t="s">
        <v>2635</v>
      </c>
      <c r="D54" s="2831" t="s">
        <v>2635</v>
      </c>
      <c r="E54" s="2834" t="s">
        <v>2635</v>
      </c>
      <c r="F54" s="2834" t="s">
        <v>2636</v>
      </c>
      <c r="G54" s="2834" t="s">
        <v>2637</v>
      </c>
    </row>
    <row r="55" spans="1:7" ht="19.5" customHeight="1">
      <c r="A55" s="2860"/>
      <c r="B55" s="2834" t="s">
        <v>2604</v>
      </c>
      <c r="C55" s="2834" t="s">
        <v>2604</v>
      </c>
      <c r="D55" s="2834" t="s">
        <v>2604</v>
      </c>
      <c r="E55" s="2831" t="s">
        <v>2605</v>
      </c>
      <c r="F55" s="2831" t="s">
        <v>2607</v>
      </c>
      <c r="G55" s="2831" t="s">
        <v>2638</v>
      </c>
    </row>
    <row r="56" spans="1:7" ht="19.5" customHeight="1">
      <c r="A56" s="2861"/>
      <c r="B56" s="2831">
        <v>1</v>
      </c>
      <c r="C56" s="2831">
        <v>2</v>
      </c>
      <c r="D56" s="2831">
        <v>3</v>
      </c>
      <c r="E56" s="2862" t="s">
        <v>2639</v>
      </c>
      <c r="F56" s="2862" t="s">
        <v>2639</v>
      </c>
      <c r="G56" s="2862" t="s">
        <v>2639</v>
      </c>
    </row>
    <row r="57" spans="1:7" ht="19.5" customHeight="1">
      <c r="A57" s="2863" t="s">
        <v>2592</v>
      </c>
      <c r="B57" s="2831">
        <v>0.7</v>
      </c>
      <c r="C57" s="2831">
        <v>0.4</v>
      </c>
      <c r="D57" s="2831">
        <v>0.3</v>
      </c>
      <c r="E57" s="2862">
        <v>0.3</v>
      </c>
      <c r="F57" s="2831">
        <v>0.3</v>
      </c>
      <c r="G57" s="2831">
        <v>0.2</v>
      </c>
    </row>
    <row r="58" spans="1:7" ht="19.5" customHeight="1">
      <c r="A58" s="2863" t="s">
        <v>2593</v>
      </c>
      <c r="B58" s="2831">
        <v>0.7</v>
      </c>
      <c r="C58" s="2831">
        <v>0.4</v>
      </c>
      <c r="D58" s="2831">
        <v>0.3</v>
      </c>
      <c r="E58" s="2831">
        <v>0.3</v>
      </c>
      <c r="F58" s="2831">
        <v>0.3</v>
      </c>
      <c r="G58" s="2831">
        <v>0.2</v>
      </c>
    </row>
    <row r="59" spans="1:7" ht="19.5" customHeight="1">
      <c r="A59" s="2863" t="s">
        <v>2594</v>
      </c>
      <c r="B59" s="2831">
        <v>0.6</v>
      </c>
      <c r="C59" s="2831">
        <v>0.3</v>
      </c>
      <c r="D59" s="2831">
        <v>0.25</v>
      </c>
      <c r="E59" s="2831">
        <v>0.25</v>
      </c>
      <c r="F59" s="2831">
        <v>0.25</v>
      </c>
      <c r="G59" s="2831">
        <v>0.15</v>
      </c>
    </row>
    <row r="60" spans="1:7" ht="19.5" customHeight="1">
      <c r="A60" s="2863" t="s">
        <v>2595</v>
      </c>
      <c r="B60" s="2831">
        <v>0.6</v>
      </c>
      <c r="C60" s="2831">
        <v>0.3</v>
      </c>
      <c r="D60" s="2831">
        <v>0.25</v>
      </c>
      <c r="E60" s="2831">
        <v>0.25</v>
      </c>
      <c r="F60" s="2831">
        <v>0.25</v>
      </c>
      <c r="G60" s="2831">
        <v>0.15</v>
      </c>
    </row>
    <row r="61" spans="1:7" ht="19.5" customHeight="1">
      <c r="A61" s="2863" t="s">
        <v>2596</v>
      </c>
      <c r="B61" s="2831">
        <v>0.6</v>
      </c>
      <c r="C61" s="2831">
        <v>0.3</v>
      </c>
      <c r="D61" s="2831">
        <v>0.25</v>
      </c>
      <c r="E61" s="2831">
        <v>0.25</v>
      </c>
      <c r="F61" s="2831">
        <v>0.25</v>
      </c>
      <c r="G61" s="2831">
        <v>0.15</v>
      </c>
    </row>
    <row r="62" spans="1:7" ht="19.5" customHeight="1">
      <c r="A62" s="2863" t="s">
        <v>2597</v>
      </c>
      <c r="B62" s="2831">
        <v>0.6</v>
      </c>
      <c r="C62" s="2831">
        <v>0.3</v>
      </c>
      <c r="D62" s="2831">
        <v>0.25</v>
      </c>
      <c r="E62" s="2831">
        <v>0.25</v>
      </c>
      <c r="F62" s="2831">
        <v>0.25</v>
      </c>
      <c r="G62" s="2831">
        <v>0.15</v>
      </c>
    </row>
    <row r="63" spans="1:7" ht="19.5" customHeight="1">
      <c r="A63" s="2863" t="s">
        <v>2598</v>
      </c>
      <c r="B63" s="2831">
        <v>0.6</v>
      </c>
      <c r="C63" s="2831">
        <v>0.3</v>
      </c>
      <c r="D63" s="2831">
        <v>0.25</v>
      </c>
      <c r="E63" s="2831">
        <v>0.25</v>
      </c>
      <c r="F63" s="2831">
        <v>0.25</v>
      </c>
      <c r="G63" s="2831">
        <v>0.15</v>
      </c>
    </row>
    <row r="64" spans="1:7" ht="19.5" customHeight="1">
      <c r="A64" s="2863" t="s">
        <v>2599</v>
      </c>
      <c r="B64" s="2831">
        <v>0.5</v>
      </c>
      <c r="C64" s="2831">
        <v>0.2</v>
      </c>
      <c r="D64" s="2831">
        <v>0.2</v>
      </c>
      <c r="E64" s="2831">
        <v>0.2</v>
      </c>
      <c r="F64" s="2831">
        <v>0.2</v>
      </c>
      <c r="G64" s="2831">
        <v>0.1</v>
      </c>
    </row>
    <row r="65" spans="1:7" ht="19.5" customHeight="1">
      <c r="A65" s="2863" t="s">
        <v>2600</v>
      </c>
      <c r="B65" s="2831">
        <v>0.5</v>
      </c>
      <c r="C65" s="2831">
        <v>0.2</v>
      </c>
      <c r="D65" s="2831">
        <v>0.2</v>
      </c>
      <c r="E65" s="2831">
        <v>0.2</v>
      </c>
      <c r="F65" s="2831">
        <v>0.2</v>
      </c>
      <c r="G65" s="2831">
        <v>0.1</v>
      </c>
    </row>
    <row r="66" spans="1:7" ht="19.5" customHeight="1">
      <c r="A66" s="2863" t="s">
        <v>2601</v>
      </c>
      <c r="B66" s="2831">
        <v>0.5</v>
      </c>
      <c r="C66" s="2831">
        <v>0.2</v>
      </c>
      <c r="D66" s="2831">
        <v>0.2</v>
      </c>
      <c r="E66" s="2831">
        <v>0.2</v>
      </c>
      <c r="F66" s="2831">
        <v>0.2</v>
      </c>
      <c r="G66" s="2831">
        <v>0.1</v>
      </c>
    </row>
    <row r="67" spans="1:7" ht="19.5" customHeight="1">
      <c r="A67" s="2863" t="s">
        <v>2602</v>
      </c>
      <c r="B67" s="2831">
        <v>0.5</v>
      </c>
      <c r="C67" s="2831">
        <v>0.2</v>
      </c>
      <c r="D67" s="2831">
        <v>0.2</v>
      </c>
      <c r="E67" s="2831">
        <v>0.2</v>
      </c>
      <c r="F67" s="2831">
        <v>0.2</v>
      </c>
      <c r="G67" s="2831">
        <v>0.1</v>
      </c>
    </row>
    <row r="68" spans="1:7" ht="19.5" customHeight="1">
      <c r="A68" s="2863" t="s">
        <v>2603</v>
      </c>
      <c r="B68" s="2831">
        <v>0.5</v>
      </c>
      <c r="C68" s="2831">
        <v>0.2</v>
      </c>
      <c r="D68" s="2831">
        <v>0.2</v>
      </c>
      <c r="E68" s="2831">
        <v>0.2</v>
      </c>
      <c r="F68" s="2831">
        <v>0.2</v>
      </c>
      <c r="G68" s="2831">
        <v>0.1</v>
      </c>
    </row>
    <row r="70" spans="1:7" ht="19.5" customHeight="1">
      <c r="A70" s="2845"/>
      <c r="B70" s="2864"/>
      <c r="C70" s="2864"/>
      <c r="D70" s="2864" t="s">
        <v>2640</v>
      </c>
      <c r="E70" s="2864"/>
      <c r="F70" s="2864"/>
    </row>
    <row r="71" spans="1:7" ht="19.5" customHeight="1">
      <c r="A71" s="2857" t="s">
        <v>2641</v>
      </c>
      <c r="B71" s="2857" t="s">
        <v>2642</v>
      </c>
      <c r="C71" s="2857" t="s">
        <v>2643</v>
      </c>
      <c r="D71" s="2857" t="s">
        <v>2644</v>
      </c>
      <c r="E71" s="2857" t="s">
        <v>2645</v>
      </c>
      <c r="F71" s="2857" t="s">
        <v>2646</v>
      </c>
    </row>
    <row r="72" spans="1:7" ht="13.5">
      <c r="A72" s="2857"/>
      <c r="B72" s="2857"/>
      <c r="C72" s="2857" t="s">
        <v>2647</v>
      </c>
      <c r="D72" s="2857"/>
      <c r="E72" s="2857" t="s">
        <v>2618</v>
      </c>
      <c r="F72" s="2857" t="s">
        <v>2618</v>
      </c>
    </row>
    <row r="73" spans="1:7" ht="13.5">
      <c r="A73" s="2857">
        <v>1</v>
      </c>
      <c r="B73" s="3458" t="s">
        <v>2648</v>
      </c>
      <c r="C73" s="2831" t="s">
        <v>2649</v>
      </c>
      <c r="D73" s="2831" t="s">
        <v>2650</v>
      </c>
      <c r="E73" s="2857">
        <v>0.2</v>
      </c>
      <c r="F73" s="2857">
        <v>25</v>
      </c>
    </row>
    <row r="74" spans="1:7" ht="24">
      <c r="A74" s="2857">
        <v>2</v>
      </c>
      <c r="B74" s="3460"/>
      <c r="C74" s="2831" t="s">
        <v>2651</v>
      </c>
      <c r="D74" s="2831" t="s">
        <v>2652</v>
      </c>
      <c r="E74" s="2857">
        <v>0.2</v>
      </c>
      <c r="F74" s="2857">
        <v>25</v>
      </c>
    </row>
    <row r="75" spans="1:7" ht="24">
      <c r="A75" s="2857">
        <v>3</v>
      </c>
      <c r="B75" s="3460"/>
      <c r="C75" s="2831" t="s">
        <v>2653</v>
      </c>
      <c r="D75" s="2831" t="s">
        <v>2654</v>
      </c>
      <c r="E75" s="2857">
        <v>0.2</v>
      </c>
      <c r="F75" s="2857">
        <v>25</v>
      </c>
    </row>
    <row r="76" spans="1:7" ht="13.5">
      <c r="A76" s="2857">
        <v>4</v>
      </c>
      <c r="B76" s="3460"/>
      <c r="C76" s="2831" t="s">
        <v>2655</v>
      </c>
      <c r="D76" s="2831" t="s">
        <v>2656</v>
      </c>
      <c r="E76" s="2857">
        <v>0.15</v>
      </c>
      <c r="F76" s="2857">
        <v>20</v>
      </c>
    </row>
    <row r="77" spans="1:7" ht="24">
      <c r="A77" s="2857">
        <v>5</v>
      </c>
      <c r="B77" s="3460"/>
      <c r="C77" s="2831" t="s">
        <v>2657</v>
      </c>
      <c r="D77" s="2831" t="s">
        <v>2658</v>
      </c>
      <c r="E77" s="2857">
        <v>0.15</v>
      </c>
      <c r="F77" s="2857">
        <v>20</v>
      </c>
    </row>
    <row r="78" spans="1:7" ht="24">
      <c r="A78" s="2857">
        <v>6</v>
      </c>
      <c r="B78" s="3460"/>
      <c r="C78" s="2831" t="s">
        <v>2659</v>
      </c>
      <c r="D78" s="2831" t="s">
        <v>2660</v>
      </c>
      <c r="E78" s="2857">
        <v>0.15</v>
      </c>
      <c r="F78" s="2857">
        <v>20</v>
      </c>
    </row>
    <row r="79" spans="1:7" ht="24">
      <c r="A79" s="2857">
        <v>7</v>
      </c>
      <c r="B79" s="3460"/>
      <c r="C79" s="2831" t="s">
        <v>2661</v>
      </c>
      <c r="D79" s="2831" t="s">
        <v>2662</v>
      </c>
      <c r="E79" s="2857">
        <v>0.15</v>
      </c>
      <c r="F79" s="2857">
        <v>20</v>
      </c>
    </row>
    <row r="80" spans="1:7" ht="24">
      <c r="A80" s="2857">
        <v>8</v>
      </c>
      <c r="B80" s="3460"/>
      <c r="C80" s="2831" t="s">
        <v>2663</v>
      </c>
      <c r="D80" s="2831" t="s">
        <v>2664</v>
      </c>
      <c r="E80" s="2857">
        <v>0.1</v>
      </c>
      <c r="F80" s="2857">
        <v>15</v>
      </c>
    </row>
    <row r="81" spans="1:6" ht="24">
      <c r="A81" s="2857">
        <v>9</v>
      </c>
      <c r="B81" s="3460"/>
      <c r="C81" s="2831" t="s">
        <v>2665</v>
      </c>
      <c r="D81" s="2831" t="s">
        <v>2666</v>
      </c>
      <c r="E81" s="2857">
        <v>0.1</v>
      </c>
      <c r="F81" s="2857">
        <v>15</v>
      </c>
    </row>
    <row r="82" spans="1:6" ht="24">
      <c r="A82" s="2857">
        <v>10</v>
      </c>
      <c r="B82" s="3460"/>
      <c r="C82" s="2831" t="s">
        <v>2667</v>
      </c>
      <c r="D82" s="2831" t="s">
        <v>2668</v>
      </c>
      <c r="E82" s="2857">
        <v>0.1</v>
      </c>
      <c r="F82" s="2857">
        <v>15</v>
      </c>
    </row>
    <row r="83" spans="1:6" ht="24">
      <c r="A83" s="2857">
        <v>11</v>
      </c>
      <c r="B83" s="3460"/>
      <c r="C83" s="2831" t="s">
        <v>2669</v>
      </c>
      <c r="D83" s="2831" t="s">
        <v>2670</v>
      </c>
      <c r="E83" s="2857">
        <v>0.1</v>
      </c>
      <c r="F83" s="2857">
        <v>15</v>
      </c>
    </row>
    <row r="84" spans="1:6" ht="24">
      <c r="A84" s="2857">
        <v>12</v>
      </c>
      <c r="B84" s="3460"/>
      <c r="C84" s="2831" t="s">
        <v>2671</v>
      </c>
      <c r="D84" s="2831" t="s">
        <v>2672</v>
      </c>
      <c r="E84" s="2857">
        <v>0.1</v>
      </c>
      <c r="F84" s="2857">
        <v>15</v>
      </c>
    </row>
    <row r="85" spans="1:6" ht="13.5">
      <c r="A85" s="2857">
        <v>13</v>
      </c>
      <c r="B85" s="3460"/>
      <c r="C85" s="2831" t="s">
        <v>2673</v>
      </c>
      <c r="D85" s="2831" t="s">
        <v>2674</v>
      </c>
      <c r="E85" s="2857">
        <v>0.1</v>
      </c>
      <c r="F85" s="2857">
        <v>15</v>
      </c>
    </row>
    <row r="86" spans="1:6" ht="13.5">
      <c r="A86" s="2857">
        <v>14</v>
      </c>
      <c r="B86" s="3460"/>
      <c r="C86" s="2831" t="s">
        <v>2675</v>
      </c>
      <c r="D86" s="2831" t="s">
        <v>2676</v>
      </c>
      <c r="E86" s="2857">
        <v>0.1</v>
      </c>
      <c r="F86" s="2857">
        <v>15</v>
      </c>
    </row>
    <row r="87" spans="1:6" ht="13.5">
      <c r="A87" s="2857">
        <v>15</v>
      </c>
      <c r="B87" s="3460"/>
      <c r="C87" s="2831" t="s">
        <v>2677</v>
      </c>
      <c r="D87" s="2831" t="s">
        <v>2678</v>
      </c>
      <c r="E87" s="2857">
        <v>0.1</v>
      </c>
      <c r="F87" s="2857">
        <v>15</v>
      </c>
    </row>
    <row r="88" spans="1:6" ht="24">
      <c r="A88" s="2857">
        <v>16</v>
      </c>
      <c r="B88" s="3460"/>
      <c r="C88" s="2831" t="s">
        <v>2679</v>
      </c>
      <c r="D88" s="2831" t="s">
        <v>2680</v>
      </c>
      <c r="E88" s="2857">
        <v>0.1</v>
      </c>
      <c r="F88" s="2857">
        <v>15</v>
      </c>
    </row>
    <row r="89" spans="1:6" ht="24">
      <c r="A89" s="2857">
        <v>17</v>
      </c>
      <c r="B89" s="3459"/>
      <c r="C89" s="2831" t="s">
        <v>2681</v>
      </c>
      <c r="D89" s="2831" t="s">
        <v>2682</v>
      </c>
      <c r="E89" s="2857">
        <v>0.1</v>
      </c>
      <c r="F89" s="2857">
        <v>15</v>
      </c>
    </row>
    <row r="90" spans="1:6" ht="13.5">
      <c r="A90" s="2857">
        <v>18</v>
      </c>
      <c r="B90" s="3458" t="s">
        <v>2683</v>
      </c>
      <c r="C90" s="2831" t="s">
        <v>2684</v>
      </c>
      <c r="D90" s="2831" t="s">
        <v>2685</v>
      </c>
      <c r="E90" s="2857">
        <v>0.2</v>
      </c>
      <c r="F90" s="2857">
        <v>25</v>
      </c>
    </row>
    <row r="91" spans="1:6" ht="24">
      <c r="A91" s="2857">
        <v>19</v>
      </c>
      <c r="B91" s="3460"/>
      <c r="C91" s="2831" t="s">
        <v>2686</v>
      </c>
      <c r="D91" s="2831" t="s">
        <v>2687</v>
      </c>
      <c r="E91" s="2857">
        <v>0.2</v>
      </c>
      <c r="F91" s="2857">
        <v>25</v>
      </c>
    </row>
    <row r="92" spans="1:6" ht="13.5">
      <c r="A92" s="2857">
        <v>20</v>
      </c>
      <c r="B92" s="3460"/>
      <c r="C92" s="2831" t="s">
        <v>2688</v>
      </c>
      <c r="D92" s="2831" t="s">
        <v>2689</v>
      </c>
      <c r="E92" s="2857">
        <v>0.15</v>
      </c>
      <c r="F92" s="2857">
        <v>20</v>
      </c>
    </row>
    <row r="93" spans="1:6" ht="13.5">
      <c r="A93" s="2857">
        <v>21</v>
      </c>
      <c r="B93" s="3460"/>
      <c r="C93" s="2831" t="s">
        <v>2690</v>
      </c>
      <c r="D93" s="2831" t="s">
        <v>2691</v>
      </c>
      <c r="E93" s="2857">
        <v>0.15</v>
      </c>
      <c r="F93" s="2857">
        <v>20</v>
      </c>
    </row>
    <row r="94" spans="1:6" ht="13.5">
      <c r="A94" s="2857">
        <v>22</v>
      </c>
      <c r="B94" s="3460"/>
      <c r="C94" s="2831" t="s">
        <v>2692</v>
      </c>
      <c r="D94" s="2831" t="s">
        <v>2693</v>
      </c>
      <c r="E94" s="2857">
        <v>0.15</v>
      </c>
      <c r="F94" s="2857">
        <v>20</v>
      </c>
    </row>
    <row r="95" spans="1:6" ht="36">
      <c r="A95" s="2857">
        <v>23</v>
      </c>
      <c r="B95" s="3460"/>
      <c r="C95" s="2831" t="s">
        <v>2694</v>
      </c>
      <c r="D95" s="2831" t="s">
        <v>2695</v>
      </c>
      <c r="E95" s="2857">
        <v>0.15</v>
      </c>
      <c r="F95" s="2857">
        <v>20</v>
      </c>
    </row>
    <row r="96" spans="1:6" ht="13.5">
      <c r="A96" s="2857">
        <v>24</v>
      </c>
      <c r="B96" s="3460"/>
      <c r="C96" s="2831" t="s">
        <v>2696</v>
      </c>
      <c r="D96" s="2831" t="s">
        <v>2697</v>
      </c>
      <c r="E96" s="2857">
        <v>0.1</v>
      </c>
      <c r="F96" s="2857">
        <v>15</v>
      </c>
    </row>
    <row r="97" spans="1:6" ht="13.5">
      <c r="A97" s="2857">
        <v>25</v>
      </c>
      <c r="B97" s="3460"/>
      <c r="C97" s="2831" t="s">
        <v>2698</v>
      </c>
      <c r="D97" s="2831" t="s">
        <v>2699</v>
      </c>
      <c r="E97" s="2857">
        <v>0.1</v>
      </c>
      <c r="F97" s="2857">
        <v>15</v>
      </c>
    </row>
    <row r="98" spans="1:6" ht="24">
      <c r="A98" s="2857">
        <v>26</v>
      </c>
      <c r="B98" s="3460"/>
      <c r="C98" s="2831" t="s">
        <v>2700</v>
      </c>
      <c r="D98" s="2831" t="s">
        <v>2701</v>
      </c>
      <c r="E98" s="2857">
        <v>0.1</v>
      </c>
      <c r="F98" s="2857">
        <v>15</v>
      </c>
    </row>
    <row r="99" spans="1:6" ht="24">
      <c r="A99" s="2857">
        <v>27</v>
      </c>
      <c r="B99" s="3460"/>
      <c r="C99" s="2831" t="s">
        <v>2702</v>
      </c>
      <c r="D99" s="2831" t="s">
        <v>2703</v>
      </c>
      <c r="E99" s="2857">
        <v>0.1</v>
      </c>
      <c r="F99" s="2857">
        <v>15</v>
      </c>
    </row>
    <row r="100" spans="1:6" ht="13.5">
      <c r="A100" s="2857">
        <v>28</v>
      </c>
      <c r="B100" s="3460"/>
      <c r="C100" s="2831" t="s">
        <v>2704</v>
      </c>
      <c r="D100" s="2831" t="s">
        <v>2705</v>
      </c>
      <c r="E100" s="2857">
        <v>0.1</v>
      </c>
      <c r="F100" s="2857">
        <v>15</v>
      </c>
    </row>
    <row r="101" spans="1:6" ht="13.5">
      <c r="A101" s="2857">
        <v>29</v>
      </c>
      <c r="B101" s="3460"/>
      <c r="C101" s="2831" t="s">
        <v>2706</v>
      </c>
      <c r="D101" s="2831" t="s">
        <v>2707</v>
      </c>
      <c r="E101" s="2857">
        <v>0.1</v>
      </c>
      <c r="F101" s="2857">
        <v>15</v>
      </c>
    </row>
    <row r="102" spans="1:6" ht="13.5">
      <c r="A102" s="2857">
        <v>30</v>
      </c>
      <c r="B102" s="3460"/>
      <c r="C102" s="2831" t="s">
        <v>2708</v>
      </c>
      <c r="D102" s="2831" t="s">
        <v>2709</v>
      </c>
      <c r="E102" s="2857">
        <v>0.1</v>
      </c>
      <c r="F102" s="2857">
        <v>15</v>
      </c>
    </row>
    <row r="103" spans="1:6" ht="24">
      <c r="A103" s="2857">
        <v>31</v>
      </c>
      <c r="B103" s="3460"/>
      <c r="C103" s="2831" t="s">
        <v>2710</v>
      </c>
      <c r="D103" s="2831" t="s">
        <v>2711</v>
      </c>
      <c r="E103" s="2857">
        <v>0.1</v>
      </c>
      <c r="F103" s="2857">
        <v>15</v>
      </c>
    </row>
    <row r="104" spans="1:6" ht="24">
      <c r="A104" s="2857">
        <v>32</v>
      </c>
      <c r="B104" s="3460"/>
      <c r="C104" s="2831" t="s">
        <v>2712</v>
      </c>
      <c r="D104" s="2831" t="s">
        <v>2713</v>
      </c>
      <c r="E104" s="2857">
        <v>0.1</v>
      </c>
      <c r="F104" s="2857">
        <v>15</v>
      </c>
    </row>
    <row r="105" spans="1:6" ht="24">
      <c r="A105" s="2857">
        <v>33</v>
      </c>
      <c r="B105" s="3460"/>
      <c r="C105" s="2831" t="s">
        <v>2714</v>
      </c>
      <c r="D105" s="2831" t="s">
        <v>2715</v>
      </c>
      <c r="E105" s="2857">
        <v>0.1</v>
      </c>
      <c r="F105" s="2857">
        <v>15</v>
      </c>
    </row>
    <row r="106" spans="1:6" ht="24">
      <c r="A106" s="2857">
        <v>34</v>
      </c>
      <c r="B106" s="3459"/>
      <c r="C106" s="2831" t="s">
        <v>2716</v>
      </c>
      <c r="D106" s="2831" t="s">
        <v>2717</v>
      </c>
      <c r="E106" s="2857">
        <v>0.1</v>
      </c>
      <c r="F106" s="2857">
        <v>15</v>
      </c>
    </row>
    <row r="107" spans="1:6" ht="24">
      <c r="A107" s="2857">
        <v>35</v>
      </c>
      <c r="B107" s="3458" t="s">
        <v>2718</v>
      </c>
      <c r="C107" s="2857" t="s">
        <v>2719</v>
      </c>
      <c r="D107" s="2831" t="s">
        <v>2720</v>
      </c>
      <c r="E107" s="2857">
        <v>0.15</v>
      </c>
      <c r="F107" s="2857">
        <v>20</v>
      </c>
    </row>
    <row r="108" spans="1:6" ht="13.5">
      <c r="A108" s="2857">
        <v>36</v>
      </c>
      <c r="B108" s="3460"/>
      <c r="C108" s="2857" t="s">
        <v>2721</v>
      </c>
      <c r="D108" s="2831" t="s">
        <v>2722</v>
      </c>
      <c r="E108" s="2857">
        <v>0.15</v>
      </c>
      <c r="F108" s="2857">
        <v>20</v>
      </c>
    </row>
    <row r="109" spans="1:6" ht="13.5">
      <c r="A109" s="2857">
        <v>37</v>
      </c>
      <c r="B109" s="3460"/>
      <c r="C109" s="2857" t="s">
        <v>2723</v>
      </c>
      <c r="D109" s="2831" t="s">
        <v>2724</v>
      </c>
      <c r="E109" s="2857">
        <v>0.15</v>
      </c>
      <c r="F109" s="2857">
        <v>20</v>
      </c>
    </row>
    <row r="110" spans="1:6" ht="13.5">
      <c r="A110" s="2857">
        <v>38</v>
      </c>
      <c r="B110" s="3460"/>
      <c r="C110" s="2857" t="s">
        <v>2725</v>
      </c>
      <c r="D110" s="2831" t="s">
        <v>2726</v>
      </c>
      <c r="E110" s="2857">
        <v>0.1</v>
      </c>
      <c r="F110" s="2857">
        <v>15</v>
      </c>
    </row>
    <row r="111" spans="1:6" ht="24">
      <c r="A111" s="2857">
        <v>39</v>
      </c>
      <c r="B111" s="3460"/>
      <c r="C111" s="2857" t="s">
        <v>2727</v>
      </c>
      <c r="D111" s="2831" t="s">
        <v>2728</v>
      </c>
      <c r="E111" s="2857">
        <v>0.1</v>
      </c>
      <c r="F111" s="2857">
        <v>15</v>
      </c>
    </row>
    <row r="112" spans="1:6" ht="24">
      <c r="A112" s="2857">
        <v>40</v>
      </c>
      <c r="B112" s="3459"/>
      <c r="C112" s="2857" t="s">
        <v>2729</v>
      </c>
      <c r="D112" s="2831" t="s">
        <v>2730</v>
      </c>
      <c r="E112" s="2857">
        <v>0.1</v>
      </c>
      <c r="F112" s="2857">
        <v>15</v>
      </c>
    </row>
    <row r="113" spans="1:6" ht="13.5">
      <c r="A113" s="2857">
        <v>41</v>
      </c>
      <c r="B113" s="3457" t="s">
        <v>2731</v>
      </c>
      <c r="C113" s="2857" t="s">
        <v>2732</v>
      </c>
      <c r="D113" s="2831" t="s">
        <v>2733</v>
      </c>
      <c r="E113" s="2857">
        <v>0.1</v>
      </c>
      <c r="F113" s="2857">
        <v>15</v>
      </c>
    </row>
    <row r="114" spans="1:6" ht="13.5">
      <c r="A114" s="2857">
        <v>42</v>
      </c>
      <c r="B114" s="3457"/>
      <c r="C114" s="2857" t="s">
        <v>2734</v>
      </c>
      <c r="D114" s="2831" t="s">
        <v>2735</v>
      </c>
      <c r="E114" s="2857">
        <v>0.1</v>
      </c>
      <c r="F114" s="2857">
        <v>15</v>
      </c>
    </row>
    <row r="115" spans="1:6" ht="24">
      <c r="A115" s="2857">
        <v>43</v>
      </c>
      <c r="B115" s="3457"/>
      <c r="C115" s="2857" t="s">
        <v>2736</v>
      </c>
      <c r="D115" s="2831" t="s">
        <v>2737</v>
      </c>
      <c r="E115" s="2857">
        <v>0.1</v>
      </c>
      <c r="F115" s="2857">
        <v>15</v>
      </c>
    </row>
    <row r="116" spans="1:6" ht="13.5">
      <c r="A116" s="2857">
        <v>44</v>
      </c>
      <c r="B116" s="3458" t="s">
        <v>2738</v>
      </c>
      <c r="C116" s="2857" t="s">
        <v>2739</v>
      </c>
      <c r="D116" s="2831" t="s">
        <v>2740</v>
      </c>
      <c r="E116" s="2857">
        <v>0.1</v>
      </c>
      <c r="F116" s="2857">
        <v>15</v>
      </c>
    </row>
    <row r="117" spans="1:6" ht="24">
      <c r="A117" s="2857">
        <v>45</v>
      </c>
      <c r="B117" s="3459"/>
      <c r="C117" s="2831" t="s">
        <v>2741</v>
      </c>
      <c r="D117" s="2831" t="s">
        <v>2742</v>
      </c>
      <c r="E117" s="2857">
        <v>0.1</v>
      </c>
      <c r="F117" s="2857">
        <v>15</v>
      </c>
    </row>
    <row r="118" spans="1:6" ht="24">
      <c r="A118" s="2857">
        <v>46</v>
      </c>
      <c r="B118" s="3458" t="s">
        <v>2743</v>
      </c>
      <c r="C118" s="2857" t="s">
        <v>2744</v>
      </c>
      <c r="D118" s="2831" t="s">
        <v>2745</v>
      </c>
      <c r="E118" s="2857">
        <v>0.1</v>
      </c>
      <c r="F118" s="2857">
        <v>15</v>
      </c>
    </row>
    <row r="119" spans="1:6" ht="24">
      <c r="A119" s="2857">
        <v>47</v>
      </c>
      <c r="B119" s="3459"/>
      <c r="C119" s="2857" t="s">
        <v>2746</v>
      </c>
      <c r="D119" s="2831" t="s">
        <v>2747</v>
      </c>
      <c r="E119" s="2857">
        <v>0.1</v>
      </c>
      <c r="F119" s="2857">
        <v>15</v>
      </c>
    </row>
    <row r="120" spans="1:6" ht="13.5">
      <c r="A120" s="2857">
        <v>48</v>
      </c>
      <c r="B120" s="3458" t="s">
        <v>2748</v>
      </c>
      <c r="C120" s="2857" t="s">
        <v>2749</v>
      </c>
      <c r="D120" s="2831" t="s">
        <v>2750</v>
      </c>
      <c r="E120" s="2857">
        <v>0.1</v>
      </c>
      <c r="F120" s="2857">
        <v>15</v>
      </c>
    </row>
    <row r="121" spans="1:6" ht="13.5">
      <c r="A121" s="2857">
        <v>49</v>
      </c>
      <c r="B121" s="3459"/>
      <c r="C121" s="2857" t="s">
        <v>2751</v>
      </c>
      <c r="D121" s="2831" t="s">
        <v>2752</v>
      </c>
      <c r="E121" s="2857">
        <v>0.1</v>
      </c>
      <c r="F121" s="2857">
        <v>15</v>
      </c>
    </row>
    <row r="122" spans="1:6" ht="24">
      <c r="A122" s="2857">
        <v>50</v>
      </c>
      <c r="B122" s="3457" t="s">
        <v>2753</v>
      </c>
      <c r="C122" s="2857" t="s">
        <v>2754</v>
      </c>
      <c r="D122" s="2831" t="s">
        <v>2755</v>
      </c>
      <c r="E122" s="2857">
        <v>0.1</v>
      </c>
      <c r="F122" s="2857">
        <v>15</v>
      </c>
    </row>
    <row r="123" spans="1:6" ht="24">
      <c r="A123" s="2857">
        <v>51</v>
      </c>
      <c r="B123" s="3457"/>
      <c r="C123" s="2857" t="s">
        <v>2756</v>
      </c>
      <c r="D123" s="2831" t="s">
        <v>2757</v>
      </c>
      <c r="E123" s="2857">
        <v>0.1</v>
      </c>
      <c r="F123" s="2857">
        <v>15</v>
      </c>
    </row>
    <row r="124" spans="1:6" ht="24">
      <c r="A124" s="2857">
        <v>52</v>
      </c>
      <c r="B124" s="3457" t="s">
        <v>2758</v>
      </c>
      <c r="C124" s="2857" t="s">
        <v>2759</v>
      </c>
      <c r="D124" s="2831" t="s">
        <v>2760</v>
      </c>
      <c r="E124" s="2857">
        <v>0.1</v>
      </c>
      <c r="F124" s="2857">
        <v>15</v>
      </c>
    </row>
    <row r="125" spans="1:6" ht="24">
      <c r="A125" s="2857">
        <v>53</v>
      </c>
      <c r="B125" s="3457"/>
      <c r="C125" s="2857" t="s">
        <v>2761</v>
      </c>
      <c r="D125" s="2831" t="s">
        <v>2762</v>
      </c>
      <c r="E125" s="2857">
        <v>0.1</v>
      </c>
      <c r="F125" s="2857">
        <v>15</v>
      </c>
    </row>
    <row r="126" spans="1:6" ht="13.5">
      <c r="A126" s="2857">
        <v>54</v>
      </c>
      <c r="B126" s="2857" t="s">
        <v>2763</v>
      </c>
      <c r="C126" s="2857" t="s">
        <v>2764</v>
      </c>
      <c r="D126" s="2831" t="s">
        <v>2765</v>
      </c>
      <c r="E126" s="2857">
        <v>0.1</v>
      </c>
      <c r="F126" s="2857">
        <v>15</v>
      </c>
    </row>
    <row r="127" spans="1:6" ht="13.5">
      <c r="A127" s="2857">
        <v>55</v>
      </c>
      <c r="B127" s="3457" t="s">
        <v>2766</v>
      </c>
      <c r="C127" s="2857" t="s">
        <v>2767</v>
      </c>
      <c r="D127" s="2831" t="s">
        <v>2768</v>
      </c>
      <c r="E127" s="2857">
        <v>0.1</v>
      </c>
      <c r="F127" s="2857">
        <v>15</v>
      </c>
    </row>
    <row r="128" spans="1:6" ht="13.5">
      <c r="A128" s="2857">
        <v>56</v>
      </c>
      <c r="B128" s="3457"/>
      <c r="C128" s="2857" t="s">
        <v>2769</v>
      </c>
      <c r="D128" s="2831" t="s">
        <v>2770</v>
      </c>
      <c r="E128" s="2857">
        <v>0.1</v>
      </c>
      <c r="F128" s="2857">
        <v>15</v>
      </c>
    </row>
    <row r="129" spans="1:6" ht="24">
      <c r="A129" s="2857">
        <v>57</v>
      </c>
      <c r="B129" s="3457"/>
      <c r="C129" s="2857" t="s">
        <v>2771</v>
      </c>
      <c r="D129" s="2831" t="s">
        <v>2772</v>
      </c>
      <c r="E129" s="2857">
        <v>0.1</v>
      </c>
      <c r="F129" s="2857">
        <v>15</v>
      </c>
    </row>
    <row r="130" spans="1:6" ht="24">
      <c r="A130" s="2857">
        <v>58</v>
      </c>
      <c r="B130" s="3457" t="s">
        <v>2773</v>
      </c>
      <c r="C130" s="2857" t="s">
        <v>2774</v>
      </c>
      <c r="D130" s="2831" t="s">
        <v>2775</v>
      </c>
      <c r="E130" s="2857">
        <v>0.1</v>
      </c>
      <c r="F130" s="2857">
        <v>15</v>
      </c>
    </row>
    <row r="131" spans="1:6" ht="13.5">
      <c r="A131" s="2857">
        <v>59</v>
      </c>
      <c r="B131" s="3457"/>
      <c r="C131" s="2857" t="s">
        <v>2776</v>
      </c>
      <c r="D131" s="2831" t="s">
        <v>2777</v>
      </c>
      <c r="E131" s="2857">
        <v>0.1</v>
      </c>
      <c r="F131" s="2857">
        <v>15</v>
      </c>
    </row>
    <row r="132" spans="1:6" ht="13.5">
      <c r="A132" s="2857">
        <v>60</v>
      </c>
      <c r="B132" s="3458" t="s">
        <v>2778</v>
      </c>
      <c r="C132" s="2857" t="s">
        <v>2779</v>
      </c>
      <c r="D132" s="2831" t="s">
        <v>2780</v>
      </c>
      <c r="E132" s="2857">
        <v>0.1</v>
      </c>
      <c r="F132" s="2857">
        <v>15</v>
      </c>
    </row>
    <row r="133" spans="1:6" ht="13.5">
      <c r="A133" s="2857">
        <v>61</v>
      </c>
      <c r="B133" s="3459"/>
      <c r="C133" s="2857" t="s">
        <v>2781</v>
      </c>
      <c r="D133" s="2831" t="s">
        <v>2782</v>
      </c>
      <c r="E133" s="2857">
        <v>0.1</v>
      </c>
      <c r="F133" s="2857">
        <v>15</v>
      </c>
    </row>
    <row r="134" spans="1:6" ht="24">
      <c r="A134" s="2857">
        <v>62</v>
      </c>
      <c r="B134" s="2857" t="s">
        <v>2783</v>
      </c>
      <c r="C134" s="2857" t="s">
        <v>2784</v>
      </c>
      <c r="D134" s="2831" t="s">
        <v>2785</v>
      </c>
      <c r="E134" s="2857">
        <v>0.1</v>
      </c>
      <c r="F134" s="2857">
        <v>15</v>
      </c>
    </row>
    <row r="135" spans="1:6" ht="13.5">
      <c r="A135" s="2857">
        <v>63</v>
      </c>
      <c r="B135" s="3457" t="s">
        <v>2786</v>
      </c>
      <c r="C135" s="2857" t="s">
        <v>2787</v>
      </c>
      <c r="D135" s="2831" t="s">
        <v>2788</v>
      </c>
      <c r="E135" s="2857">
        <v>0.1</v>
      </c>
      <c r="F135" s="2857">
        <v>15</v>
      </c>
    </row>
    <row r="136" spans="1:6" ht="13.5">
      <c r="A136" s="2857">
        <v>64</v>
      </c>
      <c r="B136" s="3457"/>
      <c r="C136" s="2857" t="s">
        <v>2789</v>
      </c>
      <c r="D136" s="2831" t="s">
        <v>2790</v>
      </c>
      <c r="E136" s="2857">
        <v>0.1</v>
      </c>
      <c r="F136" s="2857">
        <v>15</v>
      </c>
    </row>
    <row r="137" spans="1:6" ht="13.5">
      <c r="A137" s="2857">
        <v>65</v>
      </c>
      <c r="B137" s="2857" t="s">
        <v>2791</v>
      </c>
      <c r="C137" s="2857" t="s">
        <v>2792</v>
      </c>
      <c r="D137" s="2831" t="s">
        <v>2793</v>
      </c>
      <c r="E137" s="2857">
        <v>0.1</v>
      </c>
      <c r="F137" s="2857">
        <v>15</v>
      </c>
    </row>
    <row r="138" spans="1:6" ht="13.5">
      <c r="A138" s="2857"/>
      <c r="B138" s="2857"/>
      <c r="C138" s="2857"/>
      <c r="D138" s="2857"/>
      <c r="E138" s="2857" t="s">
        <v>2794</v>
      </c>
      <c r="F138" s="2857"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2795</v>
      </c>
      <c r="B1" s="2865"/>
      <c r="C1" s="2865"/>
      <c r="D1" s="2865"/>
      <c r="E1" s="2865"/>
      <c r="F1" s="2865"/>
      <c r="G1" s="2865"/>
      <c r="H1" s="2865"/>
      <c r="I1" s="2865"/>
      <c r="J1" s="2865"/>
      <c r="K1" s="2865"/>
      <c r="L1" s="2865"/>
      <c r="M1" s="2865"/>
      <c r="N1" s="707"/>
    </row>
    <row r="2" spans="1:20">
      <c r="A2" s="2866" t="s">
        <v>2796</v>
      </c>
      <c r="B2" s="2867" t="s">
        <v>2592</v>
      </c>
      <c r="C2" s="2867" t="s">
        <v>2593</v>
      </c>
      <c r="D2" s="2867" t="s">
        <v>2594</v>
      </c>
      <c r="E2" s="2867" t="s">
        <v>2595</v>
      </c>
      <c r="F2" s="2867" t="s">
        <v>2596</v>
      </c>
      <c r="G2" s="2867" t="s">
        <v>2597</v>
      </c>
      <c r="H2" s="2868" t="s">
        <v>2598</v>
      </c>
      <c r="I2" s="2868" t="s">
        <v>2599</v>
      </c>
      <c r="J2" s="2869" t="s">
        <v>2600</v>
      </c>
      <c r="K2" s="2869" t="s">
        <v>2601</v>
      </c>
      <c r="L2" s="2869" t="s">
        <v>2602</v>
      </c>
      <c r="M2" s="2870" t="s">
        <v>2603</v>
      </c>
      <c r="Q2" s="2880" t="s">
        <v>2801</v>
      </c>
      <c r="R2" s="2880" t="s">
        <v>2802</v>
      </c>
      <c r="S2" s="2880" t="s">
        <v>2803</v>
      </c>
      <c r="T2" s="2880" t="s">
        <v>2804</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2797</v>
      </c>
      <c r="B93" s="2865"/>
      <c r="C93" s="2865"/>
      <c r="D93" s="2865"/>
      <c r="E93" s="2865"/>
      <c r="F93" s="2865"/>
      <c r="G93" s="2865"/>
      <c r="H93" s="2865"/>
      <c r="I93" s="2865"/>
      <c r="J93" s="2865"/>
      <c r="K93" s="2865"/>
      <c r="L93" s="2865"/>
      <c r="M93" s="2865"/>
    </row>
    <row r="94" spans="1:20">
      <c r="A94" s="2866" t="s">
        <v>2796</v>
      </c>
      <c r="B94" s="2867" t="s">
        <v>2592</v>
      </c>
      <c r="C94" s="2867" t="s">
        <v>2593</v>
      </c>
      <c r="D94" s="2867" t="s">
        <v>2594</v>
      </c>
      <c r="E94" s="2867" t="s">
        <v>2595</v>
      </c>
      <c r="F94" s="2867" t="s">
        <v>2596</v>
      </c>
      <c r="G94" s="2867" t="s">
        <v>2597</v>
      </c>
      <c r="H94" s="2868" t="s">
        <v>2598</v>
      </c>
      <c r="I94" s="2868" t="s">
        <v>2599</v>
      </c>
      <c r="J94" s="2869" t="s">
        <v>2600</v>
      </c>
      <c r="K94" s="2869" t="s">
        <v>2601</v>
      </c>
      <c r="L94" s="2869" t="s">
        <v>2602</v>
      </c>
      <c r="M94" s="2870" t="s">
        <v>2603</v>
      </c>
      <c r="N94">
        <f>SUMPRODUCT((A95:A184=ROUNDDOWN(基准地价修正!G3,1))*(B94:M94=基准地价修正!G2)*(B95:M184))</f>
        <v>0</v>
      </c>
      <c r="Q94" s="2880" t="s">
        <v>2801</v>
      </c>
      <c r="R94" s="2880" t="s">
        <v>2802</v>
      </c>
      <c r="S94" s="2880" t="s">
        <v>2803</v>
      </c>
      <c r="T94" s="2880" t="s">
        <v>2804</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2798</v>
      </c>
      <c r="B185" s="2865"/>
      <c r="C185" s="2865"/>
      <c r="D185" s="2865"/>
      <c r="E185" s="2865"/>
      <c r="F185" s="2865"/>
      <c r="G185" s="2865"/>
      <c r="H185" s="2865"/>
      <c r="I185" s="2865"/>
      <c r="J185" s="2865"/>
      <c r="K185" s="2865"/>
      <c r="L185" s="2865"/>
      <c r="M185" s="2865"/>
    </row>
    <row r="186" spans="1:20">
      <c r="A186" s="2866" t="s">
        <v>2796</v>
      </c>
      <c r="B186" s="2867" t="s">
        <v>2592</v>
      </c>
      <c r="C186" s="2867" t="s">
        <v>2593</v>
      </c>
      <c r="D186" s="2867" t="s">
        <v>2594</v>
      </c>
      <c r="E186" s="2867" t="s">
        <v>2595</v>
      </c>
      <c r="F186" s="2867" t="s">
        <v>2596</v>
      </c>
      <c r="G186" s="2867" t="s">
        <v>2597</v>
      </c>
      <c r="H186" s="2868" t="s">
        <v>2598</v>
      </c>
      <c r="I186" s="2868" t="s">
        <v>2599</v>
      </c>
      <c r="J186" s="2869" t="s">
        <v>2600</v>
      </c>
      <c r="K186" s="2869" t="s">
        <v>2601</v>
      </c>
      <c r="L186" s="2869" t="s">
        <v>2602</v>
      </c>
      <c r="M186" s="2870" t="s">
        <v>2603</v>
      </c>
      <c r="Q186" s="2880" t="s">
        <v>2801</v>
      </c>
      <c r="R186" s="2880" t="s">
        <v>2802</v>
      </c>
      <c r="S186" s="2880" t="s">
        <v>2803</v>
      </c>
      <c r="T186" s="2880" t="s">
        <v>2804</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2799</v>
      </c>
      <c r="B277" s="2865"/>
      <c r="C277" s="2865"/>
      <c r="D277" s="2865"/>
      <c r="E277" s="2865"/>
      <c r="F277" s="2865"/>
      <c r="G277" s="2865"/>
      <c r="H277" s="2865"/>
      <c r="I277" s="2865"/>
      <c r="J277" s="2865"/>
      <c r="K277" s="2865"/>
      <c r="L277" s="2865"/>
      <c r="M277" s="2865"/>
    </row>
    <row r="278" spans="1:21">
      <c r="A278" s="2866" t="s">
        <v>2796</v>
      </c>
      <c r="B278" s="2867" t="s">
        <v>2592</v>
      </c>
      <c r="C278" s="2867" t="s">
        <v>2593</v>
      </c>
      <c r="D278" s="2867" t="s">
        <v>2594</v>
      </c>
      <c r="E278" s="2867" t="s">
        <v>2595</v>
      </c>
      <c r="F278" s="2867" t="s">
        <v>2596</v>
      </c>
      <c r="G278" s="2867" t="s">
        <v>2597</v>
      </c>
      <c r="H278" s="2868" t="s">
        <v>2598</v>
      </c>
      <c r="I278" s="2868" t="s">
        <v>2599</v>
      </c>
      <c r="J278" s="2869" t="s">
        <v>2600</v>
      </c>
      <c r="K278" s="2869" t="s">
        <v>2601</v>
      </c>
      <c r="L278" s="2869" t="s">
        <v>2602</v>
      </c>
      <c r="M278" s="2870" t="s">
        <v>2603</v>
      </c>
      <c r="Q278" s="2880" t="s">
        <v>2801</v>
      </c>
      <c r="R278" s="2880" t="s">
        <v>2802</v>
      </c>
      <c r="S278" s="2880" t="s">
        <v>2805</v>
      </c>
      <c r="T278" s="2880" t="s">
        <v>2806</v>
      </c>
      <c r="U278" s="2880" t="s">
        <v>2804</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2800</v>
      </c>
      <c r="B369" s="2878"/>
      <c r="C369" s="2878"/>
      <c r="D369" s="2878"/>
      <c r="E369" s="2878"/>
      <c r="F369" s="2878"/>
      <c r="G369" s="2878"/>
      <c r="H369" s="2878"/>
      <c r="I369" s="2878"/>
      <c r="J369" s="2878"/>
      <c r="K369" s="2878"/>
      <c r="L369" s="2878"/>
      <c r="M369" s="2878"/>
    </row>
    <row r="370" spans="1:20">
      <c r="A370" s="2866" t="s">
        <v>2796</v>
      </c>
      <c r="B370" s="2867" t="s">
        <v>2592</v>
      </c>
      <c r="C370" s="2867" t="s">
        <v>2593</v>
      </c>
      <c r="D370" s="2867" t="s">
        <v>2594</v>
      </c>
      <c r="E370" s="2867" t="s">
        <v>2595</v>
      </c>
      <c r="F370" s="2867" t="s">
        <v>2596</v>
      </c>
      <c r="G370" s="2867" t="s">
        <v>2597</v>
      </c>
      <c r="H370" s="2868" t="s">
        <v>2598</v>
      </c>
      <c r="I370" s="2868" t="s">
        <v>2599</v>
      </c>
      <c r="J370" s="2869" t="s">
        <v>2600</v>
      </c>
      <c r="K370" s="2869" t="s">
        <v>2601</v>
      </c>
      <c r="L370" s="2869" t="s">
        <v>2602</v>
      </c>
      <c r="M370" s="2870" t="s">
        <v>2603</v>
      </c>
      <c r="N370">
        <f>SUMPRODUCT((A371:A460=ROUNDDOWN(基准地价修正!G3,1))*(B370:M370=基准地价修正!G2)*(B371:M460))</f>
        <v>0</v>
      </c>
      <c r="Q370" s="2880" t="s">
        <v>2801</v>
      </c>
      <c r="R370" s="2880" t="s">
        <v>2802</v>
      </c>
      <c r="S370" s="2880" t="s">
        <v>2803</v>
      </c>
      <c r="T370" s="2880" t="s">
        <v>2804</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28281</v>
      </c>
      <c r="C2" s="2" t="s">
        <v>106</v>
      </c>
      <c r="D2" s="191"/>
      <c r="E2" s="191"/>
      <c r="F2" s="191"/>
      <c r="G2" s="191"/>
    </row>
    <row r="3" spans="1:7" s="192" customFormat="1" ht="18" customHeight="1" thickBot="1">
      <c r="A3" s="195" t="s">
        <v>58</v>
      </c>
      <c r="B3" s="196">
        <f ca="1">ROUND(B2*10000/'数据-汇总表'!E3,0)</f>
        <v>621438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v>
      </c>
      <c r="D10" s="795">
        <f>'数据-汇总表'!E6</f>
        <v>455.09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v>
      </c>
      <c r="D19" s="204">
        <f>'数据-汇总表'!E3</f>
        <v>455.09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1764</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159</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v>
      </c>
      <c r="D37" s="209">
        <f>'数据-汇总表'!E3</f>
        <v>455.09</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89" t="s">
        <v>94</v>
      </c>
    </row>
    <row r="43" spans="1:7" ht="13.5" customHeight="1">
      <c r="A43" s="734" t="s">
        <v>347</v>
      </c>
      <c r="B43" s="207" t="s">
        <v>426</v>
      </c>
      <c r="C43" s="230">
        <f ca="1">ROUND(IF('数据-取费表'!B22&lt;=1,C39*F22*'数据-取费表'!B21/2,C39*(POWER((1+F22),'数据-取费表'!B21/2)-1)),0)</f>
        <v>0</v>
      </c>
      <c r="D43" s="230"/>
      <c r="E43" s="230"/>
      <c r="F43" s="231"/>
      <c r="G43" s="3390"/>
    </row>
    <row r="44" spans="1:7" ht="13.5" customHeight="1">
      <c r="A44" s="734" t="s">
        <v>348</v>
      </c>
      <c r="B44" s="207" t="s">
        <v>428</v>
      </c>
      <c r="C44" s="230">
        <f ca="1">ROUND(IF('数据-取费表'!B22&lt;=1,C40*F22*'数据-取费表'!B21/2,C40*(POWER((1+F22),'数据-取费表'!B21/2)-1)),4)</f>
        <v>8.0000000000000004E-4</v>
      </c>
      <c r="D44" s="230"/>
      <c r="E44" s="230"/>
      <c r="F44" s="231"/>
      <c r="G44" s="3391"/>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162</v>
      </c>
      <c r="D51" s="224"/>
      <c r="E51" s="224"/>
      <c r="F51" s="256"/>
      <c r="G51" s="226" t="s">
        <v>37</v>
      </c>
    </row>
    <row r="52" spans="1:7" s="200" customFormat="1" ht="16.5" thickBot="1">
      <c r="A52" s="257" t="s">
        <v>38</v>
      </c>
      <c r="B52" s="258"/>
      <c r="C52" s="259">
        <f ca="1">C31+C51</f>
        <v>28281</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1" t="s">
        <v>2840</v>
      </c>
      <c r="B1" s="3471"/>
      <c r="C1" s="3471"/>
      <c r="D1" s="3471"/>
      <c r="E1" s="3471"/>
      <c r="F1" s="3471"/>
      <c r="G1" s="3472"/>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469" t="s">
        <v>2867</v>
      </c>
      <c r="B3" s="2944"/>
      <c r="C3" s="2945" t="s">
        <v>2808</v>
      </c>
      <c r="D3" s="2945" t="s">
        <v>2868</v>
      </c>
      <c r="E3" s="2945" t="s">
        <v>2810</v>
      </c>
      <c r="F3" s="2945" t="s">
        <v>2869</v>
      </c>
      <c r="G3" s="2945" t="s">
        <v>2628</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470"/>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3" t="s">
        <v>3182</v>
      </c>
      <c r="B1" s="3473"/>
    </row>
    <row r="2" spans="1:7" ht="14.25" thickBot="1">
      <c r="A2" s="2968"/>
      <c r="B2" s="2968"/>
    </row>
    <row r="3" spans="1:7" ht="14.25" thickBot="1">
      <c r="A3" s="2968"/>
      <c r="B3" s="2968"/>
      <c r="C3" s="2969" t="s">
        <v>2808</v>
      </c>
      <c r="D3" s="2969" t="s">
        <v>2868</v>
      </c>
      <c r="E3" s="2969" t="s">
        <v>2810</v>
      </c>
      <c r="F3" s="2969" t="s">
        <v>2869</v>
      </c>
      <c r="G3" s="2969" t="s">
        <v>2628</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74" t="s">
        <v>3233</v>
      </c>
      <c r="B1" s="3474"/>
      <c r="C1" s="3474"/>
      <c r="D1" s="3474"/>
      <c r="E1" s="3474"/>
      <c r="F1" s="3475"/>
    </row>
    <row r="2" spans="1:6">
      <c r="A2" s="3002" t="s">
        <v>3234</v>
      </c>
    </row>
    <row r="3" spans="1:6">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44988</v>
      </c>
      <c r="B1" s="2929" t="s">
        <v>2839</v>
      </c>
      <c r="C1" s="2930"/>
      <c r="D1" s="2930"/>
      <c r="E1" s="2930"/>
      <c r="F1" s="2930"/>
      <c r="G1" s="2930"/>
      <c r="H1" s="2930"/>
      <c r="I1" s="2930"/>
      <c r="J1" s="2896"/>
      <c r="K1" s="2930" t="s">
        <v>454</v>
      </c>
      <c r="L1" s="2930"/>
      <c r="M1" s="2930"/>
      <c r="N1" s="2930"/>
      <c r="O1" s="2930"/>
      <c r="P1" s="2930"/>
      <c r="Q1" s="2896"/>
      <c r="R1" s="3476" t="s">
        <v>456</v>
      </c>
      <c r="S1" s="3477"/>
      <c r="T1" s="3477"/>
      <c r="U1" s="3477"/>
      <c r="V1" s="3477"/>
      <c r="W1" s="3477"/>
      <c r="X1" s="2896"/>
      <c r="Y1" s="3476" t="s">
        <v>457</v>
      </c>
      <c r="Z1" s="3477"/>
      <c r="AA1" s="3477"/>
      <c r="AB1" s="3477"/>
      <c r="AC1" s="3477"/>
      <c r="AD1" s="3477"/>
    </row>
    <row r="2" spans="1:30" s="2010" customFormat="1" ht="14.25" thickBot="1">
      <c r="B2" s="2881"/>
      <c r="C2" s="2882"/>
      <c r="D2" s="2011" t="s">
        <v>2807</v>
      </c>
      <c r="E2" s="2012" t="s">
        <v>2808</v>
      </c>
      <c r="F2" s="2012" t="s">
        <v>2809</v>
      </c>
      <c r="G2" s="2012" t="s">
        <v>2810</v>
      </c>
      <c r="H2" s="2012" t="s">
        <v>2811</v>
      </c>
      <c r="I2" s="2012" t="s">
        <v>2628</v>
      </c>
      <c r="J2" s="2883"/>
      <c r="K2" s="2011" t="s">
        <v>2807</v>
      </c>
      <c r="L2" s="2012" t="s">
        <v>2808</v>
      </c>
      <c r="M2" s="2012" t="s">
        <v>2809</v>
      </c>
      <c r="N2" s="2012" t="s">
        <v>2810</v>
      </c>
      <c r="O2" s="2012" t="s">
        <v>2812</v>
      </c>
      <c r="P2" s="2012" t="s">
        <v>2628</v>
      </c>
      <c r="Q2" s="2883"/>
      <c r="R2" s="2011" t="s">
        <v>2807</v>
      </c>
      <c r="S2" s="2012" t="s">
        <v>2808</v>
      </c>
      <c r="T2" s="2012" t="s">
        <v>2809</v>
      </c>
      <c r="U2" s="2012" t="s">
        <v>2813</v>
      </c>
      <c r="V2" s="2012" t="s">
        <v>2814</v>
      </c>
      <c r="W2" s="2012" t="s">
        <v>2628</v>
      </c>
      <c r="X2" s="2883"/>
      <c r="Y2" s="2011" t="s">
        <v>2807</v>
      </c>
      <c r="Z2" s="2012" t="s">
        <v>2808</v>
      </c>
      <c r="AA2" s="2012" t="s">
        <v>2809</v>
      </c>
      <c r="AB2" s="2012" t="s">
        <v>2815</v>
      </c>
      <c r="AC2" s="2012" t="s">
        <v>2814</v>
      </c>
      <c r="AD2" s="2012" t="s">
        <v>2628</v>
      </c>
    </row>
    <row r="3" spans="1:30" s="2886" customFormat="1" ht="12.75">
      <c r="A3" s="2884" t="s">
        <v>2816</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905" t="s">
        <v>3371</v>
      </c>
      <c r="B5" s="2031">
        <v>2023</v>
      </c>
      <c r="C5" s="2042">
        <v>4</v>
      </c>
      <c r="D5" s="2007">
        <v>0</v>
      </c>
      <c r="E5" s="2007">
        <v>0</v>
      </c>
      <c r="F5" s="2007">
        <v>0</v>
      </c>
      <c r="G5" s="2007">
        <v>0</v>
      </c>
      <c r="H5" s="2007">
        <v>0</v>
      </c>
      <c r="I5" s="2008">
        <f t="shared" ref="I5:I16" si="4">F5</f>
        <v>0</v>
      </c>
      <c r="J5" s="2906"/>
      <c r="K5" s="2043">
        <f t="shared" ref="K5:O16" si="5">D5/100</f>
        <v>0</v>
      </c>
      <c r="L5" s="2028">
        <f t="shared" si="5"/>
        <v>0</v>
      </c>
      <c r="M5" s="2028">
        <f t="shared" si="5"/>
        <v>0</v>
      </c>
      <c r="N5" s="2028">
        <f t="shared" si="5"/>
        <v>0</v>
      </c>
      <c r="O5" s="2028">
        <f t="shared" si="5"/>
        <v>0</v>
      </c>
      <c r="P5" s="2028">
        <f>M5</f>
        <v>0</v>
      </c>
      <c r="Q5" s="2906"/>
      <c r="R5" s="2027">
        <f>ROUND(IF(项目基本情况!$B$8="出让",SUMPRODUCT(PRODUCT(1+K5:$K$16)),SUMPRODUCT(PRODUCT(1+K5:$K$15))),4)</f>
        <v>1.0565</v>
      </c>
      <c r="S5" s="2027">
        <f>ROUND(IF(项目基本情况!$B$8="出让",SUMPRODUCT(PRODUCT(1+L5:$L$16)),SUMPRODUCT(PRODUCT(1+L5:$L$15))),4)</f>
        <v>1.0250999999999999</v>
      </c>
      <c r="T5" s="2027">
        <f>ROUND(IF(项目基本情况!$B$8="出让",SUMPRODUCT(PRODUCT(1+M5:$M$16)),SUMPRODUCT(PRODUCT(1+M5:$M$15))),4)</f>
        <v>1.0145</v>
      </c>
      <c r="U5" s="2027">
        <f>ROUND(IF(项目基本情况!$B$8="出让",SUMPRODUCT(PRODUCT(1+N5:$N$16)),SUMPRODUCT(PRODUCT(1+N5:$N$15))),4)</f>
        <v>1.0618000000000001</v>
      </c>
      <c r="V5" s="2027">
        <f>ROUND(IF(项目基本情况!$B$8="出让",SUMPRODUCT(PRODUCT(1+O5:$O$16)),SUMPRODUCT(PRODUCT(1+O5:$O$15))),4)</f>
        <v>1.0502</v>
      </c>
      <c r="W5" s="2027">
        <f>T5</f>
        <v>1.0145</v>
      </c>
      <c r="X5" s="2906"/>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5" t="s">
        <v>3372</v>
      </c>
      <c r="B6" s="2031">
        <v>2023</v>
      </c>
      <c r="C6" s="2042">
        <v>3</v>
      </c>
      <c r="D6" s="2007">
        <v>0</v>
      </c>
      <c r="E6" s="2007">
        <v>0</v>
      </c>
      <c r="F6" s="2007">
        <v>0</v>
      </c>
      <c r="G6" s="2007">
        <v>0</v>
      </c>
      <c r="H6" s="2007">
        <v>0</v>
      </c>
      <c r="I6" s="2008">
        <f t="shared" si="4"/>
        <v>0</v>
      </c>
      <c r="J6" s="2906"/>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6"/>
      <c r="R6" s="2027">
        <f>ROUND(IF(项目基本情况!$B$8="出让",SUMPRODUCT(PRODUCT(1+K6:$K$16)),SUMPRODUCT(PRODUCT(1+K6:$K$15))),4)</f>
        <v>1.0565</v>
      </c>
      <c r="S6" s="2027">
        <f>ROUND(IF(项目基本情况!$B$8="出让",SUMPRODUCT(PRODUCT(1+L6:$L$16)),SUMPRODUCT(PRODUCT(1+L6:$L$15))),4)</f>
        <v>1.0250999999999999</v>
      </c>
      <c r="T6" s="2027">
        <f>ROUND(IF(项目基本情况!$B$8="出让",SUMPRODUCT(PRODUCT(1+M6:$M$16)),SUMPRODUCT(PRODUCT(1+M6:$M$15))),4)</f>
        <v>1.0145</v>
      </c>
      <c r="U6" s="2027">
        <f>ROUND(IF(项目基本情况!$B$8="出让",SUMPRODUCT(PRODUCT(1+N6:$N$16)),SUMPRODUCT(PRODUCT(1+N6:$N$15))),4)</f>
        <v>1.0618000000000001</v>
      </c>
      <c r="V6" s="2027">
        <f>ROUND(IF(项目基本情况!$B$8="出让",SUMPRODUCT(PRODUCT(1+O6:$O$16)),SUMPRODUCT(PRODUCT(1+O6:$O$15))),4)</f>
        <v>1.0502</v>
      </c>
      <c r="W6" s="2027">
        <f t="shared" ref="W6:W8" si="14">T6</f>
        <v>1.0145</v>
      </c>
      <c r="X6" s="2906"/>
      <c r="Y6" s="2028"/>
      <c r="Z6" s="2028"/>
      <c r="AA6" s="2028"/>
      <c r="AB6" s="2028"/>
      <c r="AC6" s="2028"/>
      <c r="AD6" s="2028"/>
    </row>
    <row r="7" spans="1:30" s="2045" customFormat="1" ht="12.75">
      <c r="A7" s="2905" t="s">
        <v>3370</v>
      </c>
      <c r="B7" s="2031">
        <v>2023</v>
      </c>
      <c r="C7" s="2042">
        <v>2</v>
      </c>
      <c r="D7" s="2007">
        <v>0</v>
      </c>
      <c r="E7" s="2007">
        <v>0</v>
      </c>
      <c r="F7" s="2007">
        <v>0</v>
      </c>
      <c r="G7" s="2007">
        <v>0</v>
      </c>
      <c r="H7" s="2007">
        <v>0</v>
      </c>
      <c r="I7" s="2008">
        <f t="shared" si="4"/>
        <v>0</v>
      </c>
      <c r="J7" s="2906"/>
      <c r="K7" s="2043">
        <f t="shared" si="8"/>
        <v>0</v>
      </c>
      <c r="L7" s="2028">
        <f t="shared" si="9"/>
        <v>0</v>
      </c>
      <c r="M7" s="2028">
        <f t="shared" si="10"/>
        <v>0</v>
      </c>
      <c r="N7" s="2028">
        <f t="shared" si="11"/>
        <v>0</v>
      </c>
      <c r="O7" s="2028">
        <f t="shared" si="12"/>
        <v>0</v>
      </c>
      <c r="P7" s="2028">
        <f t="shared" si="13"/>
        <v>0</v>
      </c>
      <c r="Q7" s="2906"/>
      <c r="R7" s="2027">
        <f>ROUND(IF(项目基本情况!$B$8="出让",SUMPRODUCT(PRODUCT(1+K7:$K$16)),SUMPRODUCT(PRODUCT(1+K7:$K$15))),4)</f>
        <v>1.0565</v>
      </c>
      <c r="S7" s="2027">
        <f>ROUND(IF(项目基本情况!$B$8="出让",SUMPRODUCT(PRODUCT(1+L7:$L$16)),SUMPRODUCT(PRODUCT(1+L7:$L$15))),4)</f>
        <v>1.0250999999999999</v>
      </c>
      <c r="T7" s="2027">
        <f>ROUND(IF(项目基本情况!$B$8="出让",SUMPRODUCT(PRODUCT(1+M7:$M$16)),SUMPRODUCT(PRODUCT(1+M7:$M$15))),4)</f>
        <v>1.0145</v>
      </c>
      <c r="U7" s="2027">
        <f>ROUND(IF(项目基本情况!$B$8="出让",SUMPRODUCT(PRODUCT(1+N7:$N$16)),SUMPRODUCT(PRODUCT(1+N7:$N$15))),4)</f>
        <v>1.0618000000000001</v>
      </c>
      <c r="V7" s="2027">
        <f>ROUND(IF(项目基本情况!$B$8="出让",SUMPRODUCT(PRODUCT(1+O7:$O$16)),SUMPRODUCT(PRODUCT(1+O7:$O$15))),4)</f>
        <v>1.0502</v>
      </c>
      <c r="W7" s="2027">
        <f t="shared" si="14"/>
        <v>1.0145</v>
      </c>
      <c r="X7" s="2906"/>
      <c r="Y7" s="2028"/>
      <c r="Z7" s="2028"/>
      <c r="AA7" s="2028"/>
      <c r="AB7" s="2028"/>
      <c r="AC7" s="2028"/>
      <c r="AD7" s="2028"/>
    </row>
    <row r="8" spans="1:30" s="2045" customFormat="1" ht="12.75">
      <c r="A8" s="2905" t="s">
        <v>2817</v>
      </c>
      <c r="B8" s="2031">
        <v>2023</v>
      </c>
      <c r="C8" s="2042">
        <v>1</v>
      </c>
      <c r="D8" s="2007">
        <v>0</v>
      </c>
      <c r="E8" s="2007">
        <v>0</v>
      </c>
      <c r="F8" s="2007">
        <v>0</v>
      </c>
      <c r="G8" s="2007">
        <v>0</v>
      </c>
      <c r="H8" s="2007">
        <v>0</v>
      </c>
      <c r="I8" s="2008">
        <f t="shared" si="4"/>
        <v>0</v>
      </c>
      <c r="J8" s="2906"/>
      <c r="K8" s="2043">
        <f t="shared" si="8"/>
        <v>0</v>
      </c>
      <c r="L8" s="2028">
        <f t="shared" si="9"/>
        <v>0</v>
      </c>
      <c r="M8" s="2028">
        <f t="shared" si="10"/>
        <v>0</v>
      </c>
      <c r="N8" s="2028">
        <f t="shared" si="11"/>
        <v>0</v>
      </c>
      <c r="O8" s="2028">
        <f t="shared" si="12"/>
        <v>0</v>
      </c>
      <c r="P8" s="2028">
        <f t="shared" si="13"/>
        <v>0</v>
      </c>
      <c r="Q8" s="2906"/>
      <c r="R8" s="2027">
        <f>ROUND(IF(项目基本情况!$B$8="出让",SUMPRODUCT(PRODUCT(1+K8:$K$16)),SUMPRODUCT(PRODUCT(1+K8:$K$15))),4)</f>
        <v>1.0565</v>
      </c>
      <c r="S8" s="2027">
        <f>ROUND(IF(项目基本情况!$B$8="出让",SUMPRODUCT(PRODUCT(1+L8:$L$16)),SUMPRODUCT(PRODUCT(1+L8:$L$15))),4)</f>
        <v>1.0250999999999999</v>
      </c>
      <c r="T8" s="2027">
        <f>ROUND(IF(项目基本情况!$B$8="出让",SUMPRODUCT(PRODUCT(1+M8:$M$16)),SUMPRODUCT(PRODUCT(1+M8:$M$15))),4)</f>
        <v>1.0145</v>
      </c>
      <c r="U8" s="2027">
        <f>ROUND(IF(项目基本情况!$B$8="出让",SUMPRODUCT(PRODUCT(1+N8:$N$16)),SUMPRODUCT(PRODUCT(1+N8:$N$15))),4)</f>
        <v>1.0618000000000001</v>
      </c>
      <c r="V8" s="2027">
        <f>ROUND(IF(项目基本情况!$B$8="出让",SUMPRODUCT(PRODUCT(1+O8:$O$16)),SUMPRODUCT(PRODUCT(1+O8:$O$15))),4)</f>
        <v>1.0502</v>
      </c>
      <c r="W8" s="2027">
        <f t="shared" si="14"/>
        <v>1.0145</v>
      </c>
      <c r="X8" s="2906"/>
      <c r="Y8" s="2028"/>
      <c r="Z8" s="2028"/>
      <c r="AA8" s="2028"/>
      <c r="AB8" s="2028"/>
      <c r="AC8" s="2028"/>
      <c r="AD8" s="2028"/>
    </row>
    <row r="9" spans="1:30" s="2916" customFormat="1" ht="12.75">
      <c r="A9" s="2907" t="s">
        <v>2818</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5" customFormat="1" ht="12.75">
      <c r="A10" s="2905" t="s">
        <v>3365</v>
      </c>
      <c r="B10" s="2031">
        <v>2022</v>
      </c>
      <c r="C10" s="2042">
        <v>3</v>
      </c>
      <c r="D10" s="2007">
        <v>0.66</v>
      </c>
      <c r="E10" s="2007">
        <v>0.32</v>
      </c>
      <c r="F10" s="2007">
        <v>0.23</v>
      </c>
      <c r="G10" s="2007">
        <v>0.72</v>
      </c>
      <c r="H10" s="2917">
        <v>0.63</v>
      </c>
      <c r="I10" s="2008">
        <f t="shared" si="4"/>
        <v>0.23</v>
      </c>
      <c r="J10" s="2906"/>
      <c r="K10" s="2043">
        <f t="shared" si="5"/>
        <v>6.6E-3</v>
      </c>
      <c r="L10" s="2028">
        <f t="shared" si="5"/>
        <v>3.2000000000000002E-3</v>
      </c>
      <c r="M10" s="2028">
        <f t="shared" si="5"/>
        <v>2.3E-3</v>
      </c>
      <c r="N10" s="2028">
        <f t="shared" si="5"/>
        <v>7.1999999999999998E-3</v>
      </c>
      <c r="O10" s="2028">
        <f t="shared" si="5"/>
        <v>6.3E-3</v>
      </c>
      <c r="P10" s="2028">
        <f t="shared" si="15"/>
        <v>2.3E-3</v>
      </c>
      <c r="Q10" s="2906"/>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6"/>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5" t="s">
        <v>3356</v>
      </c>
      <c r="B11" s="2031">
        <v>2022</v>
      </c>
      <c r="C11" s="2042">
        <v>2</v>
      </c>
      <c r="D11" s="2007">
        <v>0.93</v>
      </c>
      <c r="E11" s="2007">
        <v>0.15</v>
      </c>
      <c r="F11" s="2007">
        <v>0.01</v>
      </c>
      <c r="G11" s="2007">
        <v>1.05</v>
      </c>
      <c r="H11" s="2917">
        <v>1.08</v>
      </c>
      <c r="I11" s="2008">
        <f t="shared" si="4"/>
        <v>0.01</v>
      </c>
      <c r="J11" s="2906"/>
      <c r="K11" s="2043">
        <f t="shared" si="5"/>
        <v>9.300000000000001E-3</v>
      </c>
      <c r="L11" s="2028">
        <f t="shared" si="5"/>
        <v>1.5E-3</v>
      </c>
      <c r="M11" s="2028">
        <f t="shared" si="5"/>
        <v>1E-4</v>
      </c>
      <c r="N11" s="2028">
        <f t="shared" si="5"/>
        <v>1.0500000000000001E-2</v>
      </c>
      <c r="O11" s="2028">
        <f t="shared" si="5"/>
        <v>1.0800000000000001E-2</v>
      </c>
      <c r="P11" s="2028">
        <f t="shared" si="15"/>
        <v>1E-4</v>
      </c>
      <c r="Q11" s="2906"/>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6"/>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5" t="s">
        <v>2819</v>
      </c>
      <c r="B12" s="2031">
        <v>2022</v>
      </c>
      <c r="C12" s="2042">
        <v>1</v>
      </c>
      <c r="D12" s="2007">
        <v>0.89</v>
      </c>
      <c r="E12" s="2007">
        <v>0.44</v>
      </c>
      <c r="F12" s="2007">
        <v>0.37</v>
      </c>
      <c r="G12" s="2007">
        <v>0.96</v>
      </c>
      <c r="H12" s="2917">
        <v>0.64</v>
      </c>
      <c r="I12" s="2008">
        <f t="shared" si="4"/>
        <v>0.37</v>
      </c>
      <c r="J12" s="2906"/>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6"/>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6"/>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5" t="s">
        <v>2820</v>
      </c>
      <c r="B13" s="2031">
        <v>2021</v>
      </c>
      <c r="C13" s="2042">
        <v>4</v>
      </c>
      <c r="D13" s="2007">
        <v>1.03</v>
      </c>
      <c r="E13" s="2007">
        <v>0.24</v>
      </c>
      <c r="F13" s="2007">
        <v>7.0000000000000007E-2</v>
      </c>
      <c r="G13" s="2007">
        <v>1.17</v>
      </c>
      <c r="H13" s="2917">
        <v>0.55000000000000004</v>
      </c>
      <c r="I13" s="2008">
        <f t="shared" si="4"/>
        <v>7.0000000000000007E-2</v>
      </c>
      <c r="J13" s="2906"/>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6"/>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6"/>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5" t="s">
        <v>2821</v>
      </c>
      <c r="B14" s="2031">
        <v>2021</v>
      </c>
      <c r="C14" s="2042">
        <v>3</v>
      </c>
      <c r="D14" s="2007">
        <v>0.47</v>
      </c>
      <c r="E14" s="2007">
        <v>0.41</v>
      </c>
      <c r="F14" s="2007">
        <v>0.24</v>
      </c>
      <c r="G14" s="2007">
        <v>0.48</v>
      </c>
      <c r="H14" s="2917">
        <v>0.48</v>
      </c>
      <c r="I14" s="2008">
        <f t="shared" si="4"/>
        <v>0.24</v>
      </c>
      <c r="J14" s="2906"/>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6"/>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6"/>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5" t="s">
        <v>2822</v>
      </c>
      <c r="B15" s="2031">
        <v>2021</v>
      </c>
      <c r="C15" s="2042">
        <v>2</v>
      </c>
      <c r="D15" s="2007">
        <v>0.92</v>
      </c>
      <c r="E15" s="2007">
        <v>0.72</v>
      </c>
      <c r="F15" s="2007">
        <v>0.41</v>
      </c>
      <c r="G15" s="2007">
        <v>0.95</v>
      </c>
      <c r="H15" s="2917">
        <v>1.01</v>
      </c>
      <c r="I15" s="2008">
        <f t="shared" si="4"/>
        <v>0.41</v>
      </c>
      <c r="J15" s="2906"/>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6"/>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6"/>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8" customFormat="1" thickBot="1">
      <c r="A16" s="2918" t="s">
        <v>2823</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3368</v>
      </c>
    </row>
    <row r="19" spans="1:30">
      <c r="I19" s="1405" t="s">
        <v>2824</v>
      </c>
    </row>
    <row r="21" spans="1:30" s="2009" customFormat="1" ht="12.75">
      <c r="B21" s="2929" t="s">
        <v>2825</v>
      </c>
      <c r="C21" s="2930"/>
      <c r="D21" s="2930"/>
      <c r="E21" s="2930"/>
      <c r="F21" s="2930"/>
      <c r="G21" s="2930"/>
      <c r="H21" s="2930"/>
      <c r="I21" s="2930"/>
      <c r="J21" s="2896"/>
      <c r="K21" s="2930" t="s">
        <v>2826</v>
      </c>
      <c r="L21" s="2930"/>
      <c r="M21" s="2930"/>
      <c r="N21" s="2930"/>
      <c r="O21" s="2930"/>
      <c r="P21" s="2930"/>
      <c r="Q21" s="2896"/>
      <c r="R21" s="3476" t="s">
        <v>2827</v>
      </c>
      <c r="S21" s="3477"/>
      <c r="T21" s="3477"/>
      <c r="U21" s="3477"/>
      <c r="V21" s="3477"/>
      <c r="W21" s="3477"/>
      <c r="X21" s="2896"/>
      <c r="Y21" s="3476" t="s">
        <v>2828</v>
      </c>
      <c r="Z21" s="3477"/>
      <c r="AA21" s="3477"/>
      <c r="AB21" s="3477"/>
      <c r="AC21" s="3477"/>
      <c r="AD21" s="3477"/>
    </row>
    <row r="22" spans="1:30" s="2010" customFormat="1" ht="14.25" thickBot="1">
      <c r="B22" s="2881"/>
      <c r="C22" s="2882"/>
      <c r="D22" s="2011" t="s">
        <v>2829</v>
      </c>
      <c r="E22" s="2012" t="s">
        <v>2830</v>
      </c>
      <c r="F22" s="2012" t="s">
        <v>2831</v>
      </c>
      <c r="G22" s="2012" t="s">
        <v>2832</v>
      </c>
      <c r="H22" s="2012"/>
      <c r="I22" s="2012" t="s">
        <v>2833</v>
      </c>
      <c r="J22" s="2883"/>
      <c r="K22" s="2011" t="s">
        <v>2829</v>
      </c>
      <c r="L22" s="2012" t="s">
        <v>2830</v>
      </c>
      <c r="M22" s="2012" t="s">
        <v>2831</v>
      </c>
      <c r="N22" s="2012" t="s">
        <v>2832</v>
      </c>
      <c r="O22" s="2012"/>
      <c r="P22" s="2012" t="s">
        <v>2833</v>
      </c>
      <c r="Q22" s="2883"/>
      <c r="R22" s="2011" t="s">
        <v>2829</v>
      </c>
      <c r="S22" s="2012" t="s">
        <v>2830</v>
      </c>
      <c r="T22" s="2012" t="s">
        <v>2831</v>
      </c>
      <c r="U22" s="2012" t="s">
        <v>2832</v>
      </c>
      <c r="V22" s="2012"/>
      <c r="W22" s="2012" t="s">
        <v>2833</v>
      </c>
      <c r="X22" s="2883"/>
      <c r="Y22" s="2011" t="s">
        <v>2829</v>
      </c>
      <c r="Z22" s="2012" t="s">
        <v>2830</v>
      </c>
      <c r="AA22" s="2012" t="s">
        <v>2831</v>
      </c>
      <c r="AB22" s="2012" t="s">
        <v>2832</v>
      </c>
      <c r="AC22" s="2012"/>
      <c r="AD22" s="2012" t="s">
        <v>2833</v>
      </c>
    </row>
    <row r="23" spans="1:30" s="2886" customFormat="1" ht="12.75">
      <c r="A23" s="2884" t="s">
        <v>2834</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9" customFormat="1" ht="12.75">
      <c r="B24" s="2025"/>
      <c r="J24" s="2896"/>
      <c r="K24" s="2897"/>
      <c r="L24" s="2898"/>
      <c r="M24" s="2898"/>
      <c r="N24" s="2898"/>
      <c r="O24" s="2898"/>
      <c r="P24" s="2898"/>
      <c r="Q24" s="2896"/>
      <c r="R24" s="2027"/>
      <c r="S24" s="2899"/>
      <c r="T24" s="2900"/>
      <c r="U24" s="2027"/>
      <c r="V24" s="2901"/>
      <c r="W24" s="2027"/>
      <c r="X24" s="2896"/>
      <c r="Y24" s="2028"/>
      <c r="Z24" s="2902"/>
      <c r="AA24" s="2903"/>
      <c r="AB24" s="2028"/>
      <c r="AC24" s="2904"/>
      <c r="AD24" s="2028"/>
    </row>
    <row r="25" spans="1:30" s="2045" customFormat="1" ht="12.75">
      <c r="A25" s="2905" t="s">
        <v>3371</v>
      </c>
      <c r="B25" s="2031">
        <v>2023</v>
      </c>
      <c r="C25" s="2042">
        <v>4</v>
      </c>
      <c r="D25" s="2007"/>
      <c r="E25" s="2007">
        <v>0</v>
      </c>
      <c r="F25" s="2007">
        <v>0</v>
      </c>
      <c r="G25" s="2007">
        <v>0</v>
      </c>
      <c r="H25" s="2007"/>
      <c r="I25" s="2008">
        <f t="shared" ref="I25:I36" si="26">F25</f>
        <v>0</v>
      </c>
      <c r="J25" s="2906"/>
      <c r="K25" s="2043"/>
      <c r="L25" s="2028">
        <f t="shared" ref="L25:N36" si="27">E25/100</f>
        <v>0</v>
      </c>
      <c r="M25" s="2028">
        <f t="shared" si="27"/>
        <v>0</v>
      </c>
      <c r="N25" s="2028">
        <f t="shared" si="27"/>
        <v>0</v>
      </c>
      <c r="O25" s="2028"/>
      <c r="P25" s="2028">
        <f>M25</f>
        <v>0</v>
      </c>
      <c r="Q25" s="2906"/>
      <c r="R25" s="2027"/>
      <c r="S25" s="2027">
        <f>ROUND(IF([2]项目基本情况!$B$8="出让",SUMPRODUCT(PRODUCT(1+L25:L$36)),SUMPRODUCT(PRODUCT(1+L25:L$35))),4)</f>
        <v>1.0286999999999999</v>
      </c>
      <c r="T25" s="2027">
        <f>ROUND(IF([2]项目基本情况!$B$8="出让",SUMPRODUCT(PRODUCT(1+M25:M$36)),SUMPRODUCT(PRODUCT(1+M25:M$35))),4)</f>
        <v>1.0164</v>
      </c>
      <c r="U25" s="2027">
        <f>ROUND(IF([2]项目基本情况!$B$8="出让",SUMPRODUCT(PRODUCT(1+N25:N$36)),SUMPRODUCT(PRODUCT(1+N25:N$35))),4)</f>
        <v>1.0506</v>
      </c>
      <c r="V25" s="2027"/>
      <c r="W25" s="2027">
        <f>T25</f>
        <v>1.0164</v>
      </c>
      <c r="X25" s="2906"/>
      <c r="Y25" s="2028"/>
      <c r="Z25" s="2902">
        <f>IF(E25=0,0,ROUND(AVERAGE(E25:E36)/100,4))</f>
        <v>0</v>
      </c>
      <c r="AA25" s="2902">
        <f>IF(F25=0,0,ROUND(AVERAGE(F25:F36)/100,4))</f>
        <v>0</v>
      </c>
      <c r="AB25" s="2902">
        <f>IF(G25=0,0,ROUND(AVERAGE(G25:G36)/100,4))</f>
        <v>0</v>
      </c>
      <c r="AC25" s="2904"/>
      <c r="AD25" s="2028">
        <f>IF(I25=0,0,ROUND(AVERAGE(I25:I36)/100,4))</f>
        <v>0</v>
      </c>
    </row>
    <row r="26" spans="1:30" s="2045" customFormat="1" ht="12.75">
      <c r="A26" s="2905" t="s">
        <v>3372</v>
      </c>
      <c r="B26" s="2031">
        <v>2023</v>
      </c>
      <c r="C26" s="2042">
        <v>3</v>
      </c>
      <c r="D26" s="2007"/>
      <c r="E26" s="2007">
        <v>0</v>
      </c>
      <c r="F26" s="2007">
        <v>0</v>
      </c>
      <c r="G26" s="2007">
        <v>0</v>
      </c>
      <c r="H26" s="2917"/>
      <c r="I26" s="2008">
        <f t="shared" si="26"/>
        <v>0</v>
      </c>
      <c r="J26" s="2906"/>
      <c r="K26" s="2043"/>
      <c r="L26" s="2028">
        <f t="shared" ref="L26:L28" si="28">E26/100</f>
        <v>0</v>
      </c>
      <c r="M26" s="2028">
        <f t="shared" ref="M26:M28" si="29">F26/100</f>
        <v>0</v>
      </c>
      <c r="N26" s="2028">
        <f t="shared" ref="N26:N28" si="30">G26/100</f>
        <v>0</v>
      </c>
      <c r="O26" s="2028"/>
      <c r="P26" s="2028">
        <f t="shared" ref="P26:P28" si="31">M26</f>
        <v>0</v>
      </c>
      <c r="Q26" s="2906"/>
      <c r="R26" s="2027"/>
      <c r="S26" s="2027">
        <f>ROUND(IF([2]项目基本情况!$B$8="出让",SUMPRODUCT(PRODUCT(1+L26:L$36)),SUMPRODUCT(PRODUCT(1+L26:L$35))),4)</f>
        <v>1.0286999999999999</v>
      </c>
      <c r="T26" s="2027">
        <f>ROUND(IF([2]项目基本情况!$B$8="出让",SUMPRODUCT(PRODUCT(1+M26:M$36)),SUMPRODUCT(PRODUCT(1+M26:M$35))),4)</f>
        <v>1.0164</v>
      </c>
      <c r="U26" s="2027">
        <f>ROUND(IF([2]项目基本情况!$B$8="出让",SUMPRODUCT(PRODUCT(1+N26:N$36)),SUMPRODUCT(PRODUCT(1+N26:N$35))),4)</f>
        <v>1.0506</v>
      </c>
      <c r="V26" s="2027"/>
      <c r="W26" s="2027">
        <f t="shared" ref="W26:W28" si="32">T26</f>
        <v>1.0164</v>
      </c>
      <c r="X26" s="2906"/>
      <c r="Y26" s="2028"/>
      <c r="Z26" s="2902"/>
      <c r="AA26" s="2028"/>
      <c r="AB26" s="2028"/>
      <c r="AC26" s="2904"/>
      <c r="AD26" s="2028"/>
    </row>
    <row r="27" spans="1:30" s="2045" customFormat="1" ht="12.75">
      <c r="A27" s="2905" t="s">
        <v>3370</v>
      </c>
      <c r="B27" s="2031">
        <v>2023</v>
      </c>
      <c r="C27" s="2042">
        <v>2</v>
      </c>
      <c r="D27" s="2007"/>
      <c r="E27" s="2007">
        <v>0</v>
      </c>
      <c r="F27" s="2007">
        <v>0</v>
      </c>
      <c r="G27" s="2007">
        <v>0</v>
      </c>
      <c r="H27" s="2917"/>
      <c r="I27" s="2008">
        <f t="shared" si="26"/>
        <v>0</v>
      </c>
      <c r="J27" s="2906"/>
      <c r="K27" s="2043"/>
      <c r="L27" s="2028">
        <f t="shared" si="28"/>
        <v>0</v>
      </c>
      <c r="M27" s="2028">
        <f t="shared" si="29"/>
        <v>0</v>
      </c>
      <c r="N27" s="2028">
        <f t="shared" si="30"/>
        <v>0</v>
      </c>
      <c r="O27" s="2028"/>
      <c r="P27" s="2028">
        <f t="shared" si="31"/>
        <v>0</v>
      </c>
      <c r="Q27" s="2906"/>
      <c r="R27" s="2027"/>
      <c r="S27" s="2027">
        <f>ROUND(IF([2]项目基本情况!$B$8="出让",SUMPRODUCT(PRODUCT(1+L27:L$36)),SUMPRODUCT(PRODUCT(1+L27:L$35))),4)</f>
        <v>1.0286999999999999</v>
      </c>
      <c r="T27" s="2027">
        <f>ROUND(IF([2]项目基本情况!$B$8="出让",SUMPRODUCT(PRODUCT(1+M27:M$36)),SUMPRODUCT(PRODUCT(1+M27:M$35))),4)</f>
        <v>1.0164</v>
      </c>
      <c r="U27" s="2027">
        <f>ROUND(IF([2]项目基本情况!$B$8="出让",SUMPRODUCT(PRODUCT(1+N27:N$36)),SUMPRODUCT(PRODUCT(1+N27:N$35))),4)</f>
        <v>1.0506</v>
      </c>
      <c r="V27" s="2027"/>
      <c r="W27" s="2027">
        <f t="shared" si="32"/>
        <v>1.0164</v>
      </c>
      <c r="X27" s="2906"/>
      <c r="Y27" s="2028"/>
      <c r="Z27" s="2902"/>
      <c r="AA27" s="2028"/>
      <c r="AB27" s="2028"/>
      <c r="AC27" s="2904"/>
      <c r="AD27" s="2028"/>
    </row>
    <row r="28" spans="1:30" s="2045" customFormat="1" ht="12.75">
      <c r="A28" s="2905" t="s">
        <v>2817</v>
      </c>
      <c r="B28" s="2031">
        <v>2023</v>
      </c>
      <c r="C28" s="2042">
        <v>1</v>
      </c>
      <c r="D28" s="2007"/>
      <c r="E28" s="2007">
        <v>0</v>
      </c>
      <c r="F28" s="2007">
        <v>0</v>
      </c>
      <c r="G28" s="2007">
        <v>0</v>
      </c>
      <c r="H28" s="2917"/>
      <c r="I28" s="2008">
        <f t="shared" si="26"/>
        <v>0</v>
      </c>
      <c r="J28" s="2906"/>
      <c r="K28" s="2043"/>
      <c r="L28" s="2028">
        <f t="shared" si="28"/>
        <v>0</v>
      </c>
      <c r="M28" s="2028">
        <f t="shared" si="29"/>
        <v>0</v>
      </c>
      <c r="N28" s="2028">
        <f t="shared" si="30"/>
        <v>0</v>
      </c>
      <c r="O28" s="2028"/>
      <c r="P28" s="2028">
        <f t="shared" si="31"/>
        <v>0</v>
      </c>
      <c r="Q28" s="2906"/>
      <c r="R28" s="2027"/>
      <c r="S28" s="2027">
        <f>ROUND(IF([2]项目基本情况!$B$8="出让",SUMPRODUCT(PRODUCT(1+L28:L$36)),SUMPRODUCT(PRODUCT(1+L28:L$35))),4)</f>
        <v>1.0286999999999999</v>
      </c>
      <c r="T28" s="2027">
        <f>ROUND(IF([2]项目基本情况!$B$8="出让",SUMPRODUCT(PRODUCT(1+M28:M$36)),SUMPRODUCT(PRODUCT(1+M28:M$35))),4)</f>
        <v>1.0164</v>
      </c>
      <c r="U28" s="2027">
        <f>ROUND(IF([2]项目基本情况!$B$8="出让",SUMPRODUCT(PRODUCT(1+N28:N$36)),SUMPRODUCT(PRODUCT(1+N28:N$35))),4)</f>
        <v>1.0506</v>
      </c>
      <c r="V28" s="2027"/>
      <c r="W28" s="2027">
        <f t="shared" si="32"/>
        <v>1.0164</v>
      </c>
      <c r="X28" s="2906"/>
      <c r="Y28" s="2028"/>
      <c r="Z28" s="2902"/>
      <c r="AA28" s="2028"/>
      <c r="AB28" s="2028"/>
      <c r="AC28" s="2904"/>
      <c r="AD28" s="2028"/>
    </row>
    <row r="29" spans="1:30" s="2916" customFormat="1" ht="12.75">
      <c r="A29" s="2907" t="s">
        <v>3366</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5" customFormat="1" ht="12.75">
      <c r="A30" s="2905" t="s">
        <v>3367</v>
      </c>
      <c r="B30" s="2031">
        <v>2022</v>
      </c>
      <c r="C30" s="2042">
        <v>3</v>
      </c>
      <c r="D30" s="2007"/>
      <c r="E30" s="2007">
        <v>0.3</v>
      </c>
      <c r="F30" s="2007">
        <v>0.28999999999999998</v>
      </c>
      <c r="G30" s="2007">
        <v>0.83</v>
      </c>
      <c r="H30" s="2917"/>
      <c r="I30" s="2008">
        <f t="shared" si="26"/>
        <v>0.28999999999999998</v>
      </c>
      <c r="J30" s="2906"/>
      <c r="K30" s="2043"/>
      <c r="L30" s="2028">
        <f t="shared" si="27"/>
        <v>3.0000000000000001E-3</v>
      </c>
      <c r="M30" s="2028">
        <f t="shared" si="27"/>
        <v>2.8999999999999998E-3</v>
      </c>
      <c r="N30" s="2028">
        <f t="shared" si="27"/>
        <v>8.3000000000000001E-3</v>
      </c>
      <c r="O30" s="2028"/>
      <c r="P30" s="2028">
        <f t="shared" si="33"/>
        <v>2.8999999999999998E-3</v>
      </c>
      <c r="Q30" s="2906"/>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6"/>
      <c r="Y30" s="2028"/>
      <c r="Z30" s="2902">
        <f t="shared" si="35"/>
        <v>3.8999999999999998E-3</v>
      </c>
      <c r="AA30" s="2903">
        <f t="shared" si="35"/>
        <v>2.7000000000000001E-3</v>
      </c>
      <c r="AB30" s="2028">
        <f t="shared" si="35"/>
        <v>7.9000000000000008E-3</v>
      </c>
      <c r="AC30" s="2904"/>
      <c r="AD30" s="2028">
        <f t="shared" si="35"/>
        <v>2.7000000000000001E-3</v>
      </c>
    </row>
    <row r="31" spans="1:30" s="2045" customFormat="1" ht="12.75">
      <c r="A31" s="2905" t="s">
        <v>3356</v>
      </c>
      <c r="B31" s="2031">
        <v>2022</v>
      </c>
      <c r="C31" s="2042">
        <v>2</v>
      </c>
      <c r="D31" s="2007"/>
      <c r="E31" s="2007">
        <v>-0.11</v>
      </c>
      <c r="F31" s="2007">
        <v>-0.13</v>
      </c>
      <c r="G31" s="2007">
        <v>0.53</v>
      </c>
      <c r="H31" s="2917"/>
      <c r="I31" s="2008">
        <f t="shared" si="26"/>
        <v>-0.13</v>
      </c>
      <c r="J31" s="2906"/>
      <c r="K31" s="2043"/>
      <c r="L31" s="2028">
        <f t="shared" si="27"/>
        <v>-1.1000000000000001E-3</v>
      </c>
      <c r="M31" s="2028">
        <f t="shared" si="27"/>
        <v>-1.2999999999999999E-3</v>
      </c>
      <c r="N31" s="2028">
        <f t="shared" si="27"/>
        <v>5.3E-3</v>
      </c>
      <c r="O31" s="2028"/>
      <c r="P31" s="2028">
        <f t="shared" si="33"/>
        <v>-1.2999999999999999E-3</v>
      </c>
      <c r="Q31" s="2906"/>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6"/>
      <c r="Y31" s="2028"/>
      <c r="Z31" s="2902">
        <f t="shared" si="35"/>
        <v>4.1000000000000003E-3</v>
      </c>
      <c r="AA31" s="2903">
        <f t="shared" si="35"/>
        <v>2.7000000000000001E-3</v>
      </c>
      <c r="AB31" s="2028">
        <f t="shared" si="35"/>
        <v>7.9000000000000008E-3</v>
      </c>
      <c r="AC31" s="2904"/>
      <c r="AD31" s="2028">
        <f t="shared" si="35"/>
        <v>2.7000000000000001E-3</v>
      </c>
    </row>
    <row r="32" spans="1:30" s="2045" customFormat="1" ht="12.75">
      <c r="A32" s="2905" t="s">
        <v>2835</v>
      </c>
      <c r="B32" s="2031">
        <v>2022</v>
      </c>
      <c r="C32" s="2042">
        <v>1</v>
      </c>
      <c r="D32" s="2007"/>
      <c r="E32" s="2007">
        <v>0.6</v>
      </c>
      <c r="F32" s="2007">
        <v>0.45</v>
      </c>
      <c r="G32" s="2007">
        <v>0.53</v>
      </c>
      <c r="H32" s="2917"/>
      <c r="I32" s="2008">
        <f t="shared" si="26"/>
        <v>0.45</v>
      </c>
      <c r="J32" s="2906"/>
      <c r="K32" s="2043"/>
      <c r="L32" s="2028">
        <f t="shared" si="27"/>
        <v>6.0000000000000001E-3</v>
      </c>
      <c r="M32" s="2028">
        <f t="shared" si="27"/>
        <v>4.5000000000000005E-3</v>
      </c>
      <c r="N32" s="2028">
        <f t="shared" si="27"/>
        <v>5.3E-3</v>
      </c>
      <c r="O32" s="2028"/>
      <c r="P32" s="2028">
        <f t="shared" si="33"/>
        <v>4.5000000000000005E-3</v>
      </c>
      <c r="Q32" s="2906"/>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6"/>
      <c r="Y32" s="2028"/>
      <c r="Z32" s="2902">
        <f t="shared" si="35"/>
        <v>5.1000000000000004E-3</v>
      </c>
      <c r="AA32" s="2903">
        <f t="shared" si="35"/>
        <v>3.5000000000000001E-3</v>
      </c>
      <c r="AB32" s="2028">
        <f t="shared" si="35"/>
        <v>8.3999999999999995E-3</v>
      </c>
      <c r="AC32" s="2904"/>
      <c r="AD32" s="2028">
        <f t="shared" si="35"/>
        <v>3.5000000000000001E-3</v>
      </c>
    </row>
    <row r="33" spans="1:30" s="2045" customFormat="1" ht="12.75">
      <c r="A33" s="2905" t="s">
        <v>2836</v>
      </c>
      <c r="B33" s="2031">
        <v>2021</v>
      </c>
      <c r="C33" s="2042">
        <v>4</v>
      </c>
      <c r="D33" s="2007"/>
      <c r="E33" s="2007">
        <v>0.57999999999999996</v>
      </c>
      <c r="F33" s="2007">
        <v>0.08</v>
      </c>
      <c r="G33" s="2007">
        <v>0.68</v>
      </c>
      <c r="H33" s="2917"/>
      <c r="I33" s="2008">
        <f t="shared" si="26"/>
        <v>0.08</v>
      </c>
      <c r="J33" s="2906"/>
      <c r="K33" s="2043"/>
      <c r="L33" s="2028">
        <f t="shared" si="27"/>
        <v>5.7999999999999996E-3</v>
      </c>
      <c r="M33" s="2028">
        <f t="shared" si="27"/>
        <v>8.0000000000000004E-4</v>
      </c>
      <c r="N33" s="2028">
        <f t="shared" si="27"/>
        <v>6.8000000000000005E-3</v>
      </c>
      <c r="O33" s="2028"/>
      <c r="P33" s="2028">
        <f t="shared" si="33"/>
        <v>8.0000000000000004E-4</v>
      </c>
      <c r="Q33" s="2906"/>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6"/>
      <c r="Y33" s="2028"/>
      <c r="Z33" s="2902">
        <f t="shared" si="35"/>
        <v>4.8999999999999998E-3</v>
      </c>
      <c r="AA33" s="2903">
        <f t="shared" si="35"/>
        <v>3.3E-3</v>
      </c>
      <c r="AB33" s="2028">
        <f t="shared" si="35"/>
        <v>9.1999999999999998E-3</v>
      </c>
      <c r="AC33" s="2904"/>
      <c r="AD33" s="2028">
        <f t="shared" si="35"/>
        <v>3.3E-3</v>
      </c>
    </row>
    <row r="34" spans="1:30" s="2045" customFormat="1" ht="12.75">
      <c r="A34" s="2905" t="s">
        <v>2837</v>
      </c>
      <c r="B34" s="2031">
        <v>2021</v>
      </c>
      <c r="C34" s="2042">
        <v>3</v>
      </c>
      <c r="D34" s="2007"/>
      <c r="E34" s="2007">
        <v>0.47</v>
      </c>
      <c r="F34" s="2007">
        <v>0.28000000000000003</v>
      </c>
      <c r="G34" s="2007">
        <v>0.91</v>
      </c>
      <c r="H34" s="2917"/>
      <c r="I34" s="2008">
        <f t="shared" si="26"/>
        <v>0.28000000000000003</v>
      </c>
      <c r="J34" s="2906"/>
      <c r="K34" s="2043"/>
      <c r="L34" s="2028">
        <f t="shared" si="27"/>
        <v>4.6999999999999993E-3</v>
      </c>
      <c r="M34" s="2028">
        <f t="shared" si="27"/>
        <v>2.8000000000000004E-3</v>
      </c>
      <c r="N34" s="2028">
        <f t="shared" si="27"/>
        <v>9.1000000000000004E-3</v>
      </c>
      <c r="O34" s="2028"/>
      <c r="P34" s="2028">
        <f t="shared" si="33"/>
        <v>2.8000000000000004E-3</v>
      </c>
      <c r="Q34" s="2906"/>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6"/>
      <c r="Y34" s="2028"/>
      <c r="Z34" s="2902">
        <f t="shared" si="35"/>
        <v>4.5999999999999999E-3</v>
      </c>
      <c r="AA34" s="2903">
        <f t="shared" si="35"/>
        <v>4.1000000000000003E-3</v>
      </c>
      <c r="AB34" s="2028">
        <f t="shared" si="35"/>
        <v>0.01</v>
      </c>
      <c r="AC34" s="2904"/>
      <c r="AD34" s="2028">
        <f t="shared" si="35"/>
        <v>4.1000000000000003E-3</v>
      </c>
    </row>
    <row r="35" spans="1:30" s="2045" customFormat="1" ht="12.75">
      <c r="A35" s="2905" t="s">
        <v>2838</v>
      </c>
      <c r="B35" s="2031">
        <v>2021</v>
      </c>
      <c r="C35" s="2042">
        <v>2</v>
      </c>
      <c r="D35" s="2007"/>
      <c r="E35" s="2007">
        <v>0.55000000000000004</v>
      </c>
      <c r="F35" s="2007">
        <v>0.46</v>
      </c>
      <c r="G35" s="2007">
        <v>1.1000000000000001</v>
      </c>
      <c r="H35" s="2917"/>
      <c r="I35" s="2008">
        <f t="shared" si="26"/>
        <v>0.46</v>
      </c>
      <c r="J35" s="2906"/>
      <c r="K35" s="2043"/>
      <c r="L35" s="2028">
        <f t="shared" si="27"/>
        <v>5.5000000000000005E-3</v>
      </c>
      <c r="M35" s="2028">
        <f t="shared" si="27"/>
        <v>4.5999999999999999E-3</v>
      </c>
      <c r="N35" s="2028">
        <f t="shared" si="27"/>
        <v>1.1000000000000001E-2</v>
      </c>
      <c r="O35" s="2028"/>
      <c r="P35" s="2028">
        <f t="shared" si="33"/>
        <v>4.5999999999999999E-3</v>
      </c>
      <c r="Q35" s="2906"/>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6"/>
      <c r="Y35" s="2028"/>
      <c r="Z35" s="2902">
        <f t="shared" si="35"/>
        <v>4.4999999999999997E-3</v>
      </c>
      <c r="AA35" s="2903">
        <f t="shared" si="35"/>
        <v>4.7000000000000002E-3</v>
      </c>
      <c r="AB35" s="2028">
        <f t="shared" si="35"/>
        <v>1.04E-2</v>
      </c>
      <c r="AC35" s="2904"/>
      <c r="AD35" s="2028">
        <f t="shared" si="35"/>
        <v>4.7000000000000002E-3</v>
      </c>
    </row>
    <row r="36" spans="1:30" s="2928" customFormat="1" thickBot="1">
      <c r="A36" s="2918" t="s">
        <v>2823</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44988</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2307</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455.09</v>
      </c>
      <c r="C4" s="801">
        <f>项目基本情况!C18</f>
        <v>0</v>
      </c>
      <c r="D4" s="801">
        <f ca="1">结果表!D118</f>
        <v>1964</v>
      </c>
      <c r="E4" s="801">
        <f ca="1">结果表!E118</f>
        <v>43156</v>
      </c>
      <c r="F4" s="801">
        <f ca="1">结果表!F118</f>
        <v>270</v>
      </c>
      <c r="G4" s="801">
        <f ca="1">结果表!G118</f>
        <v>5933</v>
      </c>
      <c r="H4" s="801">
        <f ca="1">结果表!H118</f>
        <v>2234</v>
      </c>
      <c r="I4" s="801">
        <f ca="1">结果表!I118</f>
        <v>49089</v>
      </c>
    </row>
    <row r="5" spans="1:9" ht="30" customHeight="1">
      <c r="A5" s="3166" t="s">
        <v>927</v>
      </c>
      <c r="B5" s="3166"/>
      <c r="C5" s="3166"/>
      <c r="D5" s="3166" t="str">
        <f ca="1">结果表!D119</f>
        <v>壹仟玖佰陆拾肆万元整</v>
      </c>
      <c r="E5" s="3166"/>
      <c r="F5" s="3166" t="str">
        <f ca="1">结果表!F119</f>
        <v>贰佰柒拾万元整</v>
      </c>
      <c r="G5" s="3166"/>
      <c r="H5" s="3166" t="str">
        <f ca="1">结果表!H119</f>
        <v>贰仟贰佰叁拾肆万元整</v>
      </c>
      <c r="I5" s="3166"/>
    </row>
    <row r="6" spans="1:9" ht="15.75">
      <c r="A6" s="3165" t="str">
        <f>结果表!A120</f>
        <v>估价师知悉的法定优先受偿款</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75">
      <c r="A8" s="3165" t="str">
        <f>结果表!A122</f>
        <v>房地产抵押价值</v>
      </c>
      <c r="B8" s="3165"/>
      <c r="C8" s="3165"/>
      <c r="D8" s="3165">
        <f ca="1">结果表!D122</f>
        <v>2234</v>
      </c>
      <c r="E8" s="3165"/>
      <c r="F8" s="3165"/>
      <c r="G8" s="3165"/>
      <c r="H8" s="3165"/>
      <c r="I8" s="3165"/>
    </row>
    <row r="9" spans="1:9" ht="15">
      <c r="A9" s="3166" t="s">
        <v>927</v>
      </c>
      <c r="B9" s="3166"/>
      <c r="C9" s="3166"/>
      <c r="D9" s="3166" t="str">
        <f ca="1">结果表!D123</f>
        <v>贰仟贰佰叁拾肆万元整</v>
      </c>
      <c r="E9" s="3166"/>
      <c r="F9" s="3166"/>
      <c r="G9" s="3166"/>
      <c r="H9" s="3166"/>
      <c r="I9" s="3166"/>
    </row>
    <row r="10" spans="1:9" ht="15.75">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75">
      <c r="A12" s="3165" t="str">
        <f>结果表!A126</f>
        <v/>
      </c>
      <c r="B12" s="3165"/>
      <c r="C12" s="3165"/>
      <c r="D12" s="3165" t="str">
        <f>结果表!D126</f>
        <v>——</v>
      </c>
      <c r="E12" s="3165"/>
      <c r="F12" s="3165"/>
      <c r="G12" s="3165"/>
      <c r="H12" s="3165"/>
      <c r="I12" s="3165"/>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2" t="str">
        <f>IF(项目基本情况!B8="抵押","4.本次评估估价师所知悉的法定优先受偿款情况说明如下：","——")</f>
        <v>4.本次评估估价师所知悉的法定优先受偿款情况说明如下：</v>
      </c>
      <c r="B14" s="3177"/>
      <c r="C14" s="3177"/>
      <c r="D14" s="3177"/>
    </row>
    <row r="15" spans="1:4" ht="42" customHeight="1">
      <c r="A15" s="31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6" t="s">
        <v>956</v>
      </c>
      <c r="B15" s="3181" t="s">
        <v>109</v>
      </c>
      <c r="C15" s="3182"/>
    </row>
    <row r="16" spans="1:7" ht="13.5">
      <c r="A16" s="3187"/>
      <c r="B16" s="3181" t="s">
        <v>42</v>
      </c>
      <c r="C16" s="3182"/>
    </row>
    <row r="17" spans="1:3" ht="13.5">
      <c r="A17" s="3187"/>
      <c r="B17" s="3184" t="s">
        <v>957</v>
      </c>
      <c r="C17" s="1429" t="s">
        <v>956</v>
      </c>
    </row>
    <row r="18" spans="1:3" ht="13.5">
      <c r="A18" s="3187"/>
      <c r="B18" s="3184"/>
      <c r="C18" s="1429" t="s">
        <v>958</v>
      </c>
    </row>
    <row r="19" spans="1:3" ht="13.5">
      <c r="A19" s="3187"/>
      <c r="B19" s="3184"/>
      <c r="C19" s="1429" t="s">
        <v>959</v>
      </c>
    </row>
    <row r="20" spans="1:3" ht="13.5">
      <c r="A20" s="3188"/>
      <c r="B20" s="3183" t="s">
        <v>960</v>
      </c>
      <c r="C20" s="3182"/>
    </row>
    <row r="21" spans="1:3" ht="13.5">
      <c r="A21" s="1430" t="s">
        <v>961</v>
      </c>
      <c r="B21" s="1431"/>
      <c r="C21" s="1432"/>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9" t="s">
        <v>967</v>
      </c>
    </row>
    <row r="26" spans="1:3" ht="13.5">
      <c r="A26" s="3185"/>
      <c r="B26" s="3184"/>
      <c r="C26" s="1429" t="s">
        <v>968</v>
      </c>
    </row>
    <row r="27" spans="1:3" ht="13.5">
      <c r="A27" s="3185"/>
      <c r="B27" s="3184"/>
      <c r="C27" s="1429" t="s">
        <v>969</v>
      </c>
    </row>
    <row r="28" spans="1:3" ht="13.5">
      <c r="A28" s="3185"/>
      <c r="B28" s="3184"/>
      <c r="C28" s="1429" t="s">
        <v>970</v>
      </c>
    </row>
    <row r="29" spans="1:3" ht="13.5">
      <c r="A29" s="3185"/>
      <c r="B29" s="3184"/>
      <c r="C29" s="1429" t="s">
        <v>971</v>
      </c>
    </row>
    <row r="30" spans="1:3" ht="13.5">
      <c r="A30" s="3185"/>
      <c r="B30" s="3184"/>
      <c r="C30" s="1429" t="s">
        <v>972</v>
      </c>
    </row>
    <row r="31" spans="1:3" ht="13.5">
      <c r="A31" s="3185"/>
      <c r="B31" s="3184"/>
      <c r="C31" s="1429" t="s">
        <v>973</v>
      </c>
    </row>
    <row r="32" spans="1:3" ht="13.5">
      <c r="A32" s="3185"/>
      <c r="B32" s="3184"/>
      <c r="C32" s="1429" t="s">
        <v>974</v>
      </c>
    </row>
    <row r="33" spans="1:3" ht="13.5">
      <c r="A33" s="3185"/>
      <c r="B33" s="31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44991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比较法-办公 (租金)</vt:lpstr>
      <vt:lpstr>收益法 (元)</vt:lpstr>
      <vt:lpstr>案例信息</vt:lpstr>
      <vt:lpstr>租金信息</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2023-03-06T05:29:24Z</dcterms:modified>
</cp:coreProperties>
</file>