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土地比较法-工业" sheetId="40" r:id="rId19"/>
    <sheet name="土地案例" sheetId="82"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典型户型修正" sheetId="31" state="hidden" r:id="rId33"/>
    <sheet name="基准地价（汇总）" sheetId="76" state="hidden" r:id="rId34"/>
    <sheet name="基准地价修正" sheetId="43" state="hidden" r:id="rId35"/>
    <sheet name="成本法" sheetId="68" r:id="rId36"/>
    <sheet name="收益法" sheetId="15"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Sheet2" sheetId="81" r:id="rId48"/>
  </sheets>
  <externalReferences>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18"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5">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1">假设开发法!$A$1:$K$32</definedName>
    <definedName name="_xlnm.Print_Area" localSheetId="17">结果表!$A$1:$I$127</definedName>
    <definedName name="_xlnm.Print_Area" localSheetId="36">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18">'土地比较法-工业'!$A$1:$K$61,'土地比较法-工业'!$A$64:$M$121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6" i="1" l="1"/>
  <c r="BG4" i="82"/>
  <c r="BG8" i="82"/>
  <c r="BG6" i="82"/>
  <c r="W21" i="1"/>
  <c r="P26" i="1"/>
  <c r="W20" i="1"/>
  <c r="R20" i="1"/>
  <c r="W22" i="1" l="1"/>
  <c r="U21" i="1"/>
  <c r="R26" i="1"/>
  <c r="R25" i="1"/>
  <c r="R24" i="1"/>
  <c r="R23" i="1"/>
  <c r="R22" i="1"/>
  <c r="R21" i="1"/>
  <c r="K25" i="1" l="1"/>
  <c r="M25" i="1"/>
  <c r="L22" i="1"/>
  <c r="L21" i="1"/>
  <c r="E109" i="40"/>
  <c r="F109" i="40" s="1"/>
  <c r="G109" i="40" s="1"/>
  <c r="H109" i="40" s="1"/>
  <c r="D109" i="40"/>
  <c r="I34" i="40"/>
  <c r="G34" i="40"/>
  <c r="E34" i="40"/>
  <c r="C34" i="40"/>
  <c r="I41" i="40"/>
  <c r="G41" i="40"/>
  <c r="E41" i="40"/>
  <c r="E75" i="40"/>
  <c r="F75" i="40" s="1"/>
  <c r="G75" i="40" s="1"/>
  <c r="H75" i="40" s="1"/>
  <c r="D75" i="40"/>
  <c r="I11" i="40"/>
  <c r="G11" i="40"/>
  <c r="E11" i="40"/>
  <c r="C11" i="40"/>
  <c r="E66" i="40"/>
  <c r="F66" i="40" s="1"/>
  <c r="G66" i="40" s="1"/>
  <c r="H66" i="40" s="1"/>
  <c r="I66" i="40" s="1"/>
  <c r="J66" i="40" s="1"/>
  <c r="K66" i="40" s="1"/>
  <c r="L66" i="40" s="1"/>
  <c r="M66" i="40" s="1"/>
  <c r="N66" i="40" s="1"/>
  <c r="O66" i="40" s="1"/>
  <c r="D66" i="40"/>
  <c r="I7" i="40"/>
  <c r="G7" i="40"/>
  <c r="E7" i="40"/>
  <c r="I6" i="40"/>
  <c r="G6" i="40"/>
  <c r="E6" i="40"/>
  <c r="I5" i="40"/>
  <c r="G5" i="40"/>
  <c r="E5" i="40"/>
  <c r="BG1" i="82"/>
  <c r="N6" i="1" l="1"/>
  <c r="M21" i="1"/>
  <c r="M22" i="1"/>
  <c r="M23" i="1"/>
  <c r="M24" i="1"/>
  <c r="M20" i="1"/>
  <c r="K23" i="1"/>
  <c r="K24" i="1"/>
  <c r="K21" i="1"/>
  <c r="K22" i="1"/>
  <c r="K20" i="1"/>
  <c r="D3" i="4"/>
  <c r="L24" i="1" l="1"/>
  <c r="N23" i="1"/>
  <c r="N21" i="1"/>
  <c r="N20" i="1"/>
  <c r="L25" i="1" l="1"/>
  <c r="N26" i="1"/>
  <c r="N22" i="1"/>
  <c r="N24" i="1" s="1"/>
  <c r="C24" i="37" l="1"/>
  <c r="C18" i="37"/>
  <c r="C16" i="37"/>
  <c r="I16" i="37" s="1"/>
  <c r="G16" i="37" l="1"/>
  <c r="E16" i="37"/>
  <c r="Y6" i="1"/>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B3" i="79" s="1"/>
  <c r="AA9" i="79"/>
  <c r="AD9" i="79" s="1"/>
  <c r="Z9" i="79"/>
  <c r="Z3" i="79" s="1"/>
  <c r="Y9" i="79"/>
  <c r="O9" i="79"/>
  <c r="O3" i="79" s="1"/>
  <c r="N9" i="79"/>
  <c r="M9" i="79"/>
  <c r="L9" i="79"/>
  <c r="K9" i="79"/>
  <c r="I9" i="79"/>
  <c r="AC5" i="79"/>
  <c r="AB5" i="79"/>
  <c r="AA5" i="79"/>
  <c r="AD5" i="79" s="1"/>
  <c r="Z5" i="79"/>
  <c r="Y5" i="79"/>
  <c r="O5" i="79"/>
  <c r="N5" i="79"/>
  <c r="M5" i="79"/>
  <c r="P5" i="79" s="1"/>
  <c r="L5" i="79"/>
  <c r="K5" i="79"/>
  <c r="I5" i="79"/>
  <c r="V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14" i="79" l="1"/>
  <c r="T14" i="79"/>
  <c r="W14" i="79" s="1"/>
  <c r="V14" i="79"/>
  <c r="M23" i="79"/>
  <c r="P23" i="79" s="1"/>
  <c r="M3" i="79"/>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T72" i="71" s="1"/>
  <c r="B72" i="71"/>
  <c r="S72" i="71" s="1"/>
  <c r="Q71" i="71"/>
  <c r="P71" i="71"/>
  <c r="O71" i="71"/>
  <c r="N71" i="71"/>
  <c r="F71" i="71"/>
  <c r="F70" i="71" s="1"/>
  <c r="B71" i="71"/>
  <c r="B70" i="71" s="1"/>
  <c r="Q70" i="71"/>
  <c r="P70" i="71"/>
  <c r="O70" i="71"/>
  <c r="N70" i="71"/>
  <c r="Q69" i="71"/>
  <c r="P69" i="71"/>
  <c r="O69" i="71"/>
  <c r="N69" i="71"/>
  <c r="D69" i="71"/>
  <c r="F68" i="71"/>
  <c r="E68" i="71"/>
  <c r="C68" i="71"/>
  <c r="B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C44" i="71" s="1"/>
  <c r="N41" i="71"/>
  <c r="B42" i="71" s="1"/>
  <c r="B43" i="71" s="1"/>
  <c r="B44" i="71" s="1"/>
  <c r="S44" i="71" s="1"/>
  <c r="D41" i="71"/>
  <c r="Q40" i="71"/>
  <c r="P40" i="71"/>
  <c r="O40" i="71"/>
  <c r="N40" i="71"/>
  <c r="Q39" i="71"/>
  <c r="AB39" i="71" s="1"/>
  <c r="P39" i="71"/>
  <c r="AA39" i="71" s="1"/>
  <c r="O39" i="71"/>
  <c r="Y39" i="71" s="1"/>
  <c r="Z39" i="71" s="1"/>
  <c r="N39" i="71"/>
  <c r="Q38" i="71"/>
  <c r="AB38" i="71" s="1"/>
  <c r="P38" i="71"/>
  <c r="O38" i="71"/>
  <c r="N38" i="71"/>
  <c r="Q37" i="71"/>
  <c r="F38" i="71" s="1"/>
  <c r="F39" i="71" s="1"/>
  <c r="F40" i="71" s="1"/>
  <c r="V40" i="71" s="1"/>
  <c r="P37" i="71"/>
  <c r="O37" i="71"/>
  <c r="C38" i="71" s="1"/>
  <c r="D38" i="71" s="1"/>
  <c r="N37" i="71"/>
  <c r="B38" i="71" s="1"/>
  <c r="B39" i="71" s="1"/>
  <c r="D37" i="71"/>
  <c r="Q36" i="71"/>
  <c r="P36" i="71"/>
  <c r="O36" i="71"/>
  <c r="Y36" i="71"/>
  <c r="Z36" i="71" s="1"/>
  <c r="N36" i="71"/>
  <c r="Q35" i="71"/>
  <c r="AB35" i="71" s="1"/>
  <c r="P35" i="71"/>
  <c r="O35" i="71"/>
  <c r="N35" i="71"/>
  <c r="X35" i="71" s="1"/>
  <c r="Q34" i="71"/>
  <c r="P34" i="71"/>
  <c r="O34" i="71"/>
  <c r="Y34" i="71" s="1"/>
  <c r="Z34" i="71" s="1"/>
  <c r="N34" i="71"/>
  <c r="Q33" i="71"/>
  <c r="F34" i="71" s="1"/>
  <c r="P33" i="71"/>
  <c r="E34" i="71" s="1"/>
  <c r="E35" i="71" s="1"/>
  <c r="E36" i="71" s="1"/>
  <c r="U36" i="71" s="1"/>
  <c r="O33" i="71"/>
  <c r="N33" i="71"/>
  <c r="B34" i="71" s="1"/>
  <c r="B35" i="71" s="1"/>
  <c r="D33" i="71"/>
  <c r="Q32" i="71"/>
  <c r="P32" i="71"/>
  <c r="O32" i="71"/>
  <c r="Y32" i="71" s="1"/>
  <c r="Z32" i="71" s="1"/>
  <c r="N32" i="71"/>
  <c r="Q31" i="71"/>
  <c r="P31" i="71"/>
  <c r="O31" i="71"/>
  <c r="N31" i="71"/>
  <c r="Q30" i="71"/>
  <c r="P30" i="71"/>
  <c r="AA30" i="71" s="1"/>
  <c r="O30" i="71"/>
  <c r="Y30" i="71"/>
  <c r="Z30" i="71" s="1"/>
  <c r="N30" i="71"/>
  <c r="Q29" i="71"/>
  <c r="F30" i="71" s="1"/>
  <c r="F31" i="71" s="1"/>
  <c r="F32" i="71" s="1"/>
  <c r="V32" i="71" s="1"/>
  <c r="P29" i="71"/>
  <c r="E30" i="71" s="1"/>
  <c r="O29" i="71"/>
  <c r="Y27" i="71" s="1"/>
  <c r="Z27" i="71" s="1"/>
  <c r="N29" i="71"/>
  <c r="D29" i="71"/>
  <c r="O28" i="71"/>
  <c r="C28" i="71" s="1"/>
  <c r="N28" i="71"/>
  <c r="X26" i="71" s="1"/>
  <c r="B30" i="71"/>
  <c r="B31" i="71" s="1"/>
  <c r="X29" i="71"/>
  <c r="X33" i="71"/>
  <c r="E38" i="71"/>
  <c r="AA37" i="71"/>
  <c r="C30" i="71"/>
  <c r="C31" i="71" s="1"/>
  <c r="AA31" i="71"/>
  <c r="C34" i="71"/>
  <c r="X34" i="71"/>
  <c r="AA35" i="71"/>
  <c r="AA36" i="71"/>
  <c r="Y37" i="71"/>
  <c r="Z37" i="71" s="1"/>
  <c r="AB37" i="71"/>
  <c r="AA38" i="71"/>
  <c r="Y25" i="71"/>
  <c r="Z25" i="71" s="1"/>
  <c r="B28" i="71"/>
  <c r="B27" i="71" s="1"/>
  <c r="B26" i="71" s="1"/>
  <c r="X28" i="71"/>
  <c r="C39" i="71"/>
  <c r="C40" i="71" s="1"/>
  <c r="D42" i="71"/>
  <c r="D46" i="71"/>
  <c r="D50" i="71"/>
  <c r="P28" i="71"/>
  <c r="E28" i="71" s="1"/>
  <c r="E55" i="71"/>
  <c r="E56" i="71" s="1"/>
  <c r="U56" i="71" s="1"/>
  <c r="E60" i="71"/>
  <c r="U60" i="71" s="1"/>
  <c r="U68" i="71"/>
  <c r="Q28" i="71"/>
  <c r="D58" i="71"/>
  <c r="D62" i="71"/>
  <c r="T68" i="71"/>
  <c r="O68" i="71"/>
  <c r="D68" i="71"/>
  <c r="C67" i="71"/>
  <c r="C66" i="71" s="1"/>
  <c r="Q68" i="71"/>
  <c r="C71" i="71"/>
  <c r="D71" i="71" s="1"/>
  <c r="D72" i="71"/>
  <c r="C75" i="71"/>
  <c r="C74" i="71" s="1"/>
  <c r="D74" i="71" s="1"/>
  <c r="E75" i="71"/>
  <c r="E74" i="71" s="1"/>
  <c r="D76" i="71"/>
  <c r="C79" i="71"/>
  <c r="D80" i="71"/>
  <c r="C87" i="71"/>
  <c r="C86" i="71" s="1"/>
  <c r="D86" i="71" s="1"/>
  <c r="AB26" i="71"/>
  <c r="AA3" i="71"/>
  <c r="AA26" i="71"/>
  <c r="AA28" i="71"/>
  <c r="O67" i="71"/>
  <c r="C64" i="71"/>
  <c r="D64" i="71" s="1"/>
  <c r="D63" i="71"/>
  <c r="D75" i="71"/>
  <c r="D87" i="71"/>
  <c r="D79" i="71"/>
  <c r="C78" i="71"/>
  <c r="D78" i="71" s="1"/>
  <c r="C70" i="71"/>
  <c r="D70" i="71" s="1"/>
  <c r="C52" i="71"/>
  <c r="T52" i="71" s="1"/>
  <c r="D51" i="71"/>
  <c r="D43" i="71"/>
  <c r="D39" i="71"/>
  <c r="C32" i="71"/>
  <c r="T32" i="71" s="1"/>
  <c r="D31" i="71"/>
  <c r="D32" i="71"/>
  <c r="D52"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S25" i="40"/>
  <c r="S18" i="36"/>
  <c r="S21" i="34"/>
  <c r="H25" i="40"/>
  <c r="AB25" i="40" s="1"/>
  <c r="J25" i="40"/>
  <c r="AC25" i="40" s="1"/>
  <c r="H29" i="39"/>
  <c r="AB29" i="39" s="1"/>
  <c r="J29" i="39"/>
  <c r="AC29" i="39" s="1"/>
  <c r="J18" i="36"/>
  <c r="AC18" i="36" s="1"/>
  <c r="H18" i="35"/>
  <c r="AB18" i="35" s="1"/>
  <c r="S18" i="35"/>
  <c r="J18" i="35"/>
  <c r="W18" i="35" s="1"/>
  <c r="F77" i="37"/>
  <c r="G77" i="37" s="1"/>
  <c r="H21" i="37"/>
  <c r="AB21" i="37" s="1"/>
  <c r="F21" i="37"/>
  <c r="AA21" i="37" s="1"/>
  <c r="H21" i="34"/>
  <c r="AB21" i="34" s="1"/>
  <c r="H21" i="33"/>
  <c r="U21" i="33" s="1"/>
  <c r="F21" i="33"/>
  <c r="AA21" i="33" s="1"/>
  <c r="E83" i="21"/>
  <c r="F83" i="21" s="1"/>
  <c r="H1" i="69"/>
  <c r="U29" i="39"/>
  <c r="W29" i="39"/>
  <c r="W18" i="36"/>
  <c r="AB21" i="33"/>
  <c r="S21" i="33"/>
  <c r="AC18" i="35"/>
  <c r="J21" i="37"/>
  <c r="W21" i="37" s="1"/>
  <c r="J21" i="34"/>
  <c r="W21" i="34" s="1"/>
  <c r="J21" i="33"/>
  <c r="W21" i="33" s="1"/>
  <c r="H21" i="21"/>
  <c r="U21" i="21" s="1"/>
  <c r="F38" i="69"/>
  <c r="E37" i="69"/>
  <c r="F36" i="69"/>
  <c r="F35" i="69"/>
  <c r="F21" i="69"/>
  <c r="F40" i="69" s="1"/>
  <c r="F20" i="69"/>
  <c r="F39" i="69" s="1"/>
  <c r="E10" i="69"/>
  <c r="E9" i="69"/>
  <c r="AC21" i="33"/>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J29" i="37" s="1"/>
  <c r="W29" i="37" s="1"/>
  <c r="B86" i="37"/>
  <c r="B84" i="37"/>
  <c r="H27" i="37" s="1"/>
  <c r="U27" i="37" s="1"/>
  <c r="B82" i="37"/>
  <c r="J26" i="37" s="1"/>
  <c r="AC26" i="37" s="1"/>
  <c r="D79" i="37"/>
  <c r="E79" i="37" s="1"/>
  <c r="D75" i="37"/>
  <c r="E75" i="37" s="1"/>
  <c r="D73" i="37"/>
  <c r="E73" i="37" s="1"/>
  <c r="F73" i="37" s="1"/>
  <c r="G73" i="37" s="1"/>
  <c r="D71" i="37"/>
  <c r="H15" i="37" s="1"/>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c r="B99" i="35"/>
  <c r="B97" i="35"/>
  <c r="J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6" i="35"/>
  <c r="W22" i="35"/>
  <c r="S31" i="35"/>
  <c r="F36" i="34"/>
  <c r="J35" i="34"/>
  <c r="U34" i="34"/>
  <c r="H39" i="33"/>
  <c r="AB39" i="33" s="1"/>
  <c r="F26" i="33"/>
  <c r="AA26" i="33" s="1"/>
  <c r="U33" i="33"/>
  <c r="U35" i="33"/>
  <c r="S40" i="33"/>
  <c r="W33" i="33"/>
  <c r="W39" i="33"/>
  <c r="H39" i="37"/>
  <c r="AB39" i="37" s="1"/>
  <c r="S27" i="35"/>
  <c r="F11" i="40"/>
  <c r="AA11" i="40" s="1"/>
  <c r="W8" i="40"/>
  <c r="AC40" i="40"/>
  <c r="AC9" i="40"/>
  <c r="S34" i="40"/>
  <c r="S40" i="40"/>
  <c r="W31" i="40"/>
  <c r="U34" i="40"/>
  <c r="S38"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17" i="40"/>
  <c r="U17" i="40" s="1"/>
  <c r="J15" i="40"/>
  <c r="W15" i="40" s="1"/>
  <c r="AB8" i="39"/>
  <c r="AB12" i="33"/>
  <c r="AC12" i="34"/>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17" i="40"/>
  <c r="AA17" i="40" s="1"/>
  <c r="J17" i="40"/>
  <c r="W17" i="40" s="1"/>
  <c r="F15" i="40"/>
  <c r="S15" i="40" s="1"/>
  <c r="H15" i="40"/>
  <c r="AB15" i="40" s="1"/>
  <c r="S12" i="36"/>
  <c r="AA12" i="36"/>
  <c r="AB30" i="36"/>
  <c r="U33" i="35"/>
  <c r="F29" i="35"/>
  <c r="S29" i="35" s="1"/>
  <c r="H29" i="35"/>
  <c r="AB29" i="35" s="1"/>
  <c r="H33" i="37"/>
  <c r="AB33" i="37" s="1"/>
  <c r="F33" i="37"/>
  <c r="AA33" i="37" s="1"/>
  <c r="U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H36" i="37"/>
  <c r="AB36"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W36" i="37" s="1"/>
  <c r="J10" i="36"/>
  <c r="AC10" i="36" s="1"/>
  <c r="AB26" i="33"/>
  <c r="AB30" i="21"/>
  <c r="W31" i="34"/>
  <c r="W13" i="36"/>
  <c r="AB46" i="34"/>
  <c r="AC30" i="34"/>
  <c r="AA14" i="34"/>
  <c r="S45" i="33"/>
  <c r="AB45" i="33"/>
  <c r="AB31" i="33"/>
  <c r="U31" i="33"/>
  <c r="W29"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AZ508" i="3" s="1"/>
  <c r="BA506" i="3"/>
  <c r="BA504" i="3"/>
  <c r="AZ504" i="3" s="1"/>
  <c r="BA502" i="3"/>
  <c r="BA500" i="3"/>
  <c r="BA498" i="3"/>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BQ581" i="3"/>
  <c r="BL581" i="3" s="1"/>
  <c r="BQ579" i="3"/>
  <c r="BL579" i="3" s="1"/>
  <c r="BQ577" i="3"/>
  <c r="BL577" i="3" s="1"/>
  <c r="BQ575" i="3"/>
  <c r="BL575" i="3" s="1"/>
  <c r="BQ573" i="3"/>
  <c r="BL573" i="3" s="1"/>
  <c r="AZ573" i="3" s="1"/>
  <c r="BQ571" i="3"/>
  <c r="BL571" i="3" s="1"/>
  <c r="BQ569" i="3"/>
  <c r="BL569" i="3" s="1"/>
  <c r="AZ569" i="3" s="1"/>
  <c r="BQ567" i="3"/>
  <c r="BL567" i="3"/>
  <c r="BQ565" i="3"/>
  <c r="BL565" i="3" s="1"/>
  <c r="BQ563" i="3"/>
  <c r="BL563" i="3" s="1"/>
  <c r="AZ563" i="3" s="1"/>
  <c r="BQ561" i="3"/>
  <c r="BL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BQ543" i="3"/>
  <c r="BL543" i="3" s="1"/>
  <c r="AZ543" i="3" s="1"/>
  <c r="BQ541" i="3"/>
  <c r="BL541" i="3"/>
  <c r="AZ541" i="3" s="1"/>
  <c r="BQ539" i="3"/>
  <c r="BL539" i="3" s="1"/>
  <c r="BQ537" i="3"/>
  <c r="BL537" i="3" s="1"/>
  <c r="AZ537" i="3" s="1"/>
  <c r="BQ535" i="3"/>
  <c r="BL535" i="3" s="1"/>
  <c r="AZ535" i="3" s="1"/>
  <c r="BQ533" i="3"/>
  <c r="BL533" i="3" s="1"/>
  <c r="AZ533" i="3" s="1"/>
  <c r="BQ531" i="3"/>
  <c r="BL531" i="3" s="1"/>
  <c r="BQ529" i="3"/>
  <c r="BL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BA509" i="3"/>
  <c r="AC509" i="3"/>
  <c r="BQ509" i="3"/>
  <c r="BL509" i="3" s="1"/>
  <c r="AZ509" i="3" s="1"/>
  <c r="BL508" i="3"/>
  <c r="G507" i="3"/>
  <c r="G505" i="3"/>
  <c r="G503" i="3"/>
  <c r="G501" i="3"/>
  <c r="G499" i="3"/>
  <c r="G497" i="3"/>
  <c r="G495" i="3"/>
  <c r="BQ507" i="3"/>
  <c r="BL507" i="3" s="1"/>
  <c r="AZ507" i="3" s="1"/>
  <c r="BQ505" i="3"/>
  <c r="BL505" i="3" s="1"/>
  <c r="AZ505" i="3" s="1"/>
  <c r="BQ503" i="3"/>
  <c r="BL503" i="3" s="1"/>
  <c r="BQ501" i="3"/>
  <c r="BL501" i="3" s="1"/>
  <c r="BQ499" i="3"/>
  <c r="BL499" i="3" s="1"/>
  <c r="AZ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1" i="40"/>
  <c r="AA31" i="40" s="1"/>
  <c r="H31" i="40"/>
  <c r="U31" i="40" s="1"/>
  <c r="F32" i="40"/>
  <c r="S32" i="40" s="1"/>
  <c r="H32" i="40"/>
  <c r="AB32" i="40" s="1"/>
  <c r="J36" i="40"/>
  <c r="W36" i="40" s="1"/>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W47" i="34"/>
  <c r="AB13"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s="1"/>
  <c r="J11" i="39"/>
  <c r="W11" i="39" s="1"/>
  <c r="F11" i="39"/>
  <c r="AA11" i="39" s="1"/>
  <c r="S11" i="39"/>
  <c r="G4" i="4"/>
  <c r="I4" i="4"/>
  <c r="A2" i="9"/>
  <c r="F61" i="43"/>
  <c r="H64" i="43" s="1"/>
  <c r="AZ32" i="3"/>
  <c r="BL549" i="3"/>
  <c r="AZ494" i="3"/>
  <c r="AZ502" i="3"/>
  <c r="AZ514" i="3"/>
  <c r="AZ522" i="3"/>
  <c r="AZ530" i="3"/>
  <c r="AZ546" i="3"/>
  <c r="G546" i="3"/>
  <c r="G524"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AZ393" i="3" s="1"/>
  <c r="BA394" i="3"/>
  <c r="AZ394" i="3" s="1"/>
  <c r="BL394" i="3"/>
  <c r="G113" i="3"/>
  <c r="BA115" i="3"/>
  <c r="BL116" i="3"/>
  <c r="G117" i="3"/>
  <c r="BA119" i="3"/>
  <c r="BL120" i="3"/>
  <c r="G121" i="3"/>
  <c r="BA123" i="3"/>
  <c r="BL124" i="3"/>
  <c r="AZ124" i="3" s="1"/>
  <c r="G125" i="3"/>
  <c r="BA127" i="3"/>
  <c r="BL128" i="3"/>
  <c r="G129" i="3"/>
  <c r="BA131" i="3"/>
  <c r="AZ131" i="3" s="1"/>
  <c r="BL132" i="3"/>
  <c r="G133" i="3"/>
  <c r="BA135" i="3"/>
  <c r="AZ135" i="3" s="1"/>
  <c r="BL136" i="3"/>
  <c r="G137" i="3"/>
  <c r="BA139" i="3"/>
  <c r="AZ139" i="3" s="1"/>
  <c r="BL140" i="3"/>
  <c r="G141" i="3"/>
  <c r="BA143" i="3"/>
  <c r="AZ143" i="3"/>
  <c r="BL144" i="3"/>
  <c r="G145" i="3"/>
  <c r="BA147" i="3"/>
  <c r="BL148" i="3"/>
  <c r="G149" i="3"/>
  <c r="BA151" i="3"/>
  <c r="BL152" i="3"/>
  <c r="AZ152" i="3" s="1"/>
  <c r="G153" i="3"/>
  <c r="BA155" i="3"/>
  <c r="BL156" i="3"/>
  <c r="AZ156" i="3" s="1"/>
  <c r="G157" i="3"/>
  <c r="BA159" i="3"/>
  <c r="AZ159" i="3" s="1"/>
  <c r="BL160" i="3"/>
  <c r="AZ160" i="3" s="1"/>
  <c r="G161" i="3"/>
  <c r="BA163" i="3"/>
  <c r="BL164" i="3"/>
  <c r="G165" i="3"/>
  <c r="BA167" i="3"/>
  <c r="BL168" i="3"/>
  <c r="G169" i="3"/>
  <c r="BA171" i="3"/>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BL196" i="3"/>
  <c r="G197" i="3"/>
  <c r="BA199" i="3"/>
  <c r="BL200" i="3"/>
  <c r="AZ200" i="3" s="1"/>
  <c r="G201" i="3"/>
  <c r="BA203" i="3"/>
  <c r="BL204" i="3"/>
  <c r="AZ39" i="3"/>
  <c r="AZ43" i="3"/>
  <c r="AZ47" i="3"/>
  <c r="AZ144" i="3"/>
  <c r="AZ168" i="3"/>
  <c r="AZ184" i="3"/>
  <c r="AZ97"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BL321" i="3"/>
  <c r="G322" i="3"/>
  <c r="G325" i="3"/>
  <c r="BL326" i="3"/>
  <c r="BA328" i="3"/>
  <c r="BA329" i="3"/>
  <c r="BL329" i="3"/>
  <c r="AZ329" i="3" s="1"/>
  <c r="G330" i="3"/>
  <c r="G333" i="3"/>
  <c r="BL334" i="3"/>
  <c r="BA336" i="3"/>
  <c r="AZ336" i="3" s="1"/>
  <c r="BA337" i="3"/>
  <c r="BL337" i="3"/>
  <c r="G338" i="3"/>
  <c r="G341" i="3"/>
  <c r="BA342" i="3"/>
  <c r="BL342" i="3"/>
  <c r="BA344" i="3"/>
  <c r="BL344" i="3"/>
  <c r="BA346" i="3"/>
  <c r="AZ346" i="3" s="1"/>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AZ142" i="3"/>
  <c r="AZ158" i="3"/>
  <c r="AZ182" i="3"/>
  <c r="AZ186" i="3"/>
  <c r="AZ190" i="3"/>
  <c r="AZ500" i="3"/>
  <c r="BA16" i="3"/>
  <c r="BL303" i="3"/>
  <c r="AZ303" i="3" s="1"/>
  <c r="G304" i="3"/>
  <c r="BA306" i="3"/>
  <c r="AZ306" i="3" s="1"/>
  <c r="BL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BL331" i="3"/>
  <c r="G332" i="3"/>
  <c r="BA334" i="3"/>
  <c r="BL335" i="3"/>
  <c r="G336" i="3"/>
  <c r="BA338" i="3"/>
  <c r="AZ338" i="3" s="1"/>
  <c r="BL339" i="3"/>
  <c r="G340" i="3"/>
  <c r="BL343" i="3"/>
  <c r="G344" i="3"/>
  <c r="G348" i="3"/>
  <c r="G355" i="3"/>
  <c r="G342" i="3"/>
  <c r="BL345" i="3"/>
  <c r="AZ345" i="3"/>
  <c r="G346" i="3"/>
  <c r="BL349" i="3"/>
  <c r="BL352" i="3"/>
  <c r="G353" i="3"/>
  <c r="BA357" i="3"/>
  <c r="AZ357" i="3"/>
  <c r="BL358" i="3"/>
  <c r="AZ358" i="3"/>
  <c r="G359" i="3"/>
  <c r="BA361" i="3"/>
  <c r="AZ361" i="3" s="1"/>
  <c r="BL362" i="3"/>
  <c r="G363" i="3"/>
  <c r="BA365" i="3"/>
  <c r="AZ365" i="3" s="1"/>
  <c r="BL366" i="3"/>
  <c r="G367" i="3"/>
  <c r="BA369" i="3"/>
  <c r="AZ369" i="3" s="1"/>
  <c r="BL370" i="3"/>
  <c r="G371" i="3"/>
  <c r="BA373" i="3"/>
  <c r="BL374" i="3"/>
  <c r="G375" i="3"/>
  <c r="BA377" i="3"/>
  <c r="AZ377" i="3" s="1"/>
  <c r="AZ241" i="3"/>
  <c r="AZ245" i="3"/>
  <c r="AZ269" i="3"/>
  <c r="AZ273" i="3"/>
  <c r="BA379" i="3"/>
  <c r="AZ379" i="3" s="1"/>
  <c r="BL380" i="3"/>
  <c r="G381" i="3"/>
  <c r="BA383" i="3"/>
  <c r="BL384" i="3"/>
  <c r="G385" i="3"/>
  <c r="BA387" i="3"/>
  <c r="AZ387" i="3" s="1"/>
  <c r="BL388" i="3"/>
  <c r="AZ388" i="3" s="1"/>
  <c r="G389" i="3"/>
  <c r="BA391" i="3"/>
  <c r="AZ391" i="3" s="1"/>
  <c r="BL392" i="3"/>
  <c r="G393" i="3"/>
  <c r="AZ275" i="3"/>
  <c r="BO5" i="3"/>
  <c r="BM5" i="3"/>
  <c r="F29" i="6" s="1"/>
  <c r="BJ5" i="3"/>
  <c r="BH5" i="3"/>
  <c r="BF5" i="3"/>
  <c r="BD5" i="3"/>
  <c r="BQ5" i="3"/>
  <c r="AC5" i="3"/>
  <c r="AZ549" i="3"/>
  <c r="AZ506" i="3"/>
  <c r="AZ496" i="3"/>
  <c r="G548" i="3"/>
  <c r="G538" i="3"/>
  <c r="G520" i="3"/>
  <c r="G502" i="3"/>
  <c r="BS5" i="3"/>
  <c r="BP5" i="3"/>
  <c r="BN5" i="3"/>
  <c r="AZ343" i="3"/>
  <c r="BK5" i="3"/>
  <c r="BI5" i="3"/>
  <c r="BG5" i="3"/>
  <c r="BE5" i="3"/>
  <c r="BC5" i="3"/>
  <c r="G17" i="3"/>
  <c r="BA17" i="3"/>
  <c r="BT5" i="3"/>
  <c r="AZ352" i="3"/>
  <c r="AZ360" i="3"/>
  <c r="BA15" i="3"/>
  <c r="BB5" i="3"/>
  <c r="BR5" i="3"/>
  <c r="AZ384" i="3"/>
  <c r="AZ392" i="3"/>
  <c r="G509" i="3"/>
  <c r="BL493" i="3"/>
  <c r="AZ491" i="3"/>
  <c r="AZ493" i="3"/>
  <c r="F83" i="43"/>
  <c r="H85" i="43" s="1"/>
  <c r="G85" i="43" s="1"/>
  <c r="F50" i="43"/>
  <c r="H54" i="43" s="1"/>
  <c r="F72" i="43"/>
  <c r="H75" i="43" s="1"/>
  <c r="U17" i="39"/>
  <c r="S14" i="35"/>
  <c r="U43" i="21"/>
  <c r="U35" i="21"/>
  <c r="AC35" i="21"/>
  <c r="G8" i="1"/>
  <c r="G10" i="1"/>
  <c r="AC11" i="39"/>
  <c r="W44" i="34"/>
  <c r="AC44" i="34"/>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43" i="3"/>
  <c r="AZ248" i="3"/>
  <c r="AZ256" i="3"/>
  <c r="AZ268" i="3"/>
  <c r="AZ271" i="3"/>
  <c r="AZ29" i="3"/>
  <c r="AZ31" i="3"/>
  <c r="AZ33" i="3"/>
  <c r="AZ37" i="3"/>
  <c r="AZ42" i="3"/>
  <c r="AZ45"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AC26" i="33"/>
  <c r="W26" i="33"/>
  <c r="AB34" i="36"/>
  <c r="U34" i="36"/>
  <c r="AB33" i="36"/>
  <c r="U33" i="36"/>
  <c r="AC12" i="39"/>
  <c r="W12" i="39"/>
  <c r="AC39" i="40"/>
  <c r="W39" i="40"/>
  <c r="W12" i="33"/>
  <c r="AC12" i="33"/>
  <c r="AA32" i="36"/>
  <c r="S32" i="36"/>
  <c r="BL14" i="3"/>
  <c r="AZ266" i="3"/>
  <c r="U30" i="33"/>
  <c r="AC13" i="34"/>
  <c r="AA47" i="34"/>
  <c r="W28" i="37"/>
  <c r="S19" i="39"/>
  <c r="F12" i="33"/>
  <c r="H12" i="39"/>
  <c r="AB12" i="39" s="1"/>
  <c r="F39" i="40"/>
  <c r="BA14" i="3"/>
  <c r="AZ367" i="3"/>
  <c r="AZ250" i="3"/>
  <c r="AZ254" i="3"/>
  <c r="AZ181" i="3"/>
  <c r="AZ35" i="3"/>
  <c r="AZ41" i="3"/>
  <c r="B12" i="1"/>
  <c r="E12" i="1" s="1"/>
  <c r="B10" i="1"/>
  <c r="E10" i="1" s="1"/>
  <c r="K12" i="1"/>
  <c r="M12" i="1" s="1"/>
  <c r="S13" i="1"/>
  <c r="AR13" i="1" s="1"/>
  <c r="R13" i="1"/>
  <c r="J51" i="67"/>
  <c r="C42" i="1"/>
  <c r="AC34" i="33"/>
  <c r="B41" i="1"/>
  <c r="F48" i="9" s="1"/>
  <c r="O52" i="9" s="1"/>
  <c r="AA32" i="40"/>
  <c r="S17" i="40"/>
  <c r="AC15" i="40"/>
  <c r="AB27"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W27" i="37"/>
  <c r="AA38" i="37"/>
  <c r="W38" i="37"/>
  <c r="AC35" i="37"/>
  <c r="W39" i="37"/>
  <c r="J17" i="37"/>
  <c r="W17" i="37" s="1"/>
  <c r="F17" i="37"/>
  <c r="AA17" i="37" s="1"/>
  <c r="F75" i="37"/>
  <c r="H19" i="37" s="1"/>
  <c r="AB19" i="37" s="1"/>
  <c r="F19" i="37"/>
  <c r="AA19" i="37" s="1"/>
  <c r="F79" i="37"/>
  <c r="G79" i="37" s="1"/>
  <c r="F23" i="37"/>
  <c r="S23" i="37" s="1"/>
  <c r="U15" i="37"/>
  <c r="AC13" i="37"/>
  <c r="AA13" i="37"/>
  <c r="H10" i="37"/>
  <c r="AB10" i="37" s="1"/>
  <c r="F63" i="37"/>
  <c r="F11" i="37"/>
  <c r="S11" i="37" s="1"/>
  <c r="S27" i="34"/>
  <c r="W25" i="34"/>
  <c r="AB8" i="34"/>
  <c r="AA33" i="34"/>
  <c r="U43" i="34"/>
  <c r="W41" i="34"/>
  <c r="AC42" i="34"/>
  <c r="AB35" i="34"/>
  <c r="U39" i="34"/>
  <c r="S43" i="34"/>
  <c r="AB41" i="34"/>
  <c r="AA45" i="34"/>
  <c r="AA25" i="34"/>
  <c r="U28" i="34"/>
  <c r="S17" i="34"/>
  <c r="AA29" i="34"/>
  <c r="U27" i="34"/>
  <c r="S23" i="34"/>
  <c r="U15"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AB23" i="33" s="1"/>
  <c r="F81" i="33"/>
  <c r="F19" i="33"/>
  <c r="S19" i="33" s="1"/>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U32" i="40"/>
  <c r="AB31" i="40"/>
  <c r="AB28" i="40"/>
  <c r="W28" i="40"/>
  <c r="W34" i="40"/>
  <c r="W27" i="40"/>
  <c r="AC14" i="40"/>
  <c r="S13" i="40"/>
  <c r="S33" i="40"/>
  <c r="S31" i="40"/>
  <c r="AB13"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S27" i="37"/>
  <c r="S28" i="37"/>
  <c r="S40" i="37"/>
  <c r="U3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U32" i="21" s="1"/>
  <c r="H9" i="21"/>
  <c r="J9" i="21"/>
  <c r="AC9" i="21" s="1"/>
  <c r="J32" i="21"/>
  <c r="W32" i="21" s="1"/>
  <c r="F32" i="21"/>
  <c r="S32" i="21" s="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J19" i="37"/>
  <c r="W19" i="37" s="1"/>
  <c r="G75" i="37"/>
  <c r="J23" i="37"/>
  <c r="AC23" i="37" s="1"/>
  <c r="J10" i="37"/>
  <c r="W10" i="37" s="1"/>
  <c r="G63" i="37"/>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W25" i="33" s="1"/>
  <c r="U23" i="33"/>
  <c r="F23" i="33"/>
  <c r="G85" i="33"/>
  <c r="AC23" i="33"/>
  <c r="W23" i="33"/>
  <c r="H19" i="33"/>
  <c r="AB19" i="33" s="1"/>
  <c r="G81" i="33"/>
  <c r="G79" i="33"/>
  <c r="H17" i="33"/>
  <c r="F17" i="33"/>
  <c r="AA17" i="33" s="1"/>
  <c r="W17" i="33"/>
  <c r="AC17" i="33"/>
  <c r="S37" i="21"/>
  <c r="AA23" i="21"/>
  <c r="J23" i="21"/>
  <c r="W23" i="21" s="1"/>
  <c r="F85" i="21"/>
  <c r="G85" i="21" s="1"/>
  <c r="H23" i="21"/>
  <c r="AB23" i="21" s="1"/>
  <c r="S13" i="21"/>
  <c r="D6" i="52"/>
  <c r="AP7" i="1"/>
  <c r="AB45" i="21"/>
  <c r="AB9" i="21"/>
  <c r="U9" i="21"/>
  <c r="AA32" i="21"/>
  <c r="W9" i="21"/>
  <c r="AB32" i="21"/>
  <c r="AC32" i="39"/>
  <c r="W32" i="39"/>
  <c r="H63" i="37"/>
  <c r="I63" i="37" s="1"/>
  <c r="J63" i="37" s="1"/>
  <c r="K63" i="37" s="1"/>
  <c r="L63" i="37" s="1"/>
  <c r="M63" i="37" s="1"/>
  <c r="J11" i="37"/>
  <c r="AC11" i="37" s="1"/>
  <c r="H70" i="34"/>
  <c r="I70" i="34" s="1"/>
  <c r="J70" i="34" s="1"/>
  <c r="K70" i="34" s="1"/>
  <c r="L70" i="34" s="1"/>
  <c r="M70" i="34" s="1"/>
  <c r="J11" i="34"/>
  <c r="W11" i="34" s="1"/>
  <c r="AB36" i="33"/>
  <c r="AC27" i="33"/>
  <c r="AC25" i="33"/>
  <c r="AA23" i="33"/>
  <c r="S23" i="33"/>
  <c r="U19" i="33"/>
  <c r="U17" i="33"/>
  <c r="AB17" i="33"/>
  <c r="U23" i="21"/>
  <c r="H109" i="9"/>
  <c r="D16" i="53" s="1"/>
  <c r="B34" i="72" s="1"/>
  <c r="H112" i="9"/>
  <c r="D21" i="53" s="1"/>
  <c r="B39" i="72" s="1"/>
  <c r="H111" i="9"/>
  <c r="D126" i="9" s="1"/>
  <c r="AD3" i="71"/>
  <c r="J1" i="73"/>
  <c r="H69"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F20" i="31"/>
  <c r="M24" i="15"/>
  <c r="L48" i="15"/>
  <c r="M29" i="15"/>
  <c r="F16" i="67"/>
  <c r="E9" i="76"/>
  <c r="F37" i="15"/>
  <c r="M29" i="67"/>
  <c r="F40" i="67"/>
  <c r="C76" i="15"/>
  <c r="M23" i="15"/>
  <c r="M6" i="15"/>
  <c r="F16" i="15"/>
  <c r="F38" i="67"/>
  <c r="F37" i="67"/>
  <c r="F3" i="73"/>
  <c r="M24" i="67"/>
  <c r="L48" i="67"/>
  <c r="F4" i="73"/>
  <c r="E12" i="76"/>
  <c r="F40" i="15"/>
  <c r="D3" i="73"/>
  <c r="F9" i="67"/>
  <c r="F42" i="67"/>
  <c r="E7" i="76"/>
  <c r="F13" i="15"/>
  <c r="B8" i="76"/>
  <c r="E13" i="76"/>
  <c r="D7" i="73"/>
  <c r="AO13" i="1"/>
  <c r="M23" i="67"/>
  <c r="E11" i="76"/>
  <c r="F26" i="15"/>
  <c r="F38" i="15"/>
  <c r="F36" i="67"/>
  <c r="B10" i="76"/>
  <c r="B11" i="76"/>
  <c r="M28" i="67"/>
  <c r="F8" i="15"/>
  <c r="M9" i="67"/>
  <c r="B7" i="76"/>
  <c r="B13" i="76"/>
  <c r="D6" i="73"/>
  <c r="F13" i="67"/>
  <c r="F43" i="15"/>
  <c r="M22" i="15"/>
  <c r="F9" i="15"/>
  <c r="F7" i="15"/>
  <c r="E10" i="76"/>
  <c r="M8" i="67"/>
  <c r="B9" i="76"/>
  <c r="J15" i="67"/>
  <c r="F6" i="73"/>
  <c r="E2" i="69"/>
  <c r="D4" i="73"/>
  <c r="F36" i="15"/>
  <c r="M26" i="15"/>
  <c r="F5" i="73"/>
  <c r="M6" i="67"/>
  <c r="B12" i="76"/>
  <c r="F7" i="67"/>
  <c r="E2" i="68"/>
  <c r="M26" i="67"/>
  <c r="M9" i="15"/>
  <c r="M22" i="67"/>
  <c r="F7" i="73"/>
  <c r="L47" i="67"/>
  <c r="E8" i="76"/>
  <c r="F43" i="67"/>
  <c r="F42" i="15"/>
  <c r="L47" i="15"/>
  <c r="F8" i="67"/>
  <c r="M28" i="15"/>
  <c r="F26" i="67"/>
  <c r="C76" i="67"/>
  <c r="J15" i="15"/>
  <c r="M8" i="15"/>
  <c r="U36" i="40" l="1"/>
  <c r="S11" i="40"/>
  <c r="J11" i="40"/>
  <c r="W11" i="40" s="1"/>
  <c r="H11" i="40"/>
  <c r="AC11" i="40"/>
  <c r="F92" i="40"/>
  <c r="J23" i="40"/>
  <c r="F23" i="40"/>
  <c r="AA23" i="40" s="1"/>
  <c r="AA19" i="40"/>
  <c r="AC36" i="40"/>
  <c r="S35" i="40"/>
  <c r="AB37" i="40"/>
  <c r="W35" i="40"/>
  <c r="U35" i="40"/>
  <c r="W37" i="40"/>
  <c r="S37" i="40"/>
  <c r="S36" i="40"/>
  <c r="W19" i="40"/>
  <c r="AC17" i="40"/>
  <c r="W25" i="40"/>
  <c r="U25" i="40"/>
  <c r="S23" i="40"/>
  <c r="S21" i="40"/>
  <c r="U15" i="40"/>
  <c r="AA15" i="40"/>
  <c r="AA9" i="40"/>
  <c r="U9" i="40"/>
  <c r="W12" i="36"/>
  <c r="AC12" i="36"/>
  <c r="AC12" i="40"/>
  <c r="W12" i="40"/>
  <c r="AB40" i="40"/>
  <c r="U40" i="40"/>
  <c r="AZ335" i="3"/>
  <c r="AZ330" i="3"/>
  <c r="AZ380" i="3"/>
  <c r="AZ340" i="3"/>
  <c r="AZ311" i="3"/>
  <c r="AZ308" i="3"/>
  <c r="AZ497" i="3"/>
  <c r="AZ501" i="3"/>
  <c r="AZ511" i="3"/>
  <c r="AZ515" i="3"/>
  <c r="AZ529" i="3"/>
  <c r="AZ545" i="3"/>
  <c r="AZ561" i="3"/>
  <c r="AZ565" i="3"/>
  <c r="AZ577" i="3"/>
  <c r="AZ498" i="3"/>
  <c r="G399" i="3"/>
  <c r="BA400" i="3"/>
  <c r="BL400" i="3"/>
  <c r="BA402" i="3"/>
  <c r="AZ402" i="3" s="1"/>
  <c r="BA403" i="3"/>
  <c r="AZ403" i="3" s="1"/>
  <c r="BL403" i="3"/>
  <c r="BA404" i="3"/>
  <c r="AZ404" i="3" s="1"/>
  <c r="BA406" i="3"/>
  <c r="AZ406" i="3" s="1"/>
  <c r="BA408" i="3"/>
  <c r="AZ408" i="3" s="1"/>
  <c r="BL408" i="3"/>
  <c r="BA409" i="3"/>
  <c r="AZ409" i="3" s="1"/>
  <c r="BL411" i="3"/>
  <c r="G412" i="3"/>
  <c r="BA413" i="3"/>
  <c r="BL413" i="3"/>
  <c r="BA414" i="3"/>
  <c r="AZ414" i="3" s="1"/>
  <c r="BL416" i="3"/>
  <c r="G417" i="3"/>
  <c r="G419" i="3"/>
  <c r="G421" i="3"/>
  <c r="G423" i="3"/>
  <c r="BA424" i="3"/>
  <c r="BL424" i="3"/>
  <c r="BA425" i="3"/>
  <c r="AZ425" i="3" s="1"/>
  <c r="BL427" i="3"/>
  <c r="G428" i="3"/>
  <c r="BA429" i="3"/>
  <c r="BL429" i="3"/>
  <c r="BA316" i="3"/>
  <c r="BL316" i="3"/>
  <c r="BL328" i="3"/>
  <c r="AZ328" i="3" s="1"/>
  <c r="G329" i="3"/>
  <c r="BA331" i="3"/>
  <c r="BL333" i="3"/>
  <c r="G334" i="3"/>
  <c r="BL348" i="3"/>
  <c r="G349" i="3"/>
  <c r="BA350" i="3"/>
  <c r="AZ350" i="3" s="1"/>
  <c r="BA353" i="3"/>
  <c r="BL353" i="3"/>
  <c r="G358" i="3"/>
  <c r="BL359" i="3"/>
  <c r="AZ359" i="3" s="1"/>
  <c r="G362" i="3"/>
  <c r="BA366" i="3"/>
  <c r="AZ366" i="3" s="1"/>
  <c r="G369" i="3"/>
  <c r="BA370" i="3"/>
  <c r="AZ370" i="3" s="1"/>
  <c r="BA374" i="3"/>
  <c r="AZ374" i="3" s="1"/>
  <c r="BL383" i="3"/>
  <c r="AZ383" i="3" s="1"/>
  <c r="G384" i="3"/>
  <c r="BA386" i="3"/>
  <c r="AZ386" i="3" s="1"/>
  <c r="G392" i="3"/>
  <c r="AZ373" i="3"/>
  <c r="AZ339" i="3"/>
  <c r="AZ334" i="3"/>
  <c r="AZ331" i="3"/>
  <c r="AZ307" i="3"/>
  <c r="AZ390" i="3"/>
  <c r="AZ389" i="3"/>
  <c r="AZ382" i="3"/>
  <c r="AZ371" i="3"/>
  <c r="AZ364" i="3"/>
  <c r="AZ356" i="3"/>
  <c r="AZ347" i="3"/>
  <c r="AZ344" i="3"/>
  <c r="AZ342" i="3"/>
  <c r="AZ321" i="3"/>
  <c r="AZ378" i="3"/>
  <c r="AC11" i="35"/>
  <c r="H12" i="36"/>
  <c r="F25" i="37"/>
  <c r="H26" i="37"/>
  <c r="H38" i="40"/>
  <c r="G582" i="3"/>
  <c r="G556" i="3"/>
  <c r="G552" i="3"/>
  <c r="G551" i="3"/>
  <c r="BL16" i="3"/>
  <c r="AZ16" i="3" s="1"/>
  <c r="G432" i="3"/>
  <c r="BL433" i="3"/>
  <c r="G434" i="3"/>
  <c r="BA435" i="3"/>
  <c r="AZ435" i="3" s="1"/>
  <c r="BA437" i="3"/>
  <c r="BL437" i="3"/>
  <c r="BA439" i="3"/>
  <c r="BL439" i="3"/>
  <c r="BA440" i="3"/>
  <c r="AZ440" i="3" s="1"/>
  <c r="BA441" i="3"/>
  <c r="AZ441" i="3" s="1"/>
  <c r="BA442" i="3"/>
  <c r="BL442" i="3"/>
  <c r="BA444" i="3"/>
  <c r="BL444" i="3"/>
  <c r="BA445" i="3"/>
  <c r="AZ445" i="3" s="1"/>
  <c r="BA446" i="3"/>
  <c r="BL446" i="3"/>
  <c r="BA447" i="3"/>
  <c r="AZ447" i="3" s="1"/>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A395" i="3"/>
  <c r="AZ395" i="3" s="1"/>
  <c r="BA396" i="3"/>
  <c r="AZ396" i="3" s="1"/>
  <c r="BL208" i="3"/>
  <c r="G209" i="3"/>
  <c r="BA210" i="3"/>
  <c r="BL210" i="3"/>
  <c r="BA211" i="3"/>
  <c r="AZ211" i="3" s="1"/>
  <c r="BA213" i="3"/>
  <c r="BL213" i="3"/>
  <c r="BA215" i="3"/>
  <c r="BL215" i="3"/>
  <c r="BA216" i="3"/>
  <c r="AZ216" i="3" s="1"/>
  <c r="BA218" i="3"/>
  <c r="BL218" i="3"/>
  <c r="BA219" i="3"/>
  <c r="AZ219" i="3" s="1"/>
  <c r="BL221" i="3"/>
  <c r="G222" i="3"/>
  <c r="BL223" i="3"/>
  <c r="G224" i="3"/>
  <c r="BA225" i="3"/>
  <c r="BL225" i="3"/>
  <c r="BA226" i="3"/>
  <c r="AZ226" i="3" s="1"/>
  <c r="BA227" i="3"/>
  <c r="AZ227" i="3" s="1"/>
  <c r="BA229" i="3"/>
  <c r="AZ229" i="3" s="1"/>
  <c r="BL229" i="3"/>
  <c r="BA230" i="3"/>
  <c r="AZ230" i="3" s="1"/>
  <c r="BA232" i="3"/>
  <c r="BL232" i="3"/>
  <c r="BA234" i="3"/>
  <c r="BL234" i="3"/>
  <c r="BL236" i="3"/>
  <c r="G237" i="3"/>
  <c r="BL238" i="3"/>
  <c r="G239" i="3"/>
  <c r="G241" i="3"/>
  <c r="G245" i="3"/>
  <c r="G248" i="3"/>
  <c r="G250" i="3"/>
  <c r="G252" i="3"/>
  <c r="BA253" i="3"/>
  <c r="BL253" i="3"/>
  <c r="G254" i="3"/>
  <c r="G256" i="3"/>
  <c r="G258" i="3"/>
  <c r="BL259" i="3"/>
  <c r="G260" i="3"/>
  <c r="G262" i="3"/>
  <c r="BL263" i="3"/>
  <c r="G264" i="3"/>
  <c r="G266" i="3"/>
  <c r="G271" i="3"/>
  <c r="G275" i="3"/>
  <c r="G278" i="3"/>
  <c r="BL279" i="3"/>
  <c r="G280" i="3"/>
  <c r="BL281" i="3"/>
  <c r="G282" i="3"/>
  <c r="G284" i="3"/>
  <c r="BA285" i="3"/>
  <c r="BL285" i="3"/>
  <c r="BA287" i="3"/>
  <c r="AZ287" i="3" s="1"/>
  <c r="BA288" i="3"/>
  <c r="AZ288" i="3" s="1"/>
  <c r="BA290" i="3"/>
  <c r="AZ290" i="3" s="1"/>
  <c r="BA291" i="3"/>
  <c r="AZ291" i="3" s="1"/>
  <c r="BA293" i="3"/>
  <c r="AZ293" i="3" s="1"/>
  <c r="BA295" i="3"/>
  <c r="BL295" i="3"/>
  <c r="BA297" i="3"/>
  <c r="BL297" i="3"/>
  <c r="BA298" i="3"/>
  <c r="AZ298" i="3" s="1"/>
  <c r="BA299" i="3"/>
  <c r="AZ299" i="3" s="1"/>
  <c r="BL301" i="3"/>
  <c r="G302" i="3"/>
  <c r="BA113" i="3"/>
  <c r="BL113" i="3"/>
  <c r="BL115" i="3"/>
  <c r="AZ115" i="3" s="1"/>
  <c r="G116" i="3"/>
  <c r="BA117" i="3"/>
  <c r="AZ117" i="3" s="1"/>
  <c r="BL119" i="3"/>
  <c r="AZ119" i="3" s="1"/>
  <c r="G120" i="3"/>
  <c r="BA122" i="3"/>
  <c r="AZ122" i="3" s="1"/>
  <c r="BL123" i="3"/>
  <c r="AZ123" i="3" s="1"/>
  <c r="BA125" i="3"/>
  <c r="AZ125" i="3" s="1"/>
  <c r="BL127" i="3"/>
  <c r="AZ127" i="3" s="1"/>
  <c r="G128" i="3"/>
  <c r="BA130" i="3"/>
  <c r="AZ130" i="3" s="1"/>
  <c r="BL130" i="3"/>
  <c r="BA132" i="3"/>
  <c r="AZ132" i="3" s="1"/>
  <c r="BA134" i="3"/>
  <c r="BL134" i="3"/>
  <c r="BA136" i="3"/>
  <c r="AZ136" i="3" s="1"/>
  <c r="G139" i="3"/>
  <c r="G142" i="3"/>
  <c r="BA145" i="3"/>
  <c r="BL145" i="3"/>
  <c r="BL147" i="3"/>
  <c r="AZ147" i="3" s="1"/>
  <c r="G148" i="3"/>
  <c r="BA149" i="3"/>
  <c r="AZ149" i="3" s="1"/>
  <c r="BA150" i="3"/>
  <c r="AZ150" i="3" s="1"/>
  <c r="BL151" i="3"/>
  <c r="AZ151" i="3" s="1"/>
  <c r="BA153" i="3"/>
  <c r="AZ153" i="3" s="1"/>
  <c r="BA154" i="3"/>
  <c r="AZ154" i="3" s="1"/>
  <c r="BL155" i="3"/>
  <c r="AZ155" i="3" s="1"/>
  <c r="G158" i="3"/>
  <c r="BA161" i="3"/>
  <c r="BL161" i="3"/>
  <c r="BL163" i="3"/>
  <c r="AZ163" i="3" s="1"/>
  <c r="G164" i="3"/>
  <c r="BA165" i="3"/>
  <c r="AZ165" i="3" s="1"/>
  <c r="BA166" i="3"/>
  <c r="AZ166" i="3" s="1"/>
  <c r="BL167" i="3"/>
  <c r="AZ167" i="3" s="1"/>
  <c r="BA169" i="3"/>
  <c r="AZ169" i="3" s="1"/>
  <c r="BA170" i="3"/>
  <c r="AZ170" i="3" s="1"/>
  <c r="BL171" i="3"/>
  <c r="AZ171" i="3" s="1"/>
  <c r="BA174" i="3"/>
  <c r="BL174" i="3"/>
  <c r="BA176" i="3"/>
  <c r="AZ176" i="3" s="1"/>
  <c r="G179" i="3"/>
  <c r="G190" i="3"/>
  <c r="BA193" i="3"/>
  <c r="BL193" i="3"/>
  <c r="BL195" i="3"/>
  <c r="AZ195" i="3" s="1"/>
  <c r="G196" i="3"/>
  <c r="BA197" i="3"/>
  <c r="AZ197" i="3" s="1"/>
  <c r="BA198" i="3"/>
  <c r="AZ198" i="3" s="1"/>
  <c r="BL199" i="3"/>
  <c r="AZ199" i="3" s="1"/>
  <c r="BA201" i="3"/>
  <c r="AZ201" i="3" s="1"/>
  <c r="BA202" i="3"/>
  <c r="AZ202" i="3" s="1"/>
  <c r="BL203" i="3"/>
  <c r="AZ203" i="3" s="1"/>
  <c r="BA204" i="3"/>
  <c r="AZ204" i="3" s="1"/>
  <c r="G205" i="3"/>
  <c r="G207" i="3"/>
  <c r="BA18" i="3"/>
  <c r="AZ18" i="3" s="1"/>
  <c r="BL18" i="3"/>
  <c r="BA20" i="3"/>
  <c r="AZ20" i="3" s="1"/>
  <c r="BL20" i="3"/>
  <c r="BL22" i="3"/>
  <c r="G23" i="3"/>
  <c r="G25" i="3"/>
  <c r="BL26" i="3"/>
  <c r="G27" i="3"/>
  <c r="G29" i="3"/>
  <c r="G35" i="3"/>
  <c r="G39" i="3"/>
  <c r="G45" i="3"/>
  <c r="G49" i="3"/>
  <c r="BL50" i="3"/>
  <c r="G51" i="3"/>
  <c r="BA52" i="3"/>
  <c r="AZ52" i="3" s="1"/>
  <c r="BL52" i="3"/>
  <c r="BL54" i="3"/>
  <c r="G55" i="3"/>
  <c r="BA56" i="3"/>
  <c r="AZ56" i="3" s="1"/>
  <c r="BL56" i="3"/>
  <c r="BA57" i="3"/>
  <c r="AZ57" i="3" s="1"/>
  <c r="BA58" i="3"/>
  <c r="AZ58" i="3" s="1"/>
  <c r="BA59" i="3"/>
  <c r="AZ59" i="3" s="1"/>
  <c r="BA61" i="3"/>
  <c r="BL61" i="3"/>
  <c r="BA62" i="3"/>
  <c r="AZ62" i="3" s="1"/>
  <c r="O66" i="71"/>
  <c r="O65" i="71"/>
  <c r="D66" i="71"/>
  <c r="E27" i="71"/>
  <c r="E26" i="71" s="1"/>
  <c r="V28" i="71"/>
  <c r="D67" i="71"/>
  <c r="AA27" i="71"/>
  <c r="AA25" i="71"/>
  <c r="D30" i="71"/>
  <c r="AB29" i="71"/>
  <c r="AB31" i="71"/>
  <c r="AA32" i="71"/>
  <c r="F35" i="71"/>
  <c r="F36" i="71" s="1"/>
  <c r="V36" i="71" s="1"/>
  <c r="BA63" i="3"/>
  <c r="AZ63" i="3" s="1"/>
  <c r="BL65" i="3"/>
  <c r="G66" i="3"/>
  <c r="BL67" i="3"/>
  <c r="G68" i="3"/>
  <c r="G70" i="3"/>
  <c r="BL71" i="3"/>
  <c r="G72" i="3"/>
  <c r="BA73" i="3"/>
  <c r="AZ73" i="3" s="1"/>
  <c r="BL73" i="3"/>
  <c r="BA75" i="3"/>
  <c r="AZ75" i="3" s="1"/>
  <c r="BL75" i="3"/>
  <c r="BA76" i="3"/>
  <c r="AZ76" i="3" s="1"/>
  <c r="BA77" i="3"/>
  <c r="AZ77" i="3" s="1"/>
  <c r="BA79" i="3"/>
  <c r="AZ79" i="3" s="1"/>
  <c r="BL79" i="3"/>
  <c r="BL81" i="3"/>
  <c r="G82" i="3"/>
  <c r="BL83" i="3"/>
  <c r="G84" i="3"/>
  <c r="BL85" i="3"/>
  <c r="G86" i="3"/>
  <c r="BA87" i="3"/>
  <c r="AZ87" i="3" s="1"/>
  <c r="BL87" i="3"/>
  <c r="BA89" i="3"/>
  <c r="AZ89" i="3" s="1"/>
  <c r="BL89" i="3"/>
  <c r="BA90" i="3"/>
  <c r="AZ90" i="3" s="1"/>
  <c r="BL92" i="3"/>
  <c r="G93" i="3"/>
  <c r="BL94" i="3"/>
  <c r="G95" i="3"/>
  <c r="G99" i="3"/>
  <c r="BA100" i="3"/>
  <c r="AZ100" i="3" s="1"/>
  <c r="BL100" i="3"/>
  <c r="BA102" i="3"/>
  <c r="AZ102" i="3" s="1"/>
  <c r="BL102" i="3"/>
  <c r="BA103" i="3"/>
  <c r="AZ103" i="3" s="1"/>
  <c r="BA105" i="3"/>
  <c r="BL105" i="3"/>
  <c r="BA106" i="3"/>
  <c r="AZ106" i="3" s="1"/>
  <c r="BA107" i="3"/>
  <c r="AZ107" i="3" s="1"/>
  <c r="BA109" i="3"/>
  <c r="BL109" i="3"/>
  <c r="BA111" i="3"/>
  <c r="BL111" i="3"/>
  <c r="BA112" i="3"/>
  <c r="AZ112" i="3" s="1"/>
  <c r="AC21" i="21"/>
  <c r="U18" i="35"/>
  <c r="C25" i="40"/>
  <c r="B77" i="43"/>
  <c r="C59" i="71"/>
  <c r="W45" i="21"/>
  <c r="AC45" i="21"/>
  <c r="AC27" i="34"/>
  <c r="W27" i="34"/>
  <c r="C19" i="71"/>
  <c r="T20" i="71"/>
  <c r="D20" i="71"/>
  <c r="U20" i="71" s="1"/>
  <c r="AB9" i="33"/>
  <c r="U9" i="33"/>
  <c r="AC9" i="35"/>
  <c r="W9" i="35"/>
  <c r="S17" i="33"/>
  <c r="AZ495" i="3"/>
  <c r="AZ513" i="3"/>
  <c r="AZ517" i="3"/>
  <c r="AZ567" i="3"/>
  <c r="AZ571" i="3"/>
  <c r="AZ575" i="3"/>
  <c r="AZ579" i="3"/>
  <c r="AC39" i="34"/>
  <c r="U44" i="34"/>
  <c r="AA34" i="33"/>
  <c r="AA39" i="34"/>
  <c r="AZ326" i="3"/>
  <c r="AZ372" i="3"/>
  <c r="AZ337" i="3"/>
  <c r="AZ320" i="3"/>
  <c r="AZ305" i="3"/>
  <c r="AZ376" i="3"/>
  <c r="AZ362" i="3"/>
  <c r="AZ341" i="3"/>
  <c r="AZ309" i="3"/>
  <c r="I7" i="37"/>
  <c r="E7" i="37"/>
  <c r="G7" i="37"/>
  <c r="AZ503" i="3"/>
  <c r="AZ523" i="3"/>
  <c r="AZ531" i="3"/>
  <c r="AZ539" i="3"/>
  <c r="AZ547" i="3"/>
  <c r="AZ553" i="3"/>
  <c r="AZ583" i="3"/>
  <c r="AZ581" i="3"/>
  <c r="AZ526" i="3"/>
  <c r="AZ566" i="3"/>
  <c r="AZ574" i="3"/>
  <c r="AZ582" i="3"/>
  <c r="AZ584" i="3"/>
  <c r="S44" i="34"/>
  <c r="S11" i="36"/>
  <c r="AA14" i="37"/>
  <c r="U31" i="34"/>
  <c r="BL586" i="3"/>
  <c r="AZ586" i="3" s="1"/>
  <c r="BL585" i="3"/>
  <c r="AZ585" i="3" s="1"/>
  <c r="BA551" i="3"/>
  <c r="AZ551" i="3" s="1"/>
  <c r="BL550" i="3"/>
  <c r="BA550" i="3"/>
  <c r="AZ550" i="3" s="1"/>
  <c r="BL548" i="3"/>
  <c r="AZ548" i="3" s="1"/>
  <c r="AZ438" i="3"/>
  <c r="AZ443" i="3"/>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J25" i="37"/>
  <c r="F26" i="37"/>
  <c r="J38" i="40"/>
  <c r="H39" i="40"/>
  <c r="G574" i="3"/>
  <c r="G558" i="3"/>
  <c r="G542" i="3"/>
  <c r="A15" i="62"/>
  <c r="B61" i="72" s="1"/>
  <c r="G398" i="3"/>
  <c r="BL398" i="3"/>
  <c r="BA399" i="3"/>
  <c r="AZ399" i="3" s="1"/>
  <c r="BL401" i="3"/>
  <c r="AZ401" i="3" s="1"/>
  <c r="G403" i="3"/>
  <c r="G405" i="3"/>
  <c r="BL405" i="3"/>
  <c r="G407" i="3"/>
  <c r="BL407" i="3"/>
  <c r="AZ407" i="3" s="1"/>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AZ436" i="3" s="1"/>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L368" i="3"/>
  <c r="AZ368" i="3" s="1"/>
  <c r="G374" i="3"/>
  <c r="BL375" i="3"/>
  <c r="AZ375" i="3" s="1"/>
  <c r="G382" i="3"/>
  <c r="BL385" i="3"/>
  <c r="AZ385" i="3" s="1"/>
  <c r="G387" i="3"/>
  <c r="AZ212" i="3"/>
  <c r="AZ217" i="3"/>
  <c r="AZ228" i="3"/>
  <c r="AZ231" i="3"/>
  <c r="AZ244" i="3"/>
  <c r="AZ247" i="3"/>
  <c r="G255" i="3"/>
  <c r="BL255" i="3"/>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BA278" i="3"/>
  <c r="AZ278" i="3" s="1"/>
  <c r="BA279" i="3"/>
  <c r="AZ279" i="3" s="1"/>
  <c r="BA280" i="3"/>
  <c r="AZ280" i="3" s="1"/>
  <c r="BA281" i="3"/>
  <c r="AZ281" i="3" s="1"/>
  <c r="BL283" i="3"/>
  <c r="AZ283" i="3" s="1"/>
  <c r="BA284" i="3"/>
  <c r="AZ284" i="3" s="1"/>
  <c r="BL286" i="3"/>
  <c r="AZ286" i="3" s="1"/>
  <c r="G287" i="3"/>
  <c r="G288" i="3"/>
  <c r="G289" i="3"/>
  <c r="BL289" i="3"/>
  <c r="G291" i="3"/>
  <c r="G292" i="3"/>
  <c r="BL292" i="3"/>
  <c r="G294" i="3"/>
  <c r="BL294" i="3"/>
  <c r="BL296" i="3"/>
  <c r="AZ296" i="3" s="1"/>
  <c r="G299" i="3"/>
  <c r="G300" i="3"/>
  <c r="BL300" i="3"/>
  <c r="AZ300" i="3" s="1"/>
  <c r="BA301" i="3"/>
  <c r="AZ301" i="3" s="1"/>
  <c r="BL114" i="3"/>
  <c r="AZ114" i="3" s="1"/>
  <c r="BA116" i="3"/>
  <c r="AZ116" i="3" s="1"/>
  <c r="G118" i="3"/>
  <c r="BL118" i="3"/>
  <c r="BA120" i="3"/>
  <c r="AZ120" i="3" s="1"/>
  <c r="BL121" i="3"/>
  <c r="G123" i="3"/>
  <c r="G126" i="3"/>
  <c r="BL126" i="3"/>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AZ126" i="3"/>
  <c r="AZ141" i="3"/>
  <c r="C55" i="71"/>
  <c r="D54" i="71"/>
  <c r="T64" i="71"/>
  <c r="C35" i="71"/>
  <c r="D34" i="71"/>
  <c r="AA34" i="71"/>
  <c r="AA33" i="71"/>
  <c r="S68" i="71"/>
  <c r="N68" i="71"/>
  <c r="P68" i="71"/>
  <c r="E67" i="71"/>
  <c r="D84" i="71"/>
  <c r="C83" i="7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G104" i="3"/>
  <c r="BL104" i="3"/>
  <c r="G107" i="3"/>
  <c r="G108" i="3"/>
  <c r="BL108" i="3"/>
  <c r="BL110" i="3"/>
  <c r="AZ110" i="3" s="1"/>
  <c r="F3" i="35"/>
  <c r="AB25" i="71"/>
  <c r="F28" i="71"/>
  <c r="F27" i="71" s="1"/>
  <c r="F26" i="71" s="1"/>
  <c r="AB28" i="71"/>
  <c r="X25" i="71"/>
  <c r="X27" i="71"/>
  <c r="Y29" i="71"/>
  <c r="Z29" i="71" s="1"/>
  <c r="Y26" i="71"/>
  <c r="Z26" i="71" s="1"/>
  <c r="Y28" i="71"/>
  <c r="Z28" i="71" s="1"/>
  <c r="Y38" i="71"/>
  <c r="Z38" i="71" s="1"/>
  <c r="X39" i="71"/>
  <c r="X36" i="71"/>
  <c r="X38" i="71"/>
  <c r="B47" i="71"/>
  <c r="B48" i="71" s="1"/>
  <c r="S48" i="71" s="1"/>
  <c r="B67" i="71"/>
  <c r="U72" i="71"/>
  <c r="E71" i="71"/>
  <c r="E70" i="71" s="1"/>
  <c r="U80" i="71"/>
  <c r="E79" i="71"/>
  <c r="E78" i="71" s="1"/>
  <c r="E39" i="71"/>
  <c r="E40" i="71" s="1"/>
  <c r="U40" i="71" s="1"/>
  <c r="B36" i="71"/>
  <c r="S36" i="71" s="1"/>
  <c r="B32" i="71"/>
  <c r="S32" i="71" s="1"/>
  <c r="E31" i="71"/>
  <c r="E32" i="71" s="1"/>
  <c r="U32" i="71" s="1"/>
  <c r="X30" i="71"/>
  <c r="AB30" i="71"/>
  <c r="Y31" i="71"/>
  <c r="Z31" i="71" s="1"/>
  <c r="X31" i="71"/>
  <c r="AB32" i="71"/>
  <c r="AB34" i="71"/>
  <c r="Y35" i="71"/>
  <c r="Z35" i="71" s="1"/>
  <c r="AB36" i="71"/>
  <c r="B40" i="71"/>
  <c r="S40" i="71" s="1"/>
  <c r="B51" i="71"/>
  <c r="B52" i="71" s="1"/>
  <c r="S52" i="71" s="1"/>
  <c r="V24" i="71"/>
  <c r="H37" i="37"/>
  <c r="U37" i="37" s="1"/>
  <c r="F37" i="37"/>
  <c r="S37" i="37" s="1"/>
  <c r="F107" i="37"/>
  <c r="G107" i="37" s="1"/>
  <c r="H107" i="37" s="1"/>
  <c r="I107" i="37" s="1"/>
  <c r="J107" i="37" s="1"/>
  <c r="K107" i="37" s="1"/>
  <c r="L107" i="37" s="1"/>
  <c r="M107" i="37" s="1"/>
  <c r="J37" i="37"/>
  <c r="AC37" i="37" s="1"/>
  <c r="U36" i="37"/>
  <c r="AC36" i="37"/>
  <c r="S36" i="37"/>
  <c r="AA35" i="37"/>
  <c r="AB35" i="37"/>
  <c r="AC34" i="37"/>
  <c r="W32" i="37"/>
  <c r="AA31" i="37"/>
  <c r="AB31" i="37"/>
  <c r="U29" i="37"/>
  <c r="F29" i="37"/>
  <c r="S29" i="37" s="1"/>
  <c r="AC29" i="37"/>
  <c r="AC17" i="37"/>
  <c r="U23" i="37"/>
  <c r="AC21" i="37"/>
  <c r="U21" i="37"/>
  <c r="S21" i="37"/>
  <c r="U19" i="37"/>
  <c r="S19" i="37"/>
  <c r="AB17" i="37"/>
  <c r="S17" i="37"/>
  <c r="AC15" i="37"/>
  <c r="W23" i="37"/>
  <c r="AA23" i="37"/>
  <c r="AC19" i="37"/>
  <c r="S15" i="37"/>
  <c r="AA34" i="37"/>
  <c r="U32" i="37"/>
  <c r="W31" i="37"/>
  <c r="D19" i="53"/>
  <c r="B38" i="72" s="1"/>
  <c r="E19" i="71"/>
  <c r="E18" i="71" s="1"/>
  <c r="E17" i="71" s="1"/>
  <c r="E16" i="71" s="1"/>
  <c r="V20" i="71"/>
  <c r="AZ557" i="3"/>
  <c r="AC23" i="21"/>
  <c r="U32" i="39"/>
  <c r="AB15" i="21"/>
  <c r="AA19" i="33"/>
  <c r="W17" i="21"/>
  <c r="S32" i="37"/>
  <c r="S30" i="40"/>
  <c r="AZ14" i="3"/>
  <c r="U43" i="33"/>
  <c r="AA41" i="34"/>
  <c r="U46" i="33"/>
  <c r="AA13" i="35"/>
  <c r="AC34" i="35"/>
  <c r="W34" i="35"/>
  <c r="M85" i="43"/>
  <c r="N85" i="43" s="1"/>
  <c r="K85" i="43"/>
  <c r="D85" i="43" s="1"/>
  <c r="AC9" i="34"/>
  <c r="W9" i="34"/>
  <c r="B76" i="43"/>
  <c r="F34" i="35"/>
  <c r="H34" i="35"/>
  <c r="J23" i="36"/>
  <c r="H23" i="36"/>
  <c r="F23" i="36"/>
  <c r="AZ400" i="3"/>
  <c r="AZ413" i="3"/>
  <c r="AZ439" i="3"/>
  <c r="AZ444" i="3"/>
  <c r="AZ466" i="3"/>
  <c r="AZ475" i="3"/>
  <c r="AZ483" i="3"/>
  <c r="AZ397" i="3"/>
  <c r="AZ220" i="3"/>
  <c r="AZ398" i="3"/>
  <c r="AZ405" i="3"/>
  <c r="AZ410" i="3"/>
  <c r="AZ415" i="3"/>
  <c r="AZ420" i="3"/>
  <c r="AZ426" i="3"/>
  <c r="AZ431" i="3"/>
  <c r="AZ448" i="3"/>
  <c r="AZ452" i="3"/>
  <c r="AZ461" i="3"/>
  <c r="AZ463" i="3"/>
  <c r="AZ468" i="3"/>
  <c r="AZ470" i="3"/>
  <c r="AZ479" i="3"/>
  <c r="AZ485" i="3"/>
  <c r="AZ210" i="3"/>
  <c r="AZ225" i="3"/>
  <c r="AZ239" i="3"/>
  <c r="AZ255" i="3"/>
  <c r="AZ277" i="3"/>
  <c r="G14" i="3"/>
  <c r="BL15" i="3"/>
  <c r="G6" i="1"/>
  <c r="I24" i="43"/>
  <c r="F9" i="1"/>
  <c r="G9" i="1" s="1"/>
  <c r="G44" i="43"/>
  <c r="AZ289" i="3"/>
  <c r="AZ292" i="3"/>
  <c r="AZ294" i="3"/>
  <c r="AZ118" i="3"/>
  <c r="AZ121" i="3"/>
  <c r="AZ134" i="3"/>
  <c r="AZ137" i="3"/>
  <c r="AZ145" i="3"/>
  <c r="AZ161" i="3"/>
  <c r="AZ177" i="3"/>
  <c r="AZ193" i="3"/>
  <c r="AZ34" i="3"/>
  <c r="AZ38" i="3"/>
  <c r="AZ44" i="3"/>
  <c r="AZ48" i="3"/>
  <c r="AZ60" i="3"/>
  <c r="AZ64" i="3"/>
  <c r="AZ78" i="3"/>
  <c r="AZ91" i="3"/>
  <c r="AZ98" i="3"/>
  <c r="AZ104" i="3"/>
  <c r="AZ108" i="3"/>
  <c r="AB21" i="21"/>
  <c r="AC21" i="34"/>
  <c r="U21" i="34"/>
  <c r="T40" i="71"/>
  <c r="D40" i="71"/>
  <c r="T44" i="71"/>
  <c r="D44" i="71"/>
  <c r="C27" i="71"/>
  <c r="T28" i="71"/>
  <c r="D28" i="71"/>
  <c r="U28" i="71" s="1"/>
  <c r="J51" i="15"/>
  <c r="S21" i="21"/>
  <c r="U18" i="36"/>
  <c r="AB27" i="71"/>
  <c r="S28" i="71"/>
  <c r="AB33" i="71"/>
  <c r="Y33" i="71"/>
  <c r="Z33" i="71" s="1"/>
  <c r="X32" i="71"/>
  <c r="X37" i="71"/>
  <c r="AA29" i="71"/>
  <c r="Y9" i="71"/>
  <c r="Z9" i="71" s="1"/>
  <c r="Y10" i="71"/>
  <c r="Z10" i="71" s="1"/>
  <c r="AA9" i="71"/>
  <c r="AA10" i="71"/>
  <c r="AB24" i="71"/>
  <c r="Y22" i="71"/>
  <c r="Z22" i="71" s="1"/>
  <c r="AB23" i="71"/>
  <c r="AA22" i="71"/>
  <c r="X21" i="71"/>
  <c r="Y21" i="71"/>
  <c r="Z21" i="71" s="1"/>
  <c r="AB18" i="71"/>
  <c r="Y14" i="71"/>
  <c r="Z14" i="71" s="1"/>
  <c r="X9" i="71"/>
  <c r="X10" i="71"/>
  <c r="AB10" i="71"/>
  <c r="AB9" i="71"/>
  <c r="V68" i="71"/>
  <c r="F67" i="71"/>
  <c r="X24" i="71"/>
  <c r="AA24" i="71"/>
  <c r="AA23" i="71"/>
  <c r="X22" i="71"/>
  <c r="AB21" i="71"/>
  <c r="X18" i="71"/>
  <c r="Y17" i="71"/>
  <c r="Z17" i="71" s="1"/>
  <c r="AA18" i="71"/>
  <c r="AB17" i="71"/>
  <c r="X13" i="71"/>
  <c r="AA14" i="71"/>
  <c r="Y24" i="71"/>
  <c r="Z24" i="71" s="1"/>
  <c r="AA21" i="71"/>
  <c r="Y18" i="71"/>
  <c r="Z18" i="71" s="1"/>
  <c r="AB15" i="71"/>
  <c r="X17" i="71"/>
  <c r="AA17" i="71"/>
  <c r="AB13" i="71"/>
  <c r="AB14" i="71"/>
  <c r="Y13" i="71"/>
  <c r="Z13" i="71" s="1"/>
  <c r="AA11" i="71"/>
  <c r="X11" i="71"/>
  <c r="Y23" i="71"/>
  <c r="Z23" i="71" s="1"/>
  <c r="X15" i="71"/>
  <c r="AA15" i="71"/>
  <c r="AB12" i="71"/>
  <c r="AB11" i="71"/>
  <c r="Y12" i="71"/>
  <c r="Z12" i="71" s="1"/>
  <c r="Y11" i="71"/>
  <c r="Z11" i="71" s="1"/>
  <c r="AA13" i="71"/>
  <c r="AA12" i="71"/>
  <c r="X12" i="71"/>
  <c r="X14" i="71"/>
  <c r="H50" i="43"/>
  <c r="C40" i="69"/>
  <c r="C21" i="68"/>
  <c r="BA5" i="3"/>
  <c r="AZ15" i="3"/>
  <c r="G5" i="3"/>
  <c r="B3" i="3" s="1"/>
  <c r="E218" i="3" s="1"/>
  <c r="F28" i="6"/>
  <c r="G29" i="6"/>
  <c r="BL5" i="3"/>
  <c r="G28" i="6"/>
  <c r="E28" i="6" s="1"/>
  <c r="K14" i="1" s="1"/>
  <c r="B73" i="43"/>
  <c r="B79" i="43"/>
  <c r="C29" i="39"/>
  <c r="B68" i="43"/>
  <c r="B75"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568" i="3"/>
  <c r="E295" i="3"/>
  <c r="E14" i="6"/>
  <c r="E63" i="39" s="1"/>
  <c r="I4" i="6"/>
  <c r="G3" i="43" s="1"/>
  <c r="G26" i="43" s="1"/>
  <c r="E29" i="6"/>
  <c r="K15" i="1" s="1"/>
  <c r="F30" i="6"/>
  <c r="G30" i="6"/>
  <c r="G31" i="6" s="1"/>
  <c r="L19" i="6"/>
  <c r="L27" i="6"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5" i="43"/>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O9" i="1"/>
  <c r="P9" i="1" s="1"/>
  <c r="O12" i="1"/>
  <c r="P12" i="1" s="1"/>
  <c r="O8" i="1"/>
  <c r="P8" i="1" s="1"/>
  <c r="H73" i="43"/>
  <c r="H90" i="43"/>
  <c r="G90" i="43" s="1"/>
  <c r="C23" i="43"/>
  <c r="O23" i="43"/>
  <c r="I18" i="43"/>
  <c r="E17" i="43" s="1"/>
  <c r="C17" i="43" s="1"/>
  <c r="C24" i="43"/>
  <c r="A1" i="79"/>
  <c r="H55" i="43"/>
  <c r="H86" i="43"/>
  <c r="G86" i="43" s="1"/>
  <c r="H87" i="43"/>
  <c r="G87" i="43" s="1"/>
  <c r="H89" i="43"/>
  <c r="G89" i="43" s="1"/>
  <c r="H88" i="43"/>
  <c r="G88" i="43" s="1"/>
  <c r="H84" i="43"/>
  <c r="G84" i="43" s="1"/>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5" i="73"/>
  <c r="AB11" i="40" l="1"/>
  <c r="U11" i="40"/>
  <c r="AC23" i="40"/>
  <c r="W23" i="40"/>
  <c r="G92" i="40"/>
  <c r="H23" i="40"/>
  <c r="E585" i="3"/>
  <c r="E480" i="3"/>
  <c r="E404" i="3"/>
  <c r="E256" i="3"/>
  <c r="E334" i="3"/>
  <c r="E121" i="3"/>
  <c r="E477" i="3"/>
  <c r="I6" i="3"/>
  <c r="E562" i="3"/>
  <c r="E30" i="3"/>
  <c r="E316" i="3"/>
  <c r="E166" i="3"/>
  <c r="E88" i="3"/>
  <c r="AS6" i="3"/>
  <c r="E478" i="3"/>
  <c r="E271" i="3"/>
  <c r="E14" i="3"/>
  <c r="E55" i="3"/>
  <c r="E313" i="3"/>
  <c r="E109" i="3"/>
  <c r="E572" i="3"/>
  <c r="E377" i="3"/>
  <c r="E273" i="3"/>
  <c r="E211" i="3"/>
  <c r="E182" i="3"/>
  <c r="E70" i="3"/>
  <c r="E28" i="3"/>
  <c r="E476" i="3"/>
  <c r="E505" i="3"/>
  <c r="E414" i="3"/>
  <c r="E515" i="3"/>
  <c r="E107" i="3"/>
  <c r="E236" i="3"/>
  <c r="E32" i="3"/>
  <c r="E357" i="3"/>
  <c r="E203" i="3"/>
  <c r="E471" i="3"/>
  <c r="E474" i="3"/>
  <c r="E306" i="3"/>
  <c r="D59" i="71"/>
  <c r="C60" i="71"/>
  <c r="AZ61" i="3"/>
  <c r="AZ113" i="3"/>
  <c r="AZ297" i="3"/>
  <c r="AZ295" i="3"/>
  <c r="AZ253" i="3"/>
  <c r="AZ215" i="3"/>
  <c r="AZ213" i="3"/>
  <c r="AZ446" i="3"/>
  <c r="AB26" i="37"/>
  <c r="U26" i="37"/>
  <c r="U12" i="36"/>
  <c r="AB12" i="36"/>
  <c r="AZ353" i="3"/>
  <c r="AZ316" i="3"/>
  <c r="AZ429" i="3"/>
  <c r="F7" i="36"/>
  <c r="E441" i="3"/>
  <c r="E29" i="3"/>
  <c r="E44" i="3"/>
  <c r="AM6" i="3"/>
  <c r="E384" i="3"/>
  <c r="E317" i="3"/>
  <c r="E331" i="3"/>
  <c r="E291" i="3"/>
  <c r="E210" i="3"/>
  <c r="E272" i="3"/>
  <c r="E186" i="3"/>
  <c r="E126" i="3"/>
  <c r="E162" i="3"/>
  <c r="E92" i="3"/>
  <c r="E27" i="3"/>
  <c r="E71" i="3"/>
  <c r="E447" i="3"/>
  <c r="E546" i="3"/>
  <c r="E403" i="3"/>
  <c r="E547" i="3"/>
  <c r="E367" i="3"/>
  <c r="E432" i="3"/>
  <c r="E548" i="3"/>
  <c r="E411" i="3"/>
  <c r="U6" i="3"/>
  <c r="E379" i="3"/>
  <c r="E145" i="3"/>
  <c r="E207" i="3"/>
  <c r="E368" i="3"/>
  <c r="E227" i="3"/>
  <c r="E31" i="3"/>
  <c r="E318" i="3"/>
  <c r="E257" i="3"/>
  <c r="E171" i="3"/>
  <c r="E54" i="3"/>
  <c r="E433" i="3"/>
  <c r="E571" i="3"/>
  <c r="E438" i="3"/>
  <c r="E532" i="3"/>
  <c r="E157" i="3"/>
  <c r="E136" i="3"/>
  <c r="AZ111" i="3"/>
  <c r="AZ109" i="3"/>
  <c r="AZ105" i="3"/>
  <c r="AZ174" i="3"/>
  <c r="AZ285" i="3"/>
  <c r="AZ234" i="3"/>
  <c r="AZ232" i="3"/>
  <c r="AZ218" i="3"/>
  <c r="AZ472" i="3"/>
  <c r="AZ442" i="3"/>
  <c r="AZ437" i="3"/>
  <c r="AB38" i="40"/>
  <c r="U38" i="40"/>
  <c r="AA25" i="37"/>
  <c r="S25" i="37"/>
  <c r="AZ424" i="3"/>
  <c r="J7" i="37"/>
  <c r="H7" i="36"/>
  <c r="E101" i="3"/>
  <c r="N67" i="71"/>
  <c r="B66" i="71"/>
  <c r="D83" i="71"/>
  <c r="C82" i="71"/>
  <c r="D82" i="71" s="1"/>
  <c r="P67" i="71"/>
  <c r="E66" i="71"/>
  <c r="C56" i="71"/>
  <c r="D55" i="71"/>
  <c r="AZ487" i="3"/>
  <c r="AZ481" i="3"/>
  <c r="AZ454" i="3"/>
  <c r="AZ422" i="3"/>
  <c r="AC38" i="40"/>
  <c r="W38" i="40"/>
  <c r="AC25" i="37"/>
  <c r="W25" i="37"/>
  <c r="AZ5" i="3"/>
  <c r="C36" i="71"/>
  <c r="D35" i="71"/>
  <c r="U39" i="40"/>
  <c r="AB39" i="40"/>
  <c r="AA26" i="37"/>
  <c r="S26" i="37"/>
  <c r="C18" i="71"/>
  <c r="D19" i="71"/>
  <c r="W37" i="37"/>
  <c r="AB37" i="37"/>
  <c r="AA37" i="37"/>
  <c r="AA29" i="37"/>
  <c r="K1" i="73"/>
  <c r="M88" i="43"/>
  <c r="N88" i="43" s="1"/>
  <c r="K88" i="43"/>
  <c r="M87" i="43"/>
  <c r="N87" i="43" s="1"/>
  <c r="K87" i="43"/>
  <c r="M90" i="43"/>
  <c r="N90" i="43" s="1"/>
  <c r="K90" i="43"/>
  <c r="AA23" i="36"/>
  <c r="S23" i="36"/>
  <c r="AC23" i="36"/>
  <c r="W23" i="36"/>
  <c r="AA34" i="35"/>
  <c r="S34" i="35"/>
  <c r="B15" i="71"/>
  <c r="B14" i="71" s="1"/>
  <c r="B13" i="71" s="1"/>
  <c r="B12" i="71" s="1"/>
  <c r="S16" i="71"/>
  <c r="F15" i="71"/>
  <c r="F14" i="71" s="1"/>
  <c r="F13" i="71" s="1"/>
  <c r="F12" i="71" s="1"/>
  <c r="F11" i="71" s="1"/>
  <c r="F10" i="71" s="1"/>
  <c r="F9" i="71" s="1"/>
  <c r="F8" i="71" s="1"/>
  <c r="F7" i="71" s="1"/>
  <c r="F6" i="71" s="1"/>
  <c r="F5" i="71" s="1"/>
  <c r="M23" i="43"/>
  <c r="M84" i="43"/>
  <c r="N84" i="43" s="1"/>
  <c r="K84" i="43"/>
  <c r="M89" i="43"/>
  <c r="N89" i="43" s="1"/>
  <c r="K89" i="43"/>
  <c r="M86" i="43"/>
  <c r="N86" i="43" s="1"/>
  <c r="K86" i="43"/>
  <c r="E489" i="3"/>
  <c r="E444" i="3"/>
  <c r="E531" i="3"/>
  <c r="E581" i="3"/>
  <c r="E557" i="3"/>
  <c r="E558" i="3"/>
  <c r="E345" i="3"/>
  <c r="E443" i="3"/>
  <c r="E400" i="3"/>
  <c r="P6" i="3"/>
  <c r="E485" i="3"/>
  <c r="E448" i="3"/>
  <c r="AO6" i="3"/>
  <c r="AG6" i="3"/>
  <c r="Z6" i="3"/>
  <c r="E576" i="3"/>
  <c r="E327" i="3"/>
  <c r="E164" i="3"/>
  <c r="E204" i="3"/>
  <c r="E252" i="3"/>
  <c r="E269" i="3"/>
  <c r="E196" i="3"/>
  <c r="E549" i="3"/>
  <c r="E397" i="3"/>
  <c r="E567" i="3"/>
  <c r="E93" i="3"/>
  <c r="E580" i="3"/>
  <c r="E362" i="3"/>
  <c r="E394" i="3"/>
  <c r="E315" i="3"/>
  <c r="E279" i="3"/>
  <c r="E208" i="3"/>
  <c r="E150" i="3"/>
  <c r="E168" i="3"/>
  <c r="E72" i="3"/>
  <c r="E475" i="3"/>
  <c r="E496" i="3"/>
  <c r="E537" i="3"/>
  <c r="W6" i="3"/>
  <c r="E288" i="3"/>
  <c r="E527" i="3"/>
  <c r="E458" i="3"/>
  <c r="E519" i="3"/>
  <c r="E193" i="3"/>
  <c r="E99" i="3"/>
  <c r="E511" i="3"/>
  <c r="E238" i="3"/>
  <c r="E156" i="3"/>
  <c r="M83" i="43"/>
  <c r="N83" i="43" s="1"/>
  <c r="K83" i="43"/>
  <c r="E36" i="3"/>
  <c r="E308" i="3"/>
  <c r="F66" i="71"/>
  <c r="Q67" i="71"/>
  <c r="C26" i="71"/>
  <c r="D26" i="71" s="1"/>
  <c r="D27" i="71"/>
  <c r="AB23" i="36"/>
  <c r="U23" i="36"/>
  <c r="AB34" i="35"/>
  <c r="U34" i="35"/>
  <c r="E15" i="71"/>
  <c r="E14" i="71" s="1"/>
  <c r="E13" i="71" s="1"/>
  <c r="E12" i="71" s="1"/>
  <c r="V16" i="71"/>
  <c r="AE6" i="3"/>
  <c r="E481" i="3"/>
  <c r="E330" i="3"/>
  <c r="E262" i="3"/>
  <c r="E461" i="3"/>
  <c r="E428" i="3"/>
  <c r="N94" i="46"/>
  <c r="E454" i="3"/>
  <c r="E587" i="3"/>
  <c r="E472" i="3"/>
  <c r="E133" i="3"/>
  <c r="AK6" i="3"/>
  <c r="E453" i="3"/>
  <c r="E170" i="3"/>
  <c r="E507" i="3"/>
  <c r="E502" i="3"/>
  <c r="E344" i="3"/>
  <c r="E437" i="3"/>
  <c r="E177" i="3"/>
  <c r="E128" i="3"/>
  <c r="E122" i="3"/>
  <c r="J6" i="3"/>
  <c r="E103" i="3"/>
  <c r="E529" i="3"/>
  <c r="E224" i="3"/>
  <c r="E352" i="3"/>
  <c r="E77" i="3"/>
  <c r="E178" i="3"/>
  <c r="E492" i="3"/>
  <c r="E146" i="3"/>
  <c r="E468" i="3"/>
  <c r="E465" i="3"/>
  <c r="E560" i="3"/>
  <c r="E277" i="3"/>
  <c r="E545" i="3"/>
  <c r="E242" i="3"/>
  <c r="E165" i="3"/>
  <c r="E351" i="3"/>
  <c r="E111" i="3"/>
  <c r="E450" i="3"/>
  <c r="E457" i="3"/>
  <c r="E573" i="3"/>
  <c r="E45" i="3"/>
  <c r="E314" i="3"/>
  <c r="L6" i="3"/>
  <c r="E297" i="3"/>
  <c r="E274" i="3"/>
  <c r="E73" i="3"/>
  <c r="E429" i="3"/>
  <c r="E424" i="3"/>
  <c r="Q6" i="3"/>
  <c r="E120" i="3"/>
  <c r="E434" i="3"/>
  <c r="E299" i="3"/>
  <c r="E244" i="3"/>
  <c r="E89" i="3"/>
  <c r="E74" i="3"/>
  <c r="E214" i="3"/>
  <c r="E106" i="3"/>
  <c r="E577" i="3"/>
  <c r="E406" i="3"/>
  <c r="K6" i="3"/>
  <c r="E228" i="3"/>
  <c r="E85" i="3"/>
  <c r="E265" i="3"/>
  <c r="E40" i="3"/>
  <c r="E364" i="3"/>
  <c r="E212" i="3"/>
  <c r="E13" i="3"/>
  <c r="E47" i="3"/>
  <c r="E416" i="3"/>
  <c r="E575" i="3"/>
  <c r="E18" i="3"/>
  <c r="E154" i="3"/>
  <c r="E110" i="3"/>
  <c r="E34" i="3"/>
  <c r="E16" i="3"/>
  <c r="E98" i="3"/>
  <c r="E346" i="3"/>
  <c r="E42" i="3"/>
  <c r="E255" i="3"/>
  <c r="E83" i="3"/>
  <c r="E493" i="3"/>
  <c r="E209" i="3"/>
  <c r="E554" i="3"/>
  <c r="E197" i="3"/>
  <c r="E536" i="3"/>
  <c r="E188" i="3"/>
  <c r="E329" i="3"/>
  <c r="E540" i="3"/>
  <c r="E220" i="3"/>
  <c r="E491" i="3"/>
  <c r="E405" i="3"/>
  <c r="E499" i="3"/>
  <c r="E440" i="3"/>
  <c r="E223" i="3"/>
  <c r="E100" i="3"/>
  <c r="E522" i="3"/>
  <c r="E152" i="3"/>
  <c r="E470" i="3"/>
  <c r="E430" i="3"/>
  <c r="E108" i="3"/>
  <c r="E543" i="3"/>
  <c r="E194" i="3"/>
  <c r="AF6" i="3"/>
  <c r="E409" i="3"/>
  <c r="E339" i="3"/>
  <c r="E76" i="3"/>
  <c r="E524" i="3"/>
  <c r="E64" i="3"/>
  <c r="E486" i="3"/>
  <c r="E490" i="3"/>
  <c r="E392" i="3"/>
  <c r="E376" i="3"/>
  <c r="E300" i="3"/>
  <c r="AD6" i="3"/>
  <c r="E267" i="3"/>
  <c r="E463" i="3"/>
  <c r="E181" i="3"/>
  <c r="E483" i="3"/>
  <c r="E147" i="3"/>
  <c r="AQ6" i="3"/>
  <c r="E67" i="3"/>
  <c r="E58" i="3"/>
  <c r="E542" i="3"/>
  <c r="E467" i="3"/>
  <c r="E391" i="3"/>
  <c r="E525" i="3"/>
  <c r="E50" i="3"/>
  <c r="E378" i="3"/>
  <c r="E323" i="3"/>
  <c r="E199" i="3"/>
  <c r="E484" i="3"/>
  <c r="E141" i="3"/>
  <c r="E521" i="3"/>
  <c r="E564" i="3"/>
  <c r="E105" i="3"/>
  <c r="E541" i="3"/>
  <c r="E200" i="3"/>
  <c r="E324" i="3"/>
  <c r="E360" i="3"/>
  <c r="E167" i="3"/>
  <c r="E462" i="3"/>
  <c r="E116" i="3"/>
  <c r="E442" i="3"/>
  <c r="E160" i="3"/>
  <c r="E464" i="3"/>
  <c r="E195" i="3"/>
  <c r="E419" i="3"/>
  <c r="AH6" i="3"/>
  <c r="E113" i="3"/>
  <c r="E104" i="3"/>
  <c r="E421" i="3"/>
  <c r="E138" i="3"/>
  <c r="E498" i="3"/>
  <c r="I3" i="6"/>
  <c r="E371" i="3"/>
  <c r="E566" i="3"/>
  <c r="E386" i="3"/>
  <c r="E276" i="3"/>
  <c r="E202" i="3"/>
  <c r="E281" i="3"/>
  <c r="E398" i="3"/>
  <c r="E248" i="3"/>
  <c r="E401" i="3"/>
  <c r="E517" i="3"/>
  <c r="E23" i="3"/>
  <c r="E413" i="3"/>
  <c r="E66" i="3"/>
  <c r="E43" i="3"/>
  <c r="E372" i="3"/>
  <c r="E62" i="3"/>
  <c r="E333" i="3"/>
  <c r="E56" i="3"/>
  <c r="E184" i="3"/>
  <c r="E427" i="3"/>
  <c r="E129" i="3"/>
  <c r="E374" i="3"/>
  <c r="E307" i="3"/>
  <c r="E119" i="3"/>
  <c r="E417" i="3"/>
  <c r="E33" i="3"/>
  <c r="E436" i="3"/>
  <c r="E87" i="3"/>
  <c r="E38" i="3"/>
  <c r="E15" i="3"/>
  <c r="E381" i="3"/>
  <c r="E226" i="3"/>
  <c r="E232" i="3"/>
  <c r="E582" i="3"/>
  <c r="E584" i="3"/>
  <c r="E473" i="3"/>
  <c r="E37" i="3"/>
  <c r="E233" i="3"/>
  <c r="E57" i="3"/>
  <c r="E284" i="3"/>
  <c r="E137" i="3"/>
  <c r="E219" i="3"/>
  <c r="E258" i="3"/>
  <c r="E81" i="3"/>
  <c r="E79" i="3"/>
  <c r="E422" i="3"/>
  <c r="E520" i="3"/>
  <c r="E48" i="3"/>
  <c r="E234" i="3"/>
  <c r="E132" i="3"/>
  <c r="E68" i="3"/>
  <c r="E155" i="3"/>
  <c r="E51" i="3"/>
  <c r="E325" i="3"/>
  <c r="E52" i="3"/>
  <c r="F26" i="43"/>
  <c r="E512" i="3"/>
  <c r="E176" i="3"/>
  <c r="E363" i="3"/>
  <c r="E283" i="3"/>
  <c r="E289" i="3"/>
  <c r="E25" i="3"/>
  <c r="E90" i="3"/>
  <c r="E250" i="3"/>
  <c r="E112" i="3"/>
  <c r="E241" i="3"/>
  <c r="E118" i="3"/>
  <c r="E259" i="3"/>
  <c r="E179" i="3"/>
  <c r="E123" i="3"/>
  <c r="E340" i="3"/>
  <c r="K16" i="1"/>
  <c r="E253" i="3"/>
  <c r="E393" i="3"/>
  <c r="E455" i="3"/>
  <c r="E198" i="3"/>
  <c r="E539" i="3"/>
  <c r="E544" i="3"/>
  <c r="E21" i="3"/>
  <c r="E205" i="3"/>
  <c r="E60" i="3"/>
  <c r="E187" i="3"/>
  <c r="Y6" i="3"/>
  <c r="E365" i="3"/>
  <c r="E349" i="3"/>
  <c r="E309" i="3"/>
  <c r="E375" i="3"/>
  <c r="E373" i="3"/>
  <c r="E20" i="3"/>
  <c r="E510" i="3"/>
  <c r="E296" i="3"/>
  <c r="E456" i="3"/>
  <c r="E494" i="3"/>
  <c r="E139" i="3"/>
  <c r="E94" i="3"/>
  <c r="E190" i="3"/>
  <c r="E35" i="3"/>
  <c r="E102" i="3"/>
  <c r="E140" i="3"/>
  <c r="E225" i="3"/>
  <c r="E75" i="3"/>
  <c r="E86" i="3"/>
  <c r="E80" i="3"/>
  <c r="E243" i="3"/>
  <c r="E158" i="3"/>
  <c r="E451" i="3"/>
  <c r="E26" i="3"/>
  <c r="E332" i="3"/>
  <c r="E412" i="3"/>
  <c r="E235" i="3"/>
  <c r="E206" i="3"/>
  <c r="E287" i="3"/>
  <c r="E500" i="3"/>
  <c r="E504" i="3"/>
  <c r="E354" i="3"/>
  <c r="E82" i="3"/>
  <c r="E148" i="3"/>
  <c r="E466" i="3"/>
  <c r="E435" i="3"/>
  <c r="E192" i="3"/>
  <c r="E59" i="3"/>
  <c r="E142" i="3"/>
  <c r="E84" i="3"/>
  <c r="E63" i="3"/>
  <c r="E452" i="3"/>
  <c r="E174" i="3"/>
  <c r="E408" i="3"/>
  <c r="E49" i="3"/>
  <c r="E131" i="3"/>
  <c r="E341" i="3"/>
  <c r="E469" i="3"/>
  <c r="E275" i="3"/>
  <c r="E149" i="3"/>
  <c r="E487" i="3"/>
  <c r="E460" i="3"/>
  <c r="E240" i="3"/>
  <c r="E488" i="3"/>
  <c r="E163" i="3"/>
  <c r="E24" i="3"/>
  <c r="E19" i="3"/>
  <c r="E173" i="3"/>
  <c r="E420" i="3"/>
  <c r="E482" i="3"/>
  <c r="E264" i="3"/>
  <c r="E286" i="3"/>
  <c r="E449" i="3"/>
  <c r="E479" i="3"/>
  <c r="E292" i="3"/>
  <c r="E425" i="3"/>
  <c r="E249" i="3"/>
  <c r="E144" i="3"/>
  <c r="E369" i="3"/>
  <c r="E552" i="3"/>
  <c r="E312" i="3"/>
  <c r="E459" i="3"/>
  <c r="E39" i="3"/>
  <c r="E348" i="3"/>
  <c r="E446" i="3"/>
  <c r="E266" i="3"/>
  <c r="E127" i="3"/>
  <c r="E222" i="3"/>
  <c r="E534" i="3"/>
  <c r="E556" i="3"/>
  <c r="E41" i="3"/>
  <c r="E356" i="3"/>
  <c r="E96" i="3"/>
  <c r="E383" i="3"/>
  <c r="E251" i="3"/>
  <c r="E326" i="3"/>
  <c r="R6" i="3"/>
  <c r="AP6" i="3"/>
  <c r="E95" i="3"/>
  <c r="E389" i="3"/>
  <c r="E46" i="3"/>
  <c r="E310" i="3"/>
  <c r="E355" i="3"/>
  <c r="E513" i="3"/>
  <c r="T6" i="3"/>
  <c r="E497" i="3"/>
  <c r="E115" i="3"/>
  <c r="AL6" i="3"/>
  <c r="E78" i="3"/>
  <c r="E342" i="3"/>
  <c r="E370" i="3"/>
  <c r="E22" i="3"/>
  <c r="E65" i="3"/>
  <c r="H26" i="43"/>
  <c r="N370" i="46"/>
  <c r="E26" i="43"/>
  <c r="J26" i="43"/>
  <c r="E59" i="40"/>
  <c r="D18" i="53"/>
  <c r="B35" i="72" s="1"/>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40"/>
  <c r="AC10" i="40" s="1"/>
  <c r="H10" i="39"/>
  <c r="U10" i="39" s="1"/>
  <c r="F10" i="40"/>
  <c r="S10" i="40" s="1"/>
  <c r="J10" i="39"/>
  <c r="W10" i="39" s="1"/>
  <c r="H10" i="40"/>
  <c r="AB10" i="40" s="1"/>
  <c r="C7" i="43"/>
  <c r="C5" i="43" s="1"/>
  <c r="D10" i="52"/>
  <c r="D125" i="9"/>
  <c r="D11" i="52" s="1"/>
  <c r="B7" i="74"/>
  <c r="C7" i="74" s="1"/>
  <c r="F59" i="67"/>
  <c r="H7" i="37"/>
  <c r="AB7"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C16" i="67"/>
  <c r="G1" i="73"/>
  <c r="AE6" i="1"/>
  <c r="AB23" i="40" l="1"/>
  <c r="U23" i="40"/>
  <c r="M6" i="1"/>
  <c r="M16" i="1" s="1"/>
  <c r="T60" i="71"/>
  <c r="D60" i="71"/>
  <c r="C30" i="37"/>
  <c r="F30" i="37" s="1"/>
  <c r="B14" i="74"/>
  <c r="J30" i="37"/>
  <c r="D56" i="71"/>
  <c r="T56" i="71"/>
  <c r="D26" i="43"/>
  <c r="C25" i="43" s="1"/>
  <c r="C17" i="71"/>
  <c r="D18" i="71"/>
  <c r="D36" i="71"/>
  <c r="T36" i="71"/>
  <c r="P65" i="71"/>
  <c r="P66" i="71"/>
  <c r="N66" i="71"/>
  <c r="N65" i="71"/>
  <c r="B40" i="1"/>
  <c r="L36" i="43" s="1"/>
  <c r="P36" i="43" s="1"/>
  <c r="H6" i="3"/>
  <c r="E11" i="71"/>
  <c r="E10" i="71" s="1"/>
  <c r="E9" i="71" s="1"/>
  <c r="E8" i="71" s="1"/>
  <c r="E7" i="71" s="1"/>
  <c r="E6" i="71" s="1"/>
  <c r="E5" i="71" s="1"/>
  <c r="V12" i="71"/>
  <c r="Q66" i="71"/>
  <c r="Q65" i="71"/>
  <c r="B11" i="71"/>
  <c r="B10" i="71" s="1"/>
  <c r="B9" i="71" s="1"/>
  <c r="B8" i="71" s="1"/>
  <c r="B7" i="71" s="1"/>
  <c r="B6" i="71" s="1"/>
  <c r="B5" i="71" s="1"/>
  <c r="S12" i="71"/>
  <c r="J83" i="43"/>
  <c r="D83" i="43"/>
  <c r="D86" i="43"/>
  <c r="J86" i="43"/>
  <c r="D89" i="43"/>
  <c r="J89" i="43"/>
  <c r="D84" i="43"/>
  <c r="J84" i="43"/>
  <c r="D90" i="43"/>
  <c r="J90" i="43"/>
  <c r="D87" i="43"/>
  <c r="J87" i="43"/>
  <c r="D88" i="43"/>
  <c r="J88" i="43"/>
  <c r="E65" i="39"/>
  <c r="E69" i="39"/>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S7" i="37"/>
  <c r="I40" i="36"/>
  <c r="J40" i="36" s="1"/>
  <c r="S7" i="33"/>
  <c r="AA7" i="33"/>
  <c r="R48" i="33" s="1"/>
  <c r="G53" i="34"/>
  <c r="H53" i="34" s="1"/>
  <c r="G54" i="34"/>
  <c r="H54" i="34" s="1"/>
  <c r="G40" i="36"/>
  <c r="H40" i="36" s="1"/>
  <c r="G41" i="36"/>
  <c r="H41" i="36" s="1"/>
  <c r="G48" i="35"/>
  <c r="U7" i="33"/>
  <c r="AB7" i="33"/>
  <c r="T48" i="33" s="1"/>
  <c r="G48" i="33" s="1"/>
  <c r="J24" i="67"/>
  <c r="C53" i="67"/>
  <c r="C48" i="67" s="1"/>
  <c r="C53" i="15"/>
  <c r="C48" i="15" s="1"/>
  <c r="C66" i="15" s="1"/>
  <c r="M27" i="67"/>
  <c r="C16" i="15"/>
  <c r="F41" i="15"/>
  <c r="F41" i="67"/>
  <c r="M27" i="15"/>
  <c r="H30" i="37" l="1"/>
  <c r="U30" i="37" s="1"/>
  <c r="O6" i="1"/>
  <c r="O16" i="1" s="1"/>
  <c r="F69" i="67"/>
  <c r="D33" i="43"/>
  <c r="D1" i="43" s="1"/>
  <c r="C14" i="74"/>
  <c r="AA30" i="37"/>
  <c r="R42" i="37" s="1"/>
  <c r="S30" i="37"/>
  <c r="C16" i="71"/>
  <c r="D17" i="71"/>
  <c r="AB30" i="37"/>
  <c r="T42" i="37" s="1"/>
  <c r="G42" i="37" s="1"/>
  <c r="AC30" i="37"/>
  <c r="V42" i="37" s="1"/>
  <c r="I42" i="37" s="1"/>
  <c r="I46" i="37" s="1"/>
  <c r="J46" i="37" s="1"/>
  <c r="W30" i="37"/>
  <c r="F25" i="12"/>
  <c r="C26" i="12" s="1"/>
  <c r="D25" i="12" s="1"/>
  <c r="L37" i="43"/>
  <c r="P37" i="43" s="1"/>
  <c r="F22" i="68"/>
  <c r="C44" i="68" s="1"/>
  <c r="D41" i="68" s="1"/>
  <c r="F24" i="67"/>
  <c r="C24" i="67" s="1"/>
  <c r="F24" i="15"/>
  <c r="C24" i="15" s="1"/>
  <c r="F22" i="11"/>
  <c r="C44" i="11" s="1"/>
  <c r="D41" i="11" s="1"/>
  <c r="F22" i="69"/>
  <c r="F41" i="69" s="1"/>
  <c r="O36" i="43"/>
  <c r="N36" i="43"/>
  <c r="M36" i="43"/>
  <c r="Q36" i="43"/>
  <c r="E83" i="43"/>
  <c r="B81" i="43" s="1"/>
  <c r="C28" i="43" s="1"/>
  <c r="D116" i="43"/>
  <c r="E49" i="34"/>
  <c r="E54" i="34" s="1"/>
  <c r="F54" i="34" s="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D19" i="6"/>
  <c r="C18" i="4"/>
  <c r="D23" i="6"/>
  <c r="D5" i="6"/>
  <c r="D12" i="6"/>
  <c r="D11" i="6"/>
  <c r="D13" i="6"/>
  <c r="D28" i="6"/>
  <c r="E61" i="40"/>
  <c r="H26" i="6"/>
  <c r="P14" i="1"/>
  <c r="P16" i="1" s="1"/>
  <c r="C11" i="12" s="1"/>
  <c r="N16" i="1"/>
  <c r="L16" i="1"/>
  <c r="H67" i="39"/>
  <c r="G69" i="39"/>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G63" i="40"/>
  <c r="F65" i="40"/>
  <c r="C37" i="36"/>
  <c r="C36" i="36"/>
  <c r="G58" i="21"/>
  <c r="C60" i="15"/>
  <c r="C66" i="67"/>
  <c r="C60" i="67"/>
  <c r="D10" i="69"/>
  <c r="C34" i="69"/>
  <c r="D10" i="68"/>
  <c r="C17" i="67"/>
  <c r="C14" i="67"/>
  <c r="C17" i="15"/>
  <c r="C26" i="68" l="1"/>
  <c r="D22" i="68" s="1"/>
  <c r="R43" i="37"/>
  <c r="E42" i="37"/>
  <c r="F41" i="68"/>
  <c r="O37" i="43"/>
  <c r="M37" i="43"/>
  <c r="C26" i="69"/>
  <c r="D22" i="69" s="1"/>
  <c r="N37" i="43"/>
  <c r="Q37" i="43"/>
  <c r="G46" i="37"/>
  <c r="H46" i="37" s="1"/>
  <c r="G47" i="37"/>
  <c r="H47" i="37" s="1"/>
  <c r="D16" i="71"/>
  <c r="U16" i="71" s="1"/>
  <c r="T16" i="71"/>
  <c r="C15" i="71"/>
  <c r="C26" i="11"/>
  <c r="D22" i="11" s="1"/>
  <c r="C23" i="11"/>
  <c r="C24" i="11"/>
  <c r="C44" i="69"/>
  <c r="D41" i="69" s="1"/>
  <c r="T15" i="43"/>
  <c r="V15" i="43" s="1"/>
  <c r="T11" i="43"/>
  <c r="V11" i="43" s="1"/>
  <c r="T7" i="43"/>
  <c r="V7" i="43" s="1"/>
  <c r="T14" i="43"/>
  <c r="V14" i="43" s="1"/>
  <c r="T10" i="43"/>
  <c r="V10" i="43" s="1"/>
  <c r="T4" i="43"/>
  <c r="V4" i="43" s="1"/>
  <c r="T2" i="43"/>
  <c r="V2" i="43" s="1"/>
  <c r="T5" i="43"/>
  <c r="V5" i="43" s="1"/>
  <c r="C40" i="43"/>
  <c r="C41" i="43"/>
  <c r="C42" i="43"/>
  <c r="C39" i="43"/>
  <c r="C38" i="43"/>
  <c r="T13" i="43"/>
  <c r="V13" i="43" s="1"/>
  <c r="T9" i="43"/>
  <c r="V9" i="43" s="1"/>
  <c r="T16" i="43"/>
  <c r="V16" i="43" s="1"/>
  <c r="T12" i="43"/>
  <c r="V12" i="43" s="1"/>
  <c r="T8" i="43"/>
  <c r="V8" i="43" s="1"/>
  <c r="T3" i="43"/>
  <c r="V3" i="43" s="1"/>
  <c r="T6" i="43"/>
  <c r="V6" i="43" s="1"/>
  <c r="C33" i="43"/>
  <c r="C6" i="69" s="1"/>
  <c r="C7" i="69" s="1"/>
  <c r="C37" i="43"/>
  <c r="D30" i="6"/>
  <c r="C25" i="11"/>
  <c r="H24" i="6"/>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J19" i="67"/>
  <c r="C34" i="68"/>
  <c r="F6" i="67"/>
  <c r="C14" i="15"/>
  <c r="F6" i="15"/>
  <c r="C5" i="69" l="1"/>
  <c r="C23" i="69" s="1"/>
  <c r="C14" i="71"/>
  <c r="D15" i="71"/>
  <c r="C6" i="67"/>
  <c r="C6" i="15"/>
  <c r="C22" i="11"/>
  <c r="C31" i="11" s="1"/>
  <c r="E37" i="43"/>
  <c r="G37" i="43"/>
  <c r="I37" i="43" s="1"/>
  <c r="E39" i="43"/>
  <c r="G39" i="43"/>
  <c r="I39" i="43" s="1"/>
  <c r="E41" i="43"/>
  <c r="G41" i="43"/>
  <c r="I41" i="43" s="1"/>
  <c r="C34" i="43"/>
  <c r="E34" i="43" s="1"/>
  <c r="E33" i="43"/>
  <c r="G38" i="43"/>
  <c r="I38" i="43" s="1"/>
  <c r="E38" i="43"/>
  <c r="E42" i="43"/>
  <c r="G42" i="43"/>
  <c r="I42" i="43" s="1"/>
  <c r="E40" i="43"/>
  <c r="G40" i="43"/>
  <c r="I40" i="43" s="1"/>
  <c r="C18" i="12"/>
  <c r="E2" i="70"/>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F7" i="21" l="1"/>
  <c r="D14" i="71"/>
  <c r="C13" i="71"/>
  <c r="C32" i="15"/>
  <c r="C10" i="15"/>
  <c r="C5" i="15" s="1"/>
  <c r="C38" i="15" s="1"/>
  <c r="C33" i="15"/>
  <c r="C32" i="67"/>
  <c r="C10" i="67"/>
  <c r="C5" i="67" s="1"/>
  <c r="C38" i="67" s="1"/>
  <c r="C33" i="67"/>
  <c r="J7" i="21"/>
  <c r="C31" i="43"/>
  <c r="C30" i="43"/>
  <c r="C21" i="12"/>
  <c r="C22" i="12" s="1"/>
  <c r="C30" i="12" s="1"/>
  <c r="C28" i="12"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E6" i="76"/>
  <c r="D13" i="71" l="1"/>
  <c r="C12" i="71"/>
  <c r="J7" i="35"/>
  <c r="AC7" i="35" s="1"/>
  <c r="V38" i="35" s="1"/>
  <c r="I38" i="35" s="1"/>
  <c r="C27" i="12"/>
  <c r="C25" i="12" s="1"/>
  <c r="C32" i="12" s="1"/>
  <c r="B2" i="12" s="1"/>
  <c r="B3" i="12" s="1"/>
  <c r="E2" i="76"/>
  <c r="B2" i="43"/>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J65" i="40"/>
  <c r="K63" i="40"/>
  <c r="I52" i="21"/>
  <c r="J52" i="21" s="1"/>
  <c r="U7" i="35"/>
  <c r="AB7" i="35"/>
  <c r="T38" i="35" s="1"/>
  <c r="G38" i="35" s="1"/>
  <c r="R49" i="21"/>
  <c r="E48" i="21"/>
  <c r="G52" i="21"/>
  <c r="H52" i="21" s="1"/>
  <c r="G53" i="21"/>
  <c r="H53" i="21" s="1"/>
  <c r="F7" i="35"/>
  <c r="M21" i="15"/>
  <c r="B6" i="76"/>
  <c r="M21" i="67"/>
  <c r="F35" i="15"/>
  <c r="F35" i="67"/>
  <c r="C11" i="71" l="1"/>
  <c r="D12" i="71"/>
  <c r="U12" i="71" s="1"/>
  <c r="T12" i="71"/>
  <c r="B2" i="76"/>
  <c r="B3" i="76" s="1"/>
  <c r="B3" i="43"/>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0" i="71" l="1"/>
  <c r="D11" i="71"/>
  <c r="C58" i="67"/>
  <c r="C67" i="67" s="1"/>
  <c r="C68" i="67" s="1"/>
  <c r="C71" i="67" s="1"/>
  <c r="J16" i="67"/>
  <c r="J25" i="67" s="1"/>
  <c r="J26" i="67" s="1"/>
  <c r="J29" i="67" s="1"/>
  <c r="C30" i="67"/>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39" i="67" l="1"/>
  <c r="Q69" i="67" s="1"/>
  <c r="Q68" i="67" s="1"/>
  <c r="I38" i="67"/>
  <c r="D10" i="71"/>
  <c r="C9" i="7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Q69" i="15" l="1"/>
  <c r="Q68" i="15" s="1"/>
  <c r="H38" i="15"/>
  <c r="C40" i="67"/>
  <c r="C45" i="67" s="1"/>
  <c r="C46" i="67" s="1"/>
  <c r="C80" i="67"/>
  <c r="C79" i="67" s="1"/>
  <c r="C8" i="71"/>
  <c r="D9" i="71"/>
  <c r="B2" i="33"/>
  <c r="B3" i="33" s="1"/>
  <c r="C80" i="15"/>
  <c r="C79" i="15" s="1"/>
  <c r="C40" i="15"/>
  <c r="C46" i="15" s="1"/>
  <c r="H7" i="39"/>
  <c r="J7" i="39"/>
  <c r="S7" i="39"/>
  <c r="AA7" i="39"/>
  <c r="R47" i="39" s="1"/>
  <c r="O63" i="40"/>
  <c r="O65" i="40" s="1"/>
  <c r="N65" i="40"/>
  <c r="D2" i="37"/>
  <c r="D2" i="35"/>
  <c r="D2" i="34"/>
  <c r="L51" i="15"/>
  <c r="D2" i="36"/>
  <c r="L51" i="67"/>
  <c r="L57" i="67" l="1"/>
  <c r="L60" i="67" s="1"/>
  <c r="L46" i="67" s="1"/>
  <c r="D2" i="67" s="1"/>
  <c r="B2" i="67" s="1"/>
  <c r="C83" i="67"/>
  <c r="C82" i="67" s="1"/>
  <c r="Q65" i="67"/>
  <c r="Q67" i="67"/>
  <c r="C43" i="67"/>
  <c r="Q56" i="67"/>
  <c r="Q47" i="67"/>
  <c r="Q53" i="67" s="1"/>
  <c r="C7" i="71"/>
  <c r="D8" i="71"/>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AO10" i="1"/>
  <c r="AO11" i="1"/>
  <c r="AO9" i="1"/>
  <c r="AO7" i="1"/>
  <c r="Q66" i="67" l="1"/>
  <c r="Q75" i="67" s="1"/>
  <c r="B3" i="67"/>
  <c r="Q57" i="67"/>
  <c r="Q62" i="67" s="1"/>
  <c r="D7" i="71"/>
  <c r="C6"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6" i="71" l="1"/>
  <c r="C5" i="71"/>
  <c r="D5" i="71" s="1"/>
  <c r="M24" i="43" s="1"/>
  <c r="D102" i="9"/>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20" i="9"/>
  <c r="D35" i="9"/>
  <c r="D103" i="9" l="1"/>
  <c r="C42" i="40"/>
  <c r="C43" i="40"/>
  <c r="C6" i="68" s="1"/>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s="1"/>
  <c r="B3" i="40" s="1"/>
  <c r="C7" i="68"/>
  <c r="C5" i="68" s="1"/>
  <c r="C23" i="68" l="1"/>
  <c r="C20" i="68"/>
  <c r="C28" i="68" l="1"/>
  <c r="C27" i="68" s="1"/>
  <c r="C25" i="68"/>
  <c r="C22" i="68" s="1"/>
  <c r="C31" i="68" l="1"/>
  <c r="C52" i="68" s="1"/>
  <c r="B2" i="68" s="1"/>
  <c r="C19" i="9"/>
  <c r="C102" i="9" l="1"/>
  <c r="C21" i="9"/>
  <c r="D22" i="9"/>
  <c r="G19" i="9"/>
  <c r="B3" i="68"/>
  <c r="C57" i="68"/>
  <c r="C56" i="68" s="1"/>
  <c r="C20" i="9"/>
  <c r="C103" i="9" l="1"/>
  <c r="G20" i="9"/>
  <c r="G22" i="9" s="1"/>
  <c r="D14" i="74"/>
  <c r="G21" i="9"/>
  <c r="C32" i="9"/>
  <c r="C35" i="9" l="1"/>
  <c r="G35" i="9" s="1"/>
  <c r="G14" i="74"/>
  <c r="B6" i="74" s="1"/>
  <c r="D6" i="74" s="1"/>
  <c r="F14" i="74"/>
  <c r="E14" i="74"/>
  <c r="B5" i="74"/>
  <c r="D5" i="74" s="1"/>
  <c r="H118" i="9"/>
  <c r="H101" i="9" s="1"/>
  <c r="H119" i="9" l="1"/>
  <c r="H5" i="52" s="1"/>
  <c r="I118" i="9"/>
  <c r="H102" i="9" s="1"/>
  <c r="C5" i="74" s="1"/>
  <c r="F118" i="9"/>
  <c r="F119" i="9" s="1"/>
  <c r="F5" i="52" s="1"/>
  <c r="B53" i="72" s="1"/>
  <c r="C34" i="9"/>
  <c r="G34" i="9" s="1"/>
  <c r="H107" i="9"/>
  <c r="M49" i="9" s="1"/>
  <c r="M48" i="9"/>
  <c r="H4" i="52"/>
  <c r="C104" i="9"/>
  <c r="D5" i="53"/>
  <c r="D45" i="9"/>
  <c r="D13" i="53" l="1"/>
  <c r="B30" i="72" s="1"/>
  <c r="C105" i="9"/>
  <c r="D7" i="53"/>
  <c r="B21" i="72" s="1"/>
  <c r="I4" i="52"/>
  <c r="H108" i="9"/>
  <c r="C6" i="74" s="1"/>
  <c r="D118" i="9"/>
  <c r="D119" i="9" s="1"/>
  <c r="D5" i="52" s="1"/>
  <c r="B49" i="72" s="1"/>
  <c r="G118" i="9"/>
  <c r="F4" i="52"/>
  <c r="B51" i="72" s="1"/>
  <c r="D122" i="9"/>
  <c r="D123" i="9" s="1"/>
  <c r="D9" i="52" s="1"/>
  <c r="D4" i="52"/>
  <c r="B47" i="72" s="1"/>
  <c r="D55" i="9"/>
  <c r="M53" i="9" s="1"/>
  <c r="C85" i="9"/>
  <c r="C93" i="9"/>
  <c r="C86" i="9" s="1"/>
  <c r="C64" i="9"/>
  <c r="C63" i="9" s="1"/>
  <c r="C67" i="9" s="1"/>
  <c r="C72" i="9"/>
  <c r="D52" i="9"/>
  <c r="C78" i="9"/>
  <c r="C73" i="9" s="1"/>
  <c r="D53" i="9"/>
  <c r="D6" i="53"/>
  <c r="B22" i="72" s="1"/>
  <c r="B20" i="72"/>
  <c r="D14" i="53"/>
  <c r="B32" i="72" s="1"/>
  <c r="L63" i="9"/>
  <c r="M63" i="9" s="1"/>
  <c r="L64" i="9"/>
  <c r="M64" i="9" s="1"/>
  <c r="L65" i="9"/>
  <c r="M65" i="9" s="1"/>
  <c r="L66" i="9"/>
  <c r="M66" i="9" s="1"/>
  <c r="L67" i="9"/>
  <c r="M67" i="9" s="1"/>
  <c r="L68" i="9"/>
  <c r="M68" i="9" s="1"/>
  <c r="D15" i="53" l="1"/>
  <c r="B31" i="72" s="1"/>
  <c r="D8" i="52"/>
  <c r="G4" i="52"/>
  <c r="B52" i="72" s="1"/>
  <c r="E118" i="9"/>
  <c r="E4" i="52" s="1"/>
  <c r="B48" i="72" s="1"/>
  <c r="M69" i="9"/>
  <c r="N69" i="9" s="1"/>
  <c r="D59" i="9"/>
  <c r="M55" i="9" s="1"/>
  <c r="C68" i="9"/>
  <c r="D54" i="9" s="1"/>
  <c r="C95" i="9"/>
  <c r="C79" i="9"/>
  <c r="C96" i="9" l="1"/>
  <c r="E96" i="9" s="1"/>
  <c r="E97" i="9" s="1"/>
  <c r="C80" i="9"/>
  <c r="E80" i="9" s="1"/>
  <c r="E81" i="9" s="1"/>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<sst xmlns="http://schemas.openxmlformats.org/spreadsheetml/2006/main" count="8543" uniqueCount="3621">
  <si>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</si>
  <si>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</si>
  <si>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</si>
  <si>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</si>
  <si>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</si>
  <si>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</si>
  <si>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</si>
  <si>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</si>
  <si>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</si>
  <si>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</si>
  <si>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</si>
  <si>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</si>
  <si>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</si>
  <si>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</si>
  <si>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</si>
  <si>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</si>
  <si>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</si>
  <si>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</si>
  <si>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</si>
  <si>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</si>
  <si>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</si>
  <si>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</si>
  <si>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</si>
  <si>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</si>
  <si>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</si>
  <si>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</si>
  <si>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</si>
  <si>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</si>
  <si>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</si>
  <si>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</si>
  <si>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</si>
  <si>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</si>
  <si>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</si>
  <si>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</si>
  <si>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</si>
  <si>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</si>
  <si>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</si>
  <si>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</si>
  <si>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</si>
  <si>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</si>
  <si>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</si>
  <si>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</si>
  <si>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</si>
  <si>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</si>
  <si>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</si>
  <si>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</si>
  <si>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</si>
  <si>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</si>
  <si>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</si>
  <si>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</si>
  <si>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</si>
  <si>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</si>
  <si>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</si>
  <si>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</si>
  <si>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</si>
  <si>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</si>
  <si>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</si>
  <si>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</si>
  <si>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</si>
  <si>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</si>
  <si>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</si>
  <si>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</si>
  <si>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</si>
  <si>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</si>
  <si>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</si>
  <si>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</si>
  <si>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</si>
  <si>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</si>
  <si>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</si>
  <si>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</si>
  <si>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</si>
  <si>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</si>
  <si>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</si>
  <si>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</si>
  <si>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</si>
  <si>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</si>
  <si>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</si>
  <si>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</si>
  <si>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</si>
  <si>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</si>
  <si>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</si>
  <si>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</si>
  <si>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</si>
  <si>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</si>
  <si>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</si>
  <si>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</si>
  <si>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</si>
  <si>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</si>
  <si>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</si>
  <si>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</si>
  <si>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</si>
  <si>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</si>
  <si>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</si>
  <si>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</si>
  <si>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</si>
  <si>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</si>
  <si>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</si>
  <si>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</si>
  <si>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</si>
  <si>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</si>
  <si>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</si>
  <si>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</si>
  <si>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</si>
  <si>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</si>
  <si>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</si>
  <si>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</si>
  <si>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</si>
  <si>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</si>
  <si>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</si>
  <si>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</si>
  <si>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</si>
  <si>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</si>
  <si>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</si>
  <si>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</si>
  <si>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</si>
  <si>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</si>
  <si>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</si>
  <si>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</si>
  <si>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</si>
  <si>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</si>
  <si>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</si>
  <si>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</si>
  <si>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</si>
  <si>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</si>
  <si>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</si>
  <si>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</si>
  <si>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</si>
  <si>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</si>
  <si>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</si>
  <si>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</si>
  <si>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</si>
  <si>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</si>
  <si>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</si>
  <si>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</si>
  <si>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</si>
  <si>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</si>
  <si>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</si>
  <si>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</si>
  <si>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</si>
  <si>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</si>
  <si>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</si>
  <si>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</si>
  <si>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</si>
  <si>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</si>
  <si>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</si>
  <si>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</si>
  <si>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</si>
  <si>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</si>
  <si>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</si>
  <si>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</si>
  <si>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</si>
  <si>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</si>
  <si>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</si>
  <si>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</si>
  <si>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</si>
  <si>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</si>
  <si>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</si>
  <si>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</si>
  <si>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</si>
  <si>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</si>
  <si>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</si>
  <si>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</si>
  <si>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</si>
  <si>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</si>
  <si>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</si>
  <si>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</si>
  <si>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</si>
  <si>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</si>
  <si>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</si>
  <si>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</si>
  <si>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</si>
  <si>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</si>
  <si>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</si>
  <si>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</si>
  <si>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</si>
  <si>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</si>
  <si>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</si>
  <si>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</si>
  <si>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</si>
  <si>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</si>
  <si>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</si>
  <si>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</si>
  <si>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</si>
  <si>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</si>
  <si>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</si>
  <si>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</si>
  <si>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</si>
  <si>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</si>
  <si>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</si>
  <si>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</si>
  <si>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</si>
  <si>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</si>
  <si>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</si>
  <si>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</si>
  <si>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</si>
  <si>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</si>
  <si>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</si>
  <si>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</si>
  <si>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</si>
  <si>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</si>
  <si>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</si>
  <si>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</si>
  <si>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</si>
  <si>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</si>
  <si>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</si>
  <si>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</si>
  <si>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</si>
  <si>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</si>
  <si>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</si>
  <si>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</si>
  <si>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</si>
  <si>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</si>
  <si>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</si>
  <si>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</si>
  <si>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</si>
  <si>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</si>
  <si>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</si>
  <si>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</si>
  <si>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</si>
  <si>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</si>
  <si>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</si>
  <si>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</si>
  <si>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</si>
  <si>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</si>
  <si>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</si>
  <si>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</si>
  <si>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</si>
  <si>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</si>
  <si>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</si>
  <si>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</si>
  <si>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</si>
  <si>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</si>
  <si>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</si>
  <si>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</si>
  <si>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</si>
  <si>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</si>
  <si>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</si>
  <si>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</si>
  <si>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</si>
  <si>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</si>
  <si>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</si>
  <si>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</si>
  <si>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</si>
  <si>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</si>
  <si>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</si>
  <si>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</si>
  <si>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</si>
  <si>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</si>
  <si>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</si>
  <si>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</si>
  <si>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</si>
  <si>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</si>
  <si>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</si>
  <si>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</si>
  <si>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</si>
  <si>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</si>
  <si>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</si>
  <si>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</si>
  <si>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</si>
  <si>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</si>
  <si>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</si>
  <si>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</si>
  <si>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</si>
  <si>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</si>
  <si>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</si>
  <si>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</si>
  <si>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</si>
  <si>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</si>
  <si>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</si>
  <si>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</si>
  <si>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</si>
  <si>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</si>
  <si>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</si>
  <si>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</si>
  <si>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</si>
  <si>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</si>
  <si>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</si>
  <si>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</si>
  <si>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</si>
  <si>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</si>
  <si>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</si>
  <si>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</si>
  <si>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</si>
  <si>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</si>
  <si>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</si>
  <si>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</si>
  <si>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</si>
  <si>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</si>
  <si>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</si>
  <si>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</si>
  <si>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</si>
  <si>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</si>
  <si>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</si>
  <si>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</si>
  <si>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</si>
  <si>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</si>
  <si>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</si>
  <si>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</si>
  <si>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</si>
  <si>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</si>
  <si>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</si>
  <si>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</si>
  <si>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</si>
  <si>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</si>
  <si>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</si>
  <si>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</si>
  <si>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</si>
  <si>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</si>
  <si>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</si>
  <si>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</si>
  <si>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</si>
  <si>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</si>
  <si>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</si>
  <si>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</si>
  <si>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</si>
  <si>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</si>
  <si>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</si>
  <si>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</si>
  <si>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</si>
  <si>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</si>
  <si>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</si>
  <si>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</si>
  <si>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</si>
  <si>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</si>
  <si>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</si>
  <si>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</si>
  <si>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</si>
  <si>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</si>
  <si>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</si>
  <si>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</si>
  <si>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</si>
  <si>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</si>
  <si>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</si>
  <si>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</si>
  <si>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</si>
  <si>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</si>
  <si>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</si>
  <si>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</si>
  <si>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</si>
  <si>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</si>
  <si>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</si>
  <si>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</si>
  <si>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</si>
  <si>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</si>
  <si>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</si>
  <si>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</si>
  <si>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</si>
  <si>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</si>
  <si>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</si>
  <si>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</si>
  <si>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</si>
  <si>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</si>
  <si>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</si>
  <si>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</si>
  <si>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</si>
  <si>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</si>
  <si>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</si>
  <si>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</si>
  <si>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</si>
  <si>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</si>
  <si>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</si>
  <si>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</si>
  <si>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</si>
  <si>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</si>
  <si>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</si>
  <si>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</si>
  <si>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</si>
  <si>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</si>
  <si>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</si>
  <si>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</si>
  <si>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</si>
  <si>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</si>
  <si>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</si>
  <si>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</si>
  <si>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</si>
  <si>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</si>
  <si>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</si>
  <si>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</si>
  <si>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</si>
  <si>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</si>
  <si>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</si>
  <si>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</si>
  <si>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</si>
  <si>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</si>
  <si>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</si>
  <si>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</si>
  <si>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</si>
  <si>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</si>
  <si>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</si>
  <si>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</si>
  <si>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</si>
  <si>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</si>
  <si>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</si>
  <si>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</si>
  <si>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</si>
  <si>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</si>
  <si>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</si>
  <si>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</si>
  <si>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</si>
  <si>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</si>
  <si>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</si>
  <si>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</si>
  <si>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</si>
  <si>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</si>
  <si>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</si>
  <si>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</si>
  <si>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</si>
  <si>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</si>
  <si>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</si>
  <si>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</si>
  <si>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</si>
  <si>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</si>
  <si>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</si>
  <si>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</si>
  <si>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</si>
  <si>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</si>
  <si>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</si>
  <si>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</si>
  <si>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</si>
  <si>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</si>
  <si>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</si>
  <si>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</si>
  <si>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</si>
  <si>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</si>
  <si>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</si>
  <si>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</si>
  <si>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</si>
  <si>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</si>
  <si>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</si>
  <si>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</si>
  <si>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</si>
  <si>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</si>
  <si>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</si>
  <si>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</si>
  <si>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</si>
  <si>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</si>
  <si>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</si>
  <si>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</si>
  <si>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</si>
  <si>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</si>
  <si>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</si>
  <si>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</si>
  <si>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</si>
  <si>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</si>
  <si>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</si>
  <si>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</si>
  <si>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</si>
  <si>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</si>
  <si>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</si>
  <si>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</si>
  <si>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</si>
  <si>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</si>
  <si>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</si>
  <si>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</si>
  <si>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</si>
  <si>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</si>
  <si>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</si>
  <si>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</si>
  <si>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</si>
  <si>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</si>
  <si>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</si>
  <si>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</si>
  <si>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</si>
  <si>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</si>
  <si>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</si>
  <si>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</si>
  <si>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</si>
  <si>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</si>
  <si>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</si>
  <si>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</si>
  <si>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</si>
  <si>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</si>
  <si>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</si>
  <si>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</si>
  <si>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</si>
  <si>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</si>
  <si>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</si>
  <si>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</si>
  <si>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</si>
  <si>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</si>
  <si>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</si>
  <si>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</si>
  <si>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</si>
  <si>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</si>
  <si>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</si>
  <si>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</si>
  <si>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</si>
  <si>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</si>
  <si>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</si>
  <si>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</si>
  <si>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</si>
  <si>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</si>
  <si>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</si>
  <si>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</si>
  <si>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</si>
  <si>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</si>
  <si>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</si>
  <si>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</si>
  <si>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</si>
  <si>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</si>
  <si>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</si>
  <si>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</si>
  <si>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</si>
  <si>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</si>
  <si>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</si>
  <si>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</si>
  <si>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</si>
  <si>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</si>
  <si>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</si>
  <si>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</si>
  <si>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</si>
  <si>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</si>
  <si>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</si>
  <si>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</si>
  <si>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</si>
  <si>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</si>
  <si>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</si>
  <si>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</si>
  <si>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</si>
  <si>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</si>
  <si>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</si>
  <si>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</si>
  <si>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</si>
  <si>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</si>
  <si>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</si>
  <si>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</si>
  <si>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</si>
  <si>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</si>
  <si>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</si>
  <si>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</si>
  <si>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</si>
  <si>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</si>
  <si>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</si>
  <si>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</si>
  <si>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</si>
  <si>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</si>
  <si>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</si>
  <si>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</si>
  <si>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</si>
  <si>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</si>
  <si>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</si>
  <si>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</si>
  <si>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</si>
  <si>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</si>
  <si>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</si>
  <si>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</si>
  <si>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</si>
  <si>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</si>
  <si>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</si>
  <si>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</si>
  <si>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</si>
  <si>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</si>
  <si>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</si>
  <si>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</si>
  <si>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</si>
  <si>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</si>
  <si>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</si>
  <si>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</si>
  <si>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</si>
  <si>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</si>
  <si>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</si>
  <si>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</si>
  <si>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</si>
  <si>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</si>
  <si>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</si>
  <si>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</si>
  <si>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</si>
  <si>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</si>
  <si>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</si>
  <si>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</si>
  <si>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</si>
  <si>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</si>
  <si>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</si>
  <si>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</si>
  <si>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</si>
  <si>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</si>
  <si>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</si>
  <si>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</si>
  <si>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</si>
  <si>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</si>
  <si>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</si>
  <si>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</si>
  <si>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</si>
  <si>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</si>
  <si>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</si>
  <si>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</si>
  <si>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</si>
  <si>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</si>
  <si>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</si>
  <si>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</si>
  <si>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</si>
  <si>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</si>
  <si>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</si>
  <si>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</si>
  <si>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</si>
  <si>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</si>
  <si>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</si>
  <si>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</si>
  <si>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</si>
  <si>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</si>
  <si>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</si>
  <si>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</si>
  <si>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</si>
  <si>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</si>
  <si>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</si>
  <si>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</si>
  <si>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</si>
  <si>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</si>
  <si>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</si>
  <si>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</si>
  <si>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</si>
  <si>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</si>
  <si>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</si>
  <si>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</si>
  <si>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</si>
  <si>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</si>
  <si>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</si>
  <si>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</si>
  <si>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</si>
  <si>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</si>
  <si>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</si>
  <si>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</si>
  <si>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</si>
  <si>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</si>
  <si>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</si>
  <si>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</si>
  <si>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</si>
  <si>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</si>
  <si>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</si>
  <si>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</si>
  <si>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</si>
  <si>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</si>
  <si>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</si>
  <si>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</si>
  <si>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</si>
  <si>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</si>
  <si>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</si>
  <si>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</si>
  <si>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</si>
  <si>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</si>
  <si>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</si>
  <si>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</si>
  <si>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</si>
  <si>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</si>
  <si>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</si>
  <si>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</si>
  <si>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</si>
  <si>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</si>
  <si>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</si>
  <si>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</si>
  <si>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</si>
  <si>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</si>
  <si>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</si>
  <si>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</si>
  <si>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</si>
  <si>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</si>
  <si>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</si>
  <si>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</si>
  <si>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</si>
  <si>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</si>
  <si>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</si>
  <si>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</si>
  <si>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</si>
  <si>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</si>
  <si>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</si>
  <si>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</si>
  <si>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</si>
  <si>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</si>
  <si>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</si>
  <si>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</si>
  <si>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</si>
  <si>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</si>
  <si>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</si>
  <si>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</si>
  <si>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</si>
  <si>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</si>
  <si>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</si>
  <si>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</si>
  <si>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</si>
  <si>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</si>
  <si>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</si>
  <si>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</si>
  <si>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</si>
  <si>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</si>
  <si>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</si>
  <si>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</si>
  <si>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</si>
  <si>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</si>
  <si>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</si>
  <si>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</si>
  <si>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</si>
  <si>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</si>
  <si>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</si>
  <si>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</si>
  <si>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</si>
  <si>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</si>
  <si>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</si>
  <si>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</si>
  <si>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</si>
  <si>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</si>
  <si>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</si>
  <si>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</si>
  <si>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</si>
  <si>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</si>
  <si>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</si>
  <si>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</si>
  <si>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</si>
  <si>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</si>
  <si>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</si>
  <si>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</si>
  <si>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</si>
  <si>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</si>
  <si>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</si>
  <si>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</si>
  <si>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</si>
  <si>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</si>
  <si>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</si>
  <si>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</si>
  <si>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</si>
  <si>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</si>
  <si>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</si>
  <si>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</si>
  <si>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</si>
  <si>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</si>
  <si>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</si>
  <si>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</si>
  <si>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</si>
  <si>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</si>
  <si>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</si>
  <si>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</si>
  <si>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</si>
  <si>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</si>
  <si>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</si>
  <si>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</si>
  <si>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</si>
  <si>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</si>
  <si>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</si>
  <si>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</si>
  <si>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</si>
  <si>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</si>
  <si>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</si>
  <si>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</si>
  <si>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</si>
  <si>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</si>
  <si>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</si>
  <si>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</si>
  <si>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</si>
  <si>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</si>
  <si>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</si>
  <si>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</si>
  <si>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</si>
  <si>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</si>
  <si>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</si>
  <si>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</si>
  <si>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</si>
  <si>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</si>
  <si>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</si>
  <si>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</si>
  <si>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</si>
  <si>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</si>
  <si>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</si>
  <si>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</si>
  <si>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</si>
  <si>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</si>
  <si>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</si>
  <si>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</si>
  <si>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</si>
  <si>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</si>
  <si>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</si>
  <si>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</si>
  <si>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</si>
  <si>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</si>
  <si>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</si>
  <si>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</si>
  <si>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</si>
  <si>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</si>
  <si>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</si>
  <si>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</si>
  <si>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</si>
  <si>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</si>
  <si>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</si>
  <si>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</si>
  <si>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</si>
  <si>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</si>
  <si>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</si>
  <si>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</si>
  <si>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</si>
  <si>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</si>
  <si>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</si>
  <si>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</si>
  <si>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</si>
  <si>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</si>
  <si>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</si>
  <si>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</si>
  <si>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</si>
  <si>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</si>
  <si>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</si>
  <si>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</si>
  <si>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</si>
  <si>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</si>
  <si>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</si>
  <si>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</si>
  <si>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</si>
  <si>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</si>
  <si>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</si>
  <si>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</si>
  <si>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</si>
  <si>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</si>
  <si>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</si>
  <si>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</si>
  <si>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</si>
  <si>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</si>
  <si>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</si>
  <si>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</si>
  <si>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</si>
  <si>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</si>
  <si>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</si>
  <si>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</si>
  <si>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</si>
  <si>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</si>
  <si>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</si>
  <si>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</si>
  <si>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</si>
  <si>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</si>
  <si>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</si>
  <si>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</si>
  <si>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</si>
  <si>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</si>
  <si>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</si>
  <si>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</si>
  <si>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</si>
  <si>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</si>
  <si>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</si>
  <si>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</si>
  <si>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</si>
  <si>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</si>
  <si>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</si>
  <si>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</si>
  <si>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</si>
  <si>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</si>
  <si>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</si>
  <si>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</si>
  <si>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</si>
  <si>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</si>
  <si>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</si>
  <si>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</si>
  <si>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</si>
  <si>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</si>
  <si>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</si>
  <si>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</si>
  <si>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</si>
  <si>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</si>
  <si>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</si>
  <si>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</si>
  <si>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</si>
  <si>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</si>
  <si>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</si>
  <si>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</si>
  <si>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</si>
  <si>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</si>
  <si>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</si>
  <si>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</si>
  <si>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</si>
  <si>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</si>
  <si>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</si>
  <si>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</si>
  <si>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</si>
  <si>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</si>
  <si>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</si>
  <si>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</si>
  <si>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</si>
  <si>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</si>
  <si>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</si>
  <si>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</si>
  <si>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</si>
  <si>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</si>
  <si>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</si>
  <si>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</si>
  <si>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</si>
  <si>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</si>
  <si>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</si>
  <si>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</si>
  <si>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</si>
  <si>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</si>
  <si>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</si>
  <si>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</si>
  <si>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</si>
  <si>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</si>
  <si>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</si>
  <si>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</si>
  <si>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</si>
  <si>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</si>
  <si>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</si>
  <si>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</si>
  <si>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</si>
  <si>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</si>
  <si>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</si>
  <si>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</si>
  <si>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</si>
  <si>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</si>
  <si>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</si>
  <si>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</si>
  <si>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</si>
  <si>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</si>
  <si>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</si>
  <si>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</si>
  <si>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</si>
  <si>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</si>
  <si>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</si>
  <si>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</si>
  <si>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</si>
  <si>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</si>
  <si>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</si>
  <si>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</si>
  <si>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</si>
  <si>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</si>
  <si>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</si>
  <si>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</si>
  <si>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</si>
  <si>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</si>
  <si>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</si>
  <si>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</si>
  <si>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</si>
  <si>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</si>
  <si>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</si>
  <si>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</si>
  <si>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</si>
  <si>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</si>
  <si>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</si>
  <si>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</si>
  <si>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</si>
  <si>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</si>
  <si>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</si>
  <si>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</si>
  <si>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</si>
  <si>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</si>
  <si>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</si>
  <si>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</si>
  <si>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</si>
  <si>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</si>
  <si>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</si>
  <si>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</si>
  <si>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</si>
  <si>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</si>
  <si>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</si>
  <si>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</si>
  <si>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</si>
  <si>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</si>
  <si>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</si>
  <si>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</si>
  <si>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</si>
  <si>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</si>
  <si>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</si>
  <si>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</si>
  <si>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</si>
  <si>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</si>
  <si>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</si>
  <si>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</si>
  <si>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</si>
  <si>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</si>
  <si>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</si>
  <si>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</si>
  <si>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</si>
  <si>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</si>
  <si>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</si>
  <si>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</si>
  <si>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</si>
  <si>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</si>
  <si>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</si>
  <si>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</si>
  <si>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</si>
  <si>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</si>
  <si>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</si>
  <si>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</si>
  <si>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</si>
  <si>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</si>
  <si>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</si>
  <si>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</si>
  <si>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</si>
  <si>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</si>
  <si>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</si>
  <si>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</si>
  <si>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</si>
  <si>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</si>
  <si>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</si>
  <si>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</si>
  <si>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</si>
  <si>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</si>
  <si>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</si>
  <si>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</si>
  <si>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</si>
  <si>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</si>
  <si>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</si>
  <si>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</si>
  <si>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</si>
  <si>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</si>
  <si>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</si>
  <si>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</si>
  <si>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</si>
  <si>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</si>
  <si>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</si>
  <si>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</si>
  <si>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</si>
  <si>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</si>
  <si>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</si>
  <si>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</si>
  <si>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</si>
  <si>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</si>
  <si>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</si>
  <si>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</si>
  <si>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</si>
  <si>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</si>
  <si>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</si>
  <si>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</si>
  <si>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</si>
  <si>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</si>
  <si>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</si>
  <si>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</si>
  <si>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</si>
  <si>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</si>
  <si>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</si>
  <si>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</si>
  <si>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</si>
  <si>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</si>
  <si>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</si>
  <si>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</si>
  <si>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</si>
  <si>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</si>
  <si>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</si>
  <si>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</si>
  <si>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</si>
  <si>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</si>
  <si>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</si>
  <si>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</si>
  <si>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</si>
  <si>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</si>
  <si>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</si>
  <si>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</si>
  <si>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</si>
  <si>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</si>
  <si>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</si>
  <si>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</si>
  <si>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</si>
  <si>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</si>
  <si>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</si>
  <si>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</si>
  <si>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</si>
  <si>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</si>
  <si>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</si>
  <si>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</si>
  <si>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</si>
  <si>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</si>
  <si>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</si>
  <si>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</si>
  <si>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</si>
  <si>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</si>
  <si>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</si>
  <si>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</si>
  <si>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</si>
  <si>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</si>
  <si>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</si>
  <si>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</si>
  <si>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</si>
  <si>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</si>
  <si>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</si>
  <si>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</si>
  <si>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</si>
  <si>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</si>
  <si>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</si>
  <si>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</si>
  <si>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</si>
  <si>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</si>
  <si>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</si>
  <si>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</si>
  <si>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</si>
  <si>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</si>
  <si>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</si>
  <si>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</si>
  <si>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</si>
  <si>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</si>
  <si>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</si>
  <si>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</si>
  <si>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</si>
  <si>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</si>
  <si>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</si>
  <si>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</si>
  <si>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</si>
  <si>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</si>
  <si>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</si>
  <si>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</si>
  <si>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</si>
  <si>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</si>
  <si>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</si>
  <si>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</si>
  <si>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</si>
  <si>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</si>
  <si>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</si>
  <si>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</si>
  <si>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</si>
  <si>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</si>
  <si>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</si>
  <si>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</si>
  <si>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</si>
  <si>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</si>
  <si>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</si>
  <si>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</si>
  <si>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</si>
  <si>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</si>
  <si>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</si>
  <si>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</si>
  <si>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</si>
  <si>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</si>
  <si>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</si>
  <si>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</si>
  <si>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</si>
  <si>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</si>
  <si>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</si>
  <si>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</si>
  <si>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</si>
  <si>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</si>
  <si>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</si>
  <si>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</si>
  <si>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</si>
  <si>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</si>
  <si>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</si>
  <si>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</si>
  <si>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</si>
  <si>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</si>
  <si>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</si>
  <si>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</si>
  <si>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</si>
  <si>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</si>
  <si>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</si>
  <si>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</si>
  <si>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</si>
  <si>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</si>
  <si>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</si>
  <si>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</si>
  <si>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</si>
  <si>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</si>
  <si>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</si>
  <si>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</si>
  <si>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</si>
  <si>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</si>
  <si>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</si>
  <si>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</si>
  <si>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</si>
  <si>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</si>
  <si>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</si>
  <si>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</si>
  <si>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</si>
  <si>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</si>
  <si>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</si>
  <si>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</si>
  <si>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</si>
  <si>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</si>
  <si>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</si>
  <si>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</si>
  <si>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</si>
  <si>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</si>
  <si>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</si>
  <si>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</si>
  <si>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</si>
  <si>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</si>
  <si>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</si>
  <si>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</si>
  <si>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</si>
  <si>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</si>
  <si>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</si>
  <si>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</si>
  <si>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</si>
  <si>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</si>
  <si>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</si>
  <si>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</si>
  <si>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</si>
  <si>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</si>
  <si>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</si>
  <si>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</si>
  <si>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</si>
  <si>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</si>
  <si>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</si>
  <si>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</si>
  <si>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</si>
  <si>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</si>
  <si>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</si>
  <si>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</si>
  <si>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</si>
  <si>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</si>
  <si>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</si>
  <si>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</si>
  <si>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</si>
  <si>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</si>
  <si>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</si>
  <si>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</si>
  <si>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</si>
  <si>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</si>
  <si>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</si>
  <si>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</si>
  <si>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</si>
  <si>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</si>
  <si>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</si>
  <si>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</si>
  <si>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</si>
  <si>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</si>
  <si>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</si>
  <si>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</si>
  <si>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</si>
  <si>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</si>
  <si>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</si>
  <si>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</si>
  <si>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</si>
  <si>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</si>
  <si>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</si>
  <si>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</si>
  <si>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</si>
  <si>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</si>
  <si>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</si>
  <si>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</si>
  <si>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</si>
  <si>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</si>
  <si>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</si>
  <si>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</si>
  <si>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</si>
  <si>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</si>
  <si>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</si>
  <si>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</si>
  <si>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</si>
  <si>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</si>
  <si>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</si>
  <si>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</si>
  <si>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</si>
  <si>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</si>
  <si>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</si>
  <si>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</si>
  <si>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</si>
  <si>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</si>
  <si>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</si>
  <si>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</si>
  <si>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</si>
  <si>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</si>
  <si>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</si>
  <si>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</si>
  <si>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</si>
  <si>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</si>
  <si>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</si>
  <si>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</si>
  <si>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</si>
  <si>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</si>
  <si>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</si>
  <si>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</si>
  <si>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</si>
  <si>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</si>
  <si>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</si>
  <si>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</si>
  <si>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</si>
  <si>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</si>
  <si>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</si>
  <si>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</si>
  <si>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</si>
  <si>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</si>
  <si>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</si>
  <si>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</si>
  <si>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</si>
  <si>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</si>
  <si>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</si>
  <si>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</si>
  <si>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</si>
  <si>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</si>
  <si>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</si>
  <si>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</si>
  <si>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</si>
  <si>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</si>
  <si>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</si>
  <si>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</si>
  <si>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</si>
  <si>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</si>
  <si>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</si>
  <si>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</si>
  <si>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</si>
  <si>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</si>
  <si>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</si>
  <si>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</si>
  <si>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</si>
  <si>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</si>
  <si>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</si>
  <si>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</si>
  <si>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</si>
  <si>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</si>
  <si>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</si>
  <si>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</si>
  <si>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</si>
  <si>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</si>
  <si>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</si>
  <si>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</si>
  <si>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</si>
  <si>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</si>
  <si>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</si>
  <si>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</si>
  <si>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</si>
  <si>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</si>
  <si>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</si>
  <si>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</si>
  <si>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</si>
  <si>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</si>
  <si>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</si>
  <si>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</si>
  <si>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</si>
  <si>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</si>
  <si>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</si>
  <si>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</si>
  <si>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</si>
  <si>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</si>
  <si>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</si>
  <si>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</si>
  <si>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</si>
  <si>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</si>
  <si>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</si>
  <si>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</si>
  <si>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</si>
  <si>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</si>
  <si>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</si>
  <si>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</si>
  <si>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</si>
  <si>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</si>
  <si>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</si>
  <si>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</si>
  <si>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</si>
  <si>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</si>
  <si>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</si>
  <si>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</si>
  <si>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</si>
  <si>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</si>
  <si>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</si>
  <si>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</si>
  <si>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</si>
  <si>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</si>
  <si>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</si>
  <si>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</si>
  <si>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</si>
  <si>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</si>
  <si>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</si>
  <si>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</si>
  <si>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</si>
  <si>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</si>
  <si>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</si>
  <si>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</si>
  <si>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</si>
  <si>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</si>
  <si>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</si>
  <si>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</si>
  <si>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</si>
  <si>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</si>
  <si>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</si>
  <si>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</si>
  <si>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</si>
  <si>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</si>
  <si>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</si>
  <si>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</si>
  <si>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</si>
  <si>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</si>
  <si>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</si>
  <si>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</si>
  <si>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</si>
  <si>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</si>
  <si>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</si>
  <si>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</si>
  <si>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</si>
  <si>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</si>
  <si>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</si>
  <si>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</si>
  <si>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</si>
  <si>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</si>
  <si>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</si>
  <si>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</si>
  <si>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</si>
  <si>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</si>
  <si>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</si>
  <si>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</si>
  <si>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</si>
  <si>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</si>
  <si>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</si>
  <si>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</si>
  <si>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</si>
  <si>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</si>
  <si>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</si>
  <si>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</si>
  <si>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</si>
  <si>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</si>
  <si>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</si>
  <si>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</si>
  <si>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</si>
  <si>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</si>
  <si>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</si>
  <si>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</si>
  <si>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</si>
  <si>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</si>
  <si>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</si>
  <si>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</si>
  <si>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</si>
  <si>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</si>
  <si>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</si>
  <si>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</si>
  <si>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</si>
  <si>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</si>
  <si>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</si>
  <si>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</si>
  <si>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</si>
  <si>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</si>
  <si>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</si>
  <si>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</si>
  <si>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</si>
  <si>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</si>
  <si>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</si>
  <si>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</si>
  <si>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</si>
  <si>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</si>
  <si>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</si>
  <si>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</si>
  <si>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</si>
  <si>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</si>
  <si>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</si>
  <si>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</si>
  <si>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</si>
  <si>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</si>
  <si>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</si>
  <si>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</si>
  <si>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</si>
  <si>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</si>
  <si>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</si>
  <si>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</si>
  <si>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</si>
  <si>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</si>
  <si>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</si>
  <si>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</si>
  <si>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</si>
  <si>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</si>
  <si>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</si>
  <si>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</si>
  <si>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</si>
  <si>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</si>
  <si>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</si>
  <si>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</si>
  <si>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</si>
  <si>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</si>
  <si>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</si>
  <si>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</si>
  <si>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</si>
  <si>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</si>
  <si>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</si>
  <si>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</si>
  <si>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</si>
  <si>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</si>
  <si>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</si>
  <si>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</si>
  <si>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</si>
  <si>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</si>
  <si>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</si>
  <si>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</si>
  <si>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</si>
  <si>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</si>
  <si>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</si>
  <si>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</si>
  <si>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</si>
  <si>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</si>
  <si>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</si>
  <si>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</si>
  <si>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</si>
  <si>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</si>
  <si>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</si>
  <si>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</si>
  <si>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</si>
  <si>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</si>
  <si>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</si>
  <si>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</si>
  <si>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</si>
  <si>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</si>
  <si>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</si>
  <si>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</si>
  <si>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</si>
  <si>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</si>
  <si>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</si>
  <si>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</si>
  <si>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</si>
  <si>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</si>
  <si>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</si>
  <si>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</si>
  <si>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</si>
  <si>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</si>
  <si>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</si>
  <si>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</si>
  <si>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</si>
  <si>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</si>
  <si>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</si>
  <si>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</si>
  <si>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</si>
  <si>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</si>
  <si>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</si>
  <si>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</si>
  <si>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</si>
  <si>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</si>
  <si>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</si>
  <si>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</si>
  <si>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</si>
  <si>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</si>
  <si>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</si>
  <si>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</si>
  <si>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</si>
  <si>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</si>
  <si>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</si>
  <si>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</si>
  <si>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</si>
  <si>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</si>
  <si>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</si>
  <si>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</si>
  <si>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</si>
  <si>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</si>
  <si>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</si>
  <si>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</si>
  <si>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</si>
  <si>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</si>
  <si>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</si>
  <si>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</si>
  <si>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</si>
  <si>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</si>
  <si>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</si>
  <si>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</si>
  <si>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</si>
  <si>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</si>
  <si>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</si>
  <si>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</si>
  <si>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</si>
  <si>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</si>
  <si>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</si>
  <si>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</si>
  <si>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</si>
  <si>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</si>
  <si>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</si>
  <si>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</si>
  <si>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</si>
  <si>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</si>
  <si>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</si>
  <si>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</si>
  <si>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</si>
  <si>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</si>
  <si>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</si>
  <si>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</si>
  <si>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</si>
  <si>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</si>
  <si>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</si>
  <si>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</si>
  <si>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</si>
  <si>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</si>
  <si>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</si>
  <si>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</si>
  <si>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</si>
  <si>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</si>
  <si>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</si>
  <si>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</si>
  <si>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</si>
  <si>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</si>
  <si>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</si>
  <si>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</si>
  <si>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</si>
  <si>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</si>
  <si>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</si>
  <si>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</si>
  <si>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</si>
  <si>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</si>
  <si>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</si>
  <si>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</si>
  <si>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</si>
  <si>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</si>
  <si>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</si>
  <si>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</si>
  <si>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</si>
  <si>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</si>
  <si>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</si>
  <si>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</si>
  <si>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</si>
  <si>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</si>
  <si>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</si>
  <si>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</si>
  <si>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</si>
  <si>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</si>
  <si>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</si>
  <si>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</si>
  <si>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</si>
  <si>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</si>
  <si>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</si>
  <si>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</si>
  <si>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</si>
  <si>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</si>
  <si>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</si>
  <si>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</si>
  <si>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</si>
  <si>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</si>
  <si>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</si>
  <si>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</si>
  <si>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</si>
  <si>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</si>
  <si>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</si>
  <si>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</si>
  <si>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</si>
  <si>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</si>
  <si>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</si>
  <si>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</si>
  <si>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</si>
  <si>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</si>
  <si>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</si>
  <si>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</si>
  <si>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</si>
  <si>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</si>
  <si>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</si>
  <si>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</si>
  <si>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</si>
  <si>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</si>
  <si>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</si>
  <si>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</si>
  <si>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</si>
  <si>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</si>
  <si>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</si>
  <si>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</si>
  <si>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</si>
  <si>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</si>
  <si>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</si>
  <si>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</si>
  <si>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</si>
  <si>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</si>
  <si>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</si>
  <si>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</si>
  <si>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</si>
  <si>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</si>
  <si>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</si>
  <si>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</si>
  <si>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</si>
  <si>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</si>
  <si>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</si>
  <si>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</si>
  <si>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</si>
  <si>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</si>
  <si>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</si>
  <si>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</si>
  <si>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</si>
  <si>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</si>
  <si>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</si>
  <si>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</si>
  <si>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</si>
  <si>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</si>
  <si>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</si>
  <si>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</si>
  <si>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</si>
  <si>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</si>
  <si>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</si>
  <si>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</si>
  <si>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</si>
  <si>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</si>
  <si>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</si>
  <si>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</si>
  <si>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</si>
  <si>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</si>
  <si>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</si>
  <si>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</si>
  <si>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</si>
  <si>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</si>
  <si>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</si>
  <si>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</si>
  <si>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</si>
  <si>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</si>
  <si>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</si>
  <si>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</si>
  <si>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</si>
  <si>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</si>
  <si>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</si>
  <si>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</si>
  <si>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</si>
  <si>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</si>
  <si>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</si>
  <si>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</si>
  <si>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</si>
  <si>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</si>
  <si>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</si>
  <si>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</si>
  <si>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</si>
  <si>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</si>
  <si>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</si>
  <si>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</si>
  <si>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</si>
  <si>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</si>
  <si>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</si>
  <si>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</si>
  <si>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</si>
  <si>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</si>
  <si>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</si>
  <si>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</si>
  <si>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</si>
  <si>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</si>
  <si>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</si>
  <si>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</si>
  <si>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</si>
  <si>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</si>
  <si>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</si>
  <si>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</si>
  <si>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</si>
  <si>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</si>
  <si>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</si>
  <si>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</si>
  <si>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</si>
  <si>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</si>
  <si>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</si>
  <si>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</si>
  <si>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</si>
  <si>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</si>
  <si>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</si>
  <si>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</si>
  <si>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</si>
  <si>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</si>
  <si>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</si>
  <si>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</si>
  <si>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</si>
  <si>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</si>
  <si>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</si>
  <si>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</si>
  <si>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</si>
  <si>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</si>
  <si>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</si>
  <si>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</si>
  <si>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</si>
  <si>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</si>
  <si>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</si>
  <si>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</si>
  <si>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</si>
  <si>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</si>
  <si>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</si>
  <si>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</si>
  <si>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</si>
  <si>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</si>
  <si>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</si>
  <si>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</si>
  <si>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</si>
  <si>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</si>
  <si>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</si>
  <si>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</si>
  <si>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</si>
  <si>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</si>
  <si>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</si>
  <si>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</si>
  <si>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</si>
  <si>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</si>
  <si>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</si>
  <si>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</si>
  <si>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</si>
  <si>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</si>
  <si>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</si>
  <si>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</si>
  <si>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</si>
  <si>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</si>
  <si>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</si>
  <si>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</si>
  <si>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</si>
  <si>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</si>
  <si>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</si>
  <si>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</si>
  <si>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</si>
  <si>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</si>
  <si>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</si>
  <si>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</si>
  <si>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</si>
  <si>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</si>
  <si>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</si>
  <si>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</si>
  <si>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</si>
  <si>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</si>
  <si>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</si>
  <si>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</si>
  <si>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</si>
  <si>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</si>
  <si>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</si>
  <si>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</si>
  <si>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</si>
  <si>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</si>
  <si>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</si>
  <si>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</si>
  <si>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</si>
  <si>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</si>
  <si>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</si>
  <si>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</si>
  <si>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</si>
  <si>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</si>
  <si>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</si>
  <si>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</si>
  <si>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</si>
  <si>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</si>
  <si>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</si>
  <si>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</si>
  <si>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</si>
  <si>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</si>
  <si>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</si>
  <si>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</si>
  <si>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</si>
  <si>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</si>
  <si>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</si>
  <si>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</si>
  <si>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</si>
  <si>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</si>
  <si>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</si>
  <si>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</si>
  <si>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</si>
  <si>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</si>
  <si>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</si>
  <si>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</si>
  <si>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</si>
  <si>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</si>
  <si>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</si>
  <si>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</si>
  <si>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</si>
  <si>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</si>
  <si>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</si>
  <si>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</si>
  <si>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</si>
  <si>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</si>
  <si>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</si>
  <si>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</si>
  <si>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</si>
  <si>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</si>
  <si>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</si>
  <si>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</si>
  <si>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</si>
  <si>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</si>
  <si>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</si>
  <si>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</si>
  <si>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</si>
  <si>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</si>
  <si>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</si>
  <si>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</si>
  <si>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</si>
  <si>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</si>
  <si>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</si>
  <si>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</si>
  <si>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</si>
  <si>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</si>
  <si>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</si>
  <si>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</si>
  <si>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</si>
  <si>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</si>
  <si>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</si>
  <si>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</si>
  <si>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</si>
  <si>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</si>
  <si>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</si>
  <si>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</si>
  <si>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</si>
  <si>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</si>
  <si>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</si>
  <si>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</si>
  <si>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</si>
  <si>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</si>
  <si>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</si>
  <si>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</si>
  <si>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</si>
  <si>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</si>
  <si>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</si>
  <si>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</si>
  <si>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</si>
  <si>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</si>
  <si>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</si>
  <si>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</si>
  <si>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</si>
  <si>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</si>
  <si>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</si>
  <si>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</si>
  <si>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</si>
  <si>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</si>
  <si>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</si>
  <si>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</si>
  <si>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</si>
  <si>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</si>
  <si>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</si>
  <si>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</si>
  <si>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</si>
  <si>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</si>
  <si>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</si>
  <si>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</si>
  <si>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</si>
  <si>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</si>
  <si>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</si>
  <si>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</si>
  <si>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</si>
  <si>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</si>
  <si>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</si>
  <si>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</si>
  <si>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</si>
  <si>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</si>
  <si>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</si>
  <si>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</si>
  <si>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</si>
  <si>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</si>
  <si>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</si>
  <si>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</si>
  <si>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</si>
  <si>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</si>
  <si>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</si>
  <si>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</si>
  <si>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</si>
  <si>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</si>
  <si>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</si>
  <si>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</si>
  <si>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</si>
  <si>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</si>
  <si>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</si>
  <si>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</si>
  <si>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</si>
  <si>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</si>
  <si>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</si>
  <si>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</si>
  <si>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</si>
  <si>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</si>
  <si>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</si>
  <si>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</si>
  <si>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</si>
  <si>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</si>
  <si>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</si>
  <si>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</si>
  <si>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</si>
  <si>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</si>
  <si>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</si>
  <si>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</si>
  <si>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</si>
  <si>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</si>
  <si>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</si>
  <si>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</si>
  <si>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</si>
  <si>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</si>
  <si>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</si>
  <si>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</si>
  <si>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</si>
  <si>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</si>
  <si>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</si>
  <si>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</si>
  <si>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</si>
  <si>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</si>
  <si>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</si>
  <si>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</si>
  <si>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</si>
  <si>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</si>
  <si>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</si>
  <si>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</si>
  <si>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</si>
  <si>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</si>
  <si>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</si>
  <si>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</si>
  <si>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</si>
  <si>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</si>
  <si>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</si>
  <si>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</si>
  <si>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</si>
  <si>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</si>
  <si>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</si>
  <si>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</si>
  <si>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</si>
  <si>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</si>
  <si>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</si>
  <si>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</si>
  <si>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</si>
  <si>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</si>
  <si>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</si>
  <si>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</si>
  <si>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</si>
  <si>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</si>
  <si>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</si>
  <si>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</si>
  <si>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</si>
  <si>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</si>
  <si>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</si>
  <si>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</si>
  <si>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</si>
  <si>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</si>
  <si>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</si>
  <si>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</si>
  <si>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</si>
  <si>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</si>
  <si>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</si>
  <si>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</si>
  <si>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</si>
  <si>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</si>
  <si>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</si>
  <si>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</si>
  <si>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</si>
  <si>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</si>
  <si>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</si>
  <si>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</si>
  <si>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</si>
  <si>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</si>
  <si>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</si>
  <si>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</si>
  <si>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</si>
  <si>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</si>
  <si>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</si>
  <si>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</si>
  <si>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</si>
  <si>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</si>
  <si>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</si>
  <si>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</si>
  <si>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</si>
  <si>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</si>
  <si>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</si>
  <si>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</si>
  <si>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</si>
  <si>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</si>
  <si>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</si>
  <si>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</si>
  <si>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</si>
  <si>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</si>
  <si>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</si>
  <si>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</si>
  <si>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</si>
  <si>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</si>
  <si>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</si>
  <si>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</si>
  <si>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</si>
  <si>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</si>
  <si>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</si>
  <si>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</si>
  <si>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</si>
  <si>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</si>
  <si>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</si>
  <si>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</si>
  <si>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</si>
  <si>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</si>
  <si>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</si>
  <si>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</si>
  <si>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</si>
  <si>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</si>
  <si>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</si>
  <si>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</si>
  <si>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</si>
  <si>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</si>
  <si>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</si>
  <si>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</si>
  <si>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</si>
  <si>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</si>
  <si>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</si>
  <si>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</si>
  <si>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</si>
  <si>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</si>
  <si>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</si>
  <si>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</si>
  <si>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</si>
  <si>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</si>
  <si>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</si>
  <si>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</si>
  <si>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</si>
  <si>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</si>
  <si>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</si>
  <si>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</si>
  <si>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</si>
  <si>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</si>
  <si>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</si>
  <si>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</si>
  <si>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</si>
  <si>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</si>
  <si>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</si>
  <si>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</si>
  <si>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</si>
  <si>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</si>
  <si>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</si>
  <si>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</si>
  <si>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</si>
  <si>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</si>
  <si>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</si>
  <si>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</si>
  <si>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</si>
  <si>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</si>
  <si>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</si>
  <si>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</si>
  <si>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</si>
  <si>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</si>
  <si>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</si>
  <si>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</si>
  <si>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</si>
  <si>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</si>
  <si>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</si>
  <si>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</si>
  <si>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</si>
  <si>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</si>
  <si>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</si>
  <si>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</si>
  <si>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</si>
  <si>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</si>
  <si>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</si>
  <si>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</si>
  <si>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</si>
  <si>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</si>
  <si>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</si>
  <si>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</si>
  <si>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</si>
  <si>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</si>
  <si>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</si>
  <si>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</si>
  <si>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</si>
  <si>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</si>
  <si>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</si>
  <si>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</si>
  <si>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</si>
  <si>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</si>
  <si>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</si>
  <si>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</si>
  <si>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</si>
  <si>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</si>
  <si>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</si>
  <si>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</si>
  <si>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</si>
  <si>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</si>
  <si>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</si>
  <si>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</si>
  <si>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</si>
  <si>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</si>
  <si>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</si>
  <si>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</si>
  <si>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</si>
  <si>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</si>
  <si>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</si>
  <si>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</si>
  <si>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</si>
  <si>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</si>
  <si>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</si>
  <si>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</si>
  <si>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</si>
  <si>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</si>
  <si>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</si>
  <si>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</si>
  <si>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</si>
  <si>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</si>
  <si>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</si>
  <si>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</si>
  <si>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</si>
  <si>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</si>
  <si>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</si>
  <si>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</si>
  <si>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</si>
  <si>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</si>
  <si>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</si>
  <si>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</si>
  <si>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</si>
  <si>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</si>
  <si>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</si>
  <si>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</si>
  <si>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</si>
  <si>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</si>
  <si>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</si>
  <si>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</si>
  <si>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</si>
  <si>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</si>
  <si>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</si>
  <si>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</si>
  <si>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</si>
  <si>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</si>
  <si>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</si>
  <si>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</si>
  <si>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</si>
  <si>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</si>
  <si>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</si>
  <si>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</si>
  <si>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</si>
  <si>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</si>
  <si>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</si>
  <si>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</si>
  <si>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</si>
  <si>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</si>
  <si>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</si>
  <si>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</si>
  <si>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</si>
  <si>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</si>
  <si>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</si>
  <si>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</si>
  <si>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</si>
  <si>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</si>
  <si>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</si>
  <si>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</si>
  <si>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</si>
  <si>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</si>
  <si>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</si>
  <si>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</si>
  <si>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</si>
  <si>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</si>
  <si>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</si>
  <si>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</si>
  <si>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</si>
  <si>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</si>
  <si>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</si>
  <si>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</si>
  <si>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</si>
  <si>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</si>
  <si>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</si>
  <si>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</si>
  <si>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</si>
  <si>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</si>
  <si>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</si>
  <si>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</si>
  <si>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</si>
  <si>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</si>
  <si>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</si>
  <si>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</si>
  <si>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</si>
  <si>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</si>
  <si>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</si>
  <si>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</si>
  <si>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</si>
  <si>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</si>
  <si>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</si>
  <si>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</si>
  <si>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</si>
  <si>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</si>
  <si>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</si>
  <si>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</si>
  <si>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</si>
  <si>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</si>
  <si>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</si>
  <si>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</si>
  <si>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</si>
  <si>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</si>
  <si>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</si>
  <si>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</si>
  <si>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</si>
  <si>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</si>
  <si>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</si>
  <si>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</si>
  <si>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</si>
  <si>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</si>
  <si>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</si>
  <si>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</si>
  <si>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</si>
  <si>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</si>
  <si>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</si>
  <si>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</si>
  <si>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</si>
  <si>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</si>
  <si>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</si>
  <si>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</si>
  <si>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</si>
  <si>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</si>
  <si>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</si>
  <si>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</si>
  <si>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</si>
  <si>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</si>
  <si>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</si>
  <si>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</si>
  <si>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</si>
  <si>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</si>
  <si>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</si>
  <si>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</si>
  <si>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</si>
  <si>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</si>
  <si>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</si>
  <si>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</si>
  <si>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</si>
  <si>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</si>
  <si>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</si>
  <si>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</si>
  <si>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</si>
  <si>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</si>
  <si>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</si>
  <si>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</si>
  <si>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</si>
  <si>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</si>
  <si>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</si>
  <si>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</si>
  <si>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</si>
  <si>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</si>
  <si>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</si>
  <si>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</si>
  <si>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</si>
  <si>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</si>
  <si>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</si>
  <si>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</si>
  <si>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</si>
  <si>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</si>
  <si>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</si>
  <si>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</si>
  <si>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</si>
  <si>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</si>
  <si>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</si>
  <si>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</si>
  <si>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</si>
  <si>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</si>
  <si>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</si>
  <si>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</si>
  <si>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</si>
  <si>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</si>
  <si>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</si>
  <si>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</si>
  <si>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</si>
  <si>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</si>
  <si>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</si>
  <si>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</si>
  <si>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</si>
  <si>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</si>
  <si>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</si>
  <si>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</si>
  <si>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</si>
  <si>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</si>
  <si>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</si>
  <si>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</si>
  <si>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</si>
  <si>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</si>
  <si>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</si>
  <si>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</si>
  <si>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</si>
  <si>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</si>
  <si>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</si>
  <si>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</si>
  <si>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</si>
  <si>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</si>
  <si>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</si>
  <si>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</si>
  <si>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</si>
  <si>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</si>
  <si>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</si>
  <si>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</si>
  <si>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</si>
  <si>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</si>
  <si>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</si>
  <si>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</si>
  <si>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</si>
  <si>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</si>
  <si>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</si>
  <si>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</si>
  <si>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</si>
  <si>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</si>
  <si>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</si>
  <si>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</si>
  <si>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</si>
  <si>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</si>
  <si>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</si>
  <si>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</si>
  <si>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</si>
  <si>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</si>
  <si>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</si>
  <si>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</si>
  <si>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</si>
  <si>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</si>
  <si>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</si>
  <si>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</si>
  <si>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</si>
  <si>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</si>
  <si>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</si>
  <si>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</si>
  <si>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</si>
  <si>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</si>
  <si>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</si>
  <si>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</si>
  <si>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</si>
  <si>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</si>
  <si>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</si>
  <si>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</si>
  <si>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</si>
  <si>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</si>
  <si>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</si>
  <si>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</si>
  <si>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</si>
  <si>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</si>
  <si>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</si>
  <si>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</si>
  <si>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</si>
  <si>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</si>
  <si>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</si>
  <si>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</si>
  <si>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</si>
  <si>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</si>
  <si>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</si>
  <si>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</si>
  <si>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</si>
  <si>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</si>
  <si>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</si>
  <si>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</si>
  <si>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</si>
  <si>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</si>
  <si>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</si>
  <si>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</si>
  <si>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</si>
  <si>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</si>
  <si>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</si>
  <si>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</si>
  <si>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</si>
  <si>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</si>
  <si>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</si>
  <si>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</si>
  <si>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</si>
  <si>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</si>
  <si>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</si>
  <si>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</si>
  <si>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</si>
  <si>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</si>
  <si>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</si>
  <si>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</si>
  <si>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</si>
  <si>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</si>
  <si>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</si>
  <si>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</si>
  <si>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</si>
  <si>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</si>
  <si>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</si>
  <si>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</si>
  <si>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</si>
  <si>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</si>
  <si>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</si>
  <si>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</si>
  <si>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</si>
  <si>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</si>
  <si>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</si>
  <si>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</si>
  <si>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</si>
  <si>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</si>
  <si>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</si>
  <si>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</si>
  <si>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</si>
  <si>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</si>
  <si>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</si>
  <si>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</si>
  <si>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</si>
  <si>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</si>
  <si>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</si>
  <si>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</si>
  <si>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</si>
  <si>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</si>
  <si>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</si>
  <si>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</si>
  <si>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</si>
  <si>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</si>
  <si>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</si>
  <si>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</si>
  <si>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</si>
  <si>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</si>
  <si>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</si>
  <si>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</si>
  <si>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</si>
  <si>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</si>
  <si>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</si>
  <si>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</si>
  <si>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</si>
  <si>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</si>
  <si>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</si>
  <si>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</si>
  <si>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</si>
  <si>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</si>
  <si>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</si>
  <si>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</si>
  <si>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</si>
  <si>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</si>
  <si>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</si>
  <si>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</si>
  <si>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</si>
  <si>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</si>
  <si>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</si>
  <si>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</si>
  <si>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</si>
  <si>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</si>
  <si>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</si>
  <si>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</si>
  <si>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</si>
  <si>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</si>
  <si>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</si>
  <si>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</si>
  <si>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</si>
  <si>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</si>
  <si>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</si>
  <si>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</si>
  <si>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</si>
  <si>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</si>
  <si>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</si>
  <si>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</si>
  <si>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</si>
  <si>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</si>
  <si>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</si>
  <si>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</si>
  <si>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</si>
  <si>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</si>
  <si>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</si>
  <si>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</si>
  <si>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</si>
  <si>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</si>
  <si>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</si>
  <si>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</si>
  <si>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</si>
  <si>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</si>
  <si>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</si>
  <si>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</si>
  <si>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</si>
  <si>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</si>
  <si>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</si>
  <si>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</si>
  <si>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</si>
  <si>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</si>
  <si>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</si>
  <si>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</si>
  <si>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</si>
  <si>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</si>
  <si>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</si>
  <si>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</si>
  <si>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</si>
  <si>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</si>
  <si>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</si>
  <si>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</si>
  <si>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</si>
  <si>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</si>
  <si>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</si>
  <si>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</si>
  <si>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</si>
  <si>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</si>
  <si>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</si>
  <si>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</si>
  <si>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</si>
  <si>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</si>
  <si>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</si>
  <si>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</si>
  <si>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</si>
  <si>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</si>
  <si>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</si>
  <si>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</si>
  <si>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</si>
  <si>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</si>
  <si>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</si>
  <si>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</si>
  <si>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</si>
  <si>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</si>
  <si>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</si>
  <si>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</si>
  <si>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</si>
  <si>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</si>
  <si>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</si>
  <si>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</si>
  <si>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</si>
  <si>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</si>
  <si>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</si>
  <si>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</si>
  <si>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</si>
  <si>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</si>
  <si>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</si>
  <si>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</si>
  <si>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</si>
  <si>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</si>
  <si>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</si>
  <si>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</si>
  <si>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</si>
  <si>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</si>
  <si>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</si>
  <si>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</si>
  <si>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</si>
  <si>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</si>
  <si>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</si>
  <si>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</si>
  <si>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</si>
  <si>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</si>
  <si>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</si>
  <si>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</si>
  <si>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</si>
  <si>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</si>
  <si>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</si>
  <si>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</si>
  <si>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</si>
  <si>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</si>
  <si>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</si>
  <si>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</si>
  <si>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</si>
  <si>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</si>
  <si>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</si>
  <si>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</si>
  <si>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</si>
  <si>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</si>
  <si>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</si>
  <si>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</si>
  <si>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</si>
  <si>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</si>
  <si>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</si>
  <si>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</si>
  <si>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</si>
  <si>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</si>
  <si>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</si>
  <si>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</si>
  <si>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</si>
  <si>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</si>
  <si>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</si>
  <si>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</si>
  <si>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</si>
  <si>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</si>
  <si>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</si>
  <si>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</si>
  <si>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</si>
  <si>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</si>
  <si>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</si>
  <si>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</si>
  <si>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</si>
  <si>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</si>
  <si>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</si>
  <si>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</si>
  <si>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</si>
  <si>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</si>
  <si>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</si>
  <si>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</si>
  <si>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</si>
  <si>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</si>
  <si>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</si>
  <si>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</si>
  <si>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</si>
  <si>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</si>
  <si>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</si>
  <si>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</si>
  <si>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</si>
  <si>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</si>
  <si>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</si>
  <si>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</si>
  <si>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</si>
  <si>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</si>
  <si>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</si>
  <si>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</si>
  <si>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</si>
  <si>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</si>
  <si>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</si>
  <si>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</si>
  <si>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</si>
  <si>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</si>
  <si>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</si>
  <si>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</si>
  <si>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</si>
  <si>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</si>
  <si>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</si>
  <si>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</si>
  <si>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</si>
  <si>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</si>
  <si>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</si>
  <si>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</si>
  <si>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</si>
  <si>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</si>
  <si>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</si>
  <si>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</si>
  <si>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</si>
  <si>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</si>
  <si>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</si>
  <si>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</si>
  <si>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</si>
  <si>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</si>
  <si>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</si>
  <si>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</si>
  <si>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</si>
  <si>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</si>
  <si>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</si>
  <si>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</si>
  <si>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</si>
  <si>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</si>
  <si>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</si>
  <si>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</si>
  <si>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</si>
  <si>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</si>
  <si>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</si>
  <si>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</si>
  <si>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</si>
  <si>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</si>
  <si>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</si>
  <si>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</si>
  <si>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</si>
  <si>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</si>
  <si>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</si>
  <si>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</si>
  <si>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</si>
  <si>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</si>
  <si>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</si>
  <si>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</si>
  <si>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</si>
  <si>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</si>
  <si>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</si>
  <si>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</si>
  <si>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</si>
  <si>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</si>
  <si>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</si>
  <si>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</si>
  <si>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</si>
  <si>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</si>
  <si>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</si>
  <si>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</si>
  <si>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</si>
  <si>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</si>
  <si>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</si>
  <si>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</si>
  <si>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</si>
  <si>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</si>
  <si>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</si>
  <si>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</si>
  <si>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</si>
  <si>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</si>
  <si>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</si>
  <si>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</si>
  <si>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</si>
  <si>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</si>
  <si>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</si>
  <si>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</si>
  <si>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</si>
  <si>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</si>
  <si>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</si>
  <si>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</si>
  <si>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</si>
  <si>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</si>
  <si>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</si>
  <si>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</si>
  <si>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</si>
  <si>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</si>
  <si>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</si>
  <si>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</si>
  <si>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</si>
  <si>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</si>
  <si>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</si>
  <si>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</si>
  <si>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</si>
  <si>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</si>
  <si>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</si>
  <si>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</si>
  <si>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</si>
  <si>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</si>
  <si>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</si>
  <si>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</si>
  <si>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</si>
  <si>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</si>
  <si>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</si>
  <si>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</si>
  <si>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</si>
  <si>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</si>
  <si>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</si>
  <si>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</si>
  <si>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</si>
  <si>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</si>
  <si>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</si>
  <si>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</si>
  <si>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</si>
  <si>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</si>
  <si>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</si>
  <si>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</si>
  <si>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</si>
  <si>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</si>
  <si>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</si>
  <si>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</si>
  <si>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</si>
  <si>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</si>
  <si>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</si>
  <si>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</si>
  <si>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</si>
  <si>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</si>
  <si>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</si>
  <si>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</si>
  <si>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</si>
  <si>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</si>
  <si>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</si>
  <si>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</si>
  <si>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</si>
  <si>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</si>
  <si>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</si>
  <si>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</si>
  <si>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</si>
  <si>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</si>
  <si>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</si>
  <si>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</si>
  <si>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</si>
  <si>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</si>
  <si>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</si>
  <si>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</si>
  <si>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</si>
  <si>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</si>
  <si>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</si>
  <si>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</si>
  <si>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</si>
  <si>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</si>
  <si>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</si>
  <si>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</si>
  <si>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</si>
  <si>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</si>
  <si>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</si>
  <si>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</si>
  <si>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</si>
  <si>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</si>
  <si>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</si>
  <si>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</si>
  <si>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</si>
  <si>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</si>
  <si>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</si>
  <si>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</si>
  <si>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</si>
  <si>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</si>
  <si>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</si>
  <si>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</si>
  <si>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</si>
  <si>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</si>
  <si>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</si>
  <si>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</si>
  <si>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</si>
  <si>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</si>
  <si>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</si>
  <si>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</si>
  <si>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</si>
  <si>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</si>
  <si>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</si>
  <si>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</si>
  <si>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</si>
  <si>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</si>
  <si>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</si>
  <si>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</si>
  <si>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</si>
  <si>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</si>
  <si>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</si>
  <si>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</si>
  <si>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</si>
  <si>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</si>
  <si>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</si>
  <si>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</si>
  <si>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</si>
  <si>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</si>
  <si>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</si>
  <si>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</si>
  <si>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</si>
  <si>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</si>
  <si>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</si>
  <si>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</si>
  <si>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</si>
  <si>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</si>
  <si>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</si>
  <si>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</si>
  <si>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</si>
  <si>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</si>
  <si>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</si>
  <si>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</si>
  <si>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</si>
  <si>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</si>
  <si>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</si>
  <si>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</si>
  <si>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</si>
  <si>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</si>
  <si>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</si>
  <si>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</si>
  <si>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</si>
  <si>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</si>
  <si>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</si>
  <si>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</si>
  <si>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</si>
  <si>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</si>
  <si>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</si>
  <si>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</si>
  <si>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</si>
  <si>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</si>
  <si>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</si>
  <si>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</si>
  <si>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</si>
  <si>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</si>
  <si>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</si>
  <si>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</si>
  <si>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</si>
  <si>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</si>
  <si>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</si>
  <si>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</si>
  <si>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</si>
  <si>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</si>
  <si>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</si>
  <si>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</si>
  <si>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</si>
  <si>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</si>
  <si>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</si>
  <si>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</si>
  <si>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</si>
  <si>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</si>
  <si>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</si>
  <si>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</si>
  <si>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</si>
  <si>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</si>
  <si>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</si>
  <si>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</si>
  <si>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</si>
  <si>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</si>
  <si>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</si>
  <si>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</si>
  <si>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</si>
  <si>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</si>
  <si>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</si>
  <si>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</si>
  <si>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</si>
  <si>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</si>
  <si>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</si>
  <si>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</si>
  <si>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</si>
  <si>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</si>
  <si>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</si>
  <si>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</si>
  <si>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</si>
  <si>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</si>
  <si>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</si>
  <si>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</si>
  <si>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</si>
  <si>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</si>
  <si>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</si>
  <si>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</si>
  <si>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</si>
  <si>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</si>
  <si>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</si>
  <si>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</si>
  <si>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</si>
  <si>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</si>
  <si>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</si>
  <si>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</si>
  <si>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</si>
  <si>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</si>
  <si>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</si>
  <si>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</si>
  <si>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</si>
  <si>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</si>
  <si>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</si>
  <si>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</si>
  <si>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</si>
  <si>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</si>
  <si>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</si>
  <si>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</si>
  <si>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</si>
  <si>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</si>
  <si>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</si>
  <si>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</si>
  <si>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</si>
  <si>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</si>
  <si>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</si>
  <si>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</si>
  <si>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</si>
  <si>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</si>
  <si>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</si>
  <si>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</si>
  <si>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</si>
  <si>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</si>
  <si>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</si>
  <si>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</si>
  <si>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</si>
  <si>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</si>
  <si>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</si>
  <si>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</si>
  <si>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</si>
  <si>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</si>
  <si>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</si>
  <si>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</si>
  <si>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</si>
  <si>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</si>
  <si>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</si>
  <si>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</si>
  <si>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</si>
  <si>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</si>
  <si>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</si>
  <si>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</si>
  <si>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</si>
  <si>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</si>
  <si>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</si>
  <si>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</si>
  <si>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</si>
  <si>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</si>
  <si>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</si>
  <si>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</si>
  <si>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</si>
  <si>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</si>
  <si>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</si>
  <si>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</si>
  <si>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</si>
  <si>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</si>
  <si>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</si>
  <si>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</si>
  <si>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</si>
  <si>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</si>
  <si>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</si>
  <si>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</si>
  <si>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</si>
  <si>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</si>
  <si>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</si>
  <si>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</si>
  <si>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</si>
  <si>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</si>
  <si>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</si>
  <si>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</si>
  <si>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</si>
  <si>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</si>
  <si>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</si>
  <si>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</si>
  <si>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</si>
  <si>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</si>
  <si>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</si>
  <si>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</si>
  <si>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</si>
  <si>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</si>
  <si>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</si>
  <si>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</si>
  <si>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</si>
  <si>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</si>
  <si>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</si>
  <si>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</si>
  <si>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</si>
  <si>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</si>
  <si>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</si>
  <si>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</si>
  <si>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</si>
  <si>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</si>
  <si>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</si>
  <si>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</si>
  <si>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</si>
  <si>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</si>
  <si>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</si>
  <si>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</si>
  <si>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</si>
  <si>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</si>
  <si>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</si>
  <si>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</si>
  <si>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</si>
  <si>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</si>
  <si>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</si>
  <si>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</si>
  <si>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</si>
  <si>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</si>
  <si>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</si>
  <si>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</si>
  <si>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</si>
  <si>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</si>
  <si>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</si>
  <si>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</si>
  <si>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</si>
  <si>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</si>
  <si>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</si>
  <si>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</si>
  <si>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</si>
  <si>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</si>
  <si>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</si>
  <si>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</si>
  <si>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</si>
  <si>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</si>
  <si>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</si>
  <si>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</si>
  <si>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</si>
  <si>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</si>
  <si>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</si>
  <si>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</si>
  <si>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</si>
  <si>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</si>
  <si>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</si>
  <si>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</si>
  <si>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</si>
  <si>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</si>
  <si>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</si>
  <si>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</si>
  <si>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</si>
  <si>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</si>
  <si>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</si>
  <si>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</si>
  <si>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</si>
  <si>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</si>
  <si>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</si>
  <si>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</si>
  <si>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</si>
  <si>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</si>
  <si>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</si>
  <si>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</si>
  <si>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</si>
  <si>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</si>
  <si>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</si>
  <si>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</si>
  <si>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</si>
  <si>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</si>
  <si>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</si>
  <si>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</si>
  <si>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</si>
  <si>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</si>
  <si>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</si>
  <si>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</si>
  <si>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</si>
  <si>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</si>
  <si>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</si>
  <si>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</si>
  <si>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</si>
  <si>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</si>
  <si>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</si>
  <si>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</si>
  <si>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</si>
  <si>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</si>
  <si>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</si>
  <si>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</si>
  <si>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</si>
  <si>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</si>
  <si>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</si>
  <si>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</si>
  <si>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</si>
  <si>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</si>
  <si>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</si>
  <si>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</si>
  <si>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</si>
  <si>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</si>
  <si>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</si>
  <si>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</si>
  <si>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</si>
  <si>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</si>
  <si>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</si>
  <si>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</si>
  <si>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</si>
  <si>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</si>
  <si>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</si>
  <si>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</si>
  <si>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</si>
  <si>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</si>
  <si>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</si>
  <si>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</si>
  <si>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</si>
  <si>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</si>
  <si>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</si>
  <si>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</si>
  <si>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</si>
  <si>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</si>
  <si>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</si>
  <si>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</si>
  <si>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</si>
  <si>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</si>
  <si>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</si>
  <si>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</si>
  <si>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</si>
  <si>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</si>
  <si>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</si>
  <si>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</si>
  <si>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</si>
  <si>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</si>
  <si>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</si>
  <si>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</si>
  <si>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</si>
  <si>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</si>
  <si>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</si>
  <si>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</si>
  <si>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</si>
  <si>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</si>
  <si>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</si>
  <si>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</si>
  <si>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</si>
  <si>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</si>
  <si>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</si>
  <si>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</si>
  <si>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</si>
  <si>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</si>
  <si>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</si>
  <si>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</si>
  <si>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</si>
  <si>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</si>
  <si>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</si>
  <si>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</si>
  <si>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</si>
  <si>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</si>
  <si>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</si>
  <si>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</si>
  <si>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</si>
  <si>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</si>
  <si>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</si>
  <si>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</si>
  <si>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</si>
  <si>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</si>
  <si>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</si>
  <si>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</si>
  <si>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</si>
  <si>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</si>
  <si>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</si>
  <si>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</si>
  <si>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</si>
  <si>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</si>
  <si>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</si>
  <si>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</si>
  <si>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</si>
  <si>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</si>
  <si>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</si>
  <si>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</si>
  <si>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</si>
  <si>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</si>
  <si>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</si>
  <si>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</si>
  <si>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</si>
  <si>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</si>
  <si>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</si>
  <si>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</si>
  <si>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</si>
  <si>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</si>
  <si>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</si>
  <si>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</si>
  <si>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</si>
  <si>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</si>
  <si>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</si>
  <si>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</si>
  <si>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</si>
  <si>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</si>
  <si>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</si>
  <si>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</si>
  <si>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</si>
  <si>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</si>
  <si>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</si>
  <si>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</si>
  <si>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</si>
  <si>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</si>
  <si>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</si>
  <si>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</si>
  <si>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</si>
  <si>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</si>
  <si>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</si>
  <si>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</si>
  <si>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</si>
  <si>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</si>
  <si>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</si>
  <si>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</si>
  <si>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</si>
  <si>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</si>
  <si>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</si>
  <si>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</si>
  <si>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</si>
  <si>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</si>
  <si>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</si>
  <si>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</si>
  <si>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</si>
  <si>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</si>
  <si>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</si>
  <si>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</si>
  <si>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</si>
  <si>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</si>
  <si>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</si>
  <si>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</si>
  <si>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</si>
  <si>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</si>
  <si>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</si>
  <si>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</si>
  <si>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</si>
  <si>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</si>
  <si>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</si>
  <si>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</si>
  <si>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</si>
  <si>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</si>
  <si>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</si>
  <si>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</si>
  <si>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</si>
  <si>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</si>
  <si>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</si>
  <si>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</si>
  <si>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</si>
  <si>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</si>
  <si>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</si>
  <si>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</si>
  <si>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</si>
  <si>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</si>
  <si>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</si>
  <si>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</si>
  <si>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</si>
  <si>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</si>
  <si>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</si>
  <si>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</si>
  <si>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</si>
  <si>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</si>
  <si>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</si>
  <si>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</si>
  <si>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</si>
  <si>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</si>
  <si>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</si>
  <si>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</si>
  <si>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</si>
  <si>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</si>
  <si>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</si>
  <si>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</si>
  <si>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</si>
  <si>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</si>
  <si>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</si>
  <si>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</si>
  <si>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</si>
  <si>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</si>
  <si>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</si>
  <si>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</si>
  <si>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</si>
  <si>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</si>
  <si>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</si>
  <si>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</si>
  <si>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</si>
  <si>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</si>
  <si>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</si>
  <si>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</si>
  <si>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</si>
  <si>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</si>
  <si>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</si>
  <si>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</si>
  <si>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</si>
  <si>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</si>
  <si>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</si>
  <si>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</si>
  <si>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</si>
  <si>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</si>
  <si>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</si>
  <si>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</si>
  <si>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</si>
  <si>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</si>
  <si>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</si>
  <si>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</si>
  <si>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</si>
  <si>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</si>
  <si>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</si>
  <si>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</si>
  <si>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</si>
  <si>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</si>
  <si>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</si>
  <si>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</si>
  <si>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</si>
  <si>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</si>
  <si>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</si>
  <si>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</si>
  <si>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</si>
  <si>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</si>
  <si>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</si>
  <si>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</si>
  <si>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</si>
  <si>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</si>
  <si>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</si>
  <si>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</si>
  <si>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</si>
  <si>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</si>
  <si>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</si>
  <si>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</si>
  <si>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</si>
  <si>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</si>
  <si>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</si>
  <si>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</si>
  <si>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</si>
  <si>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</si>
  <si>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</si>
  <si>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</si>
  <si>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</si>
  <si>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</si>
  <si>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</si>
  <si>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</si>
  <si>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</si>
  <si>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</si>
  <si>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</si>
  <si>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</si>
  <si>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</si>
  <si>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</si>
  <si>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</si>
  <si>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</si>
  <si>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</si>
  <si>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</si>
  <si>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</si>
  <si>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</si>
  <si>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</si>
  <si>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</si>
  <si>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</si>
  <si>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</si>
  <si>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</si>
  <si>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</si>
  <si>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</si>
  <si>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</si>
  <si>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</si>
  <si>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</si>
  <si>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</si>
  <si>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</si>
  <si>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</si>
  <si>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</si>
  <si>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</si>
  <si>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</si>
  <si>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</si>
  <si>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</si>
  <si>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</si>
  <si>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</si>
  <si>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</si>
  <si>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</si>
  <si>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</si>
  <si>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</si>
  <si>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</si>
  <si>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</si>
  <si>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</si>
  <si>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</si>
  <si>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</si>
  <si>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</si>
  <si>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</si>
  <si>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</si>
  <si>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是</t>
  </si>
  <si>
    <t>地上</t>
  </si>
  <si>
    <t>工业</t>
    <phoneticPr fontId="7" type="noConversion"/>
  </si>
  <si>
    <t>成新度</t>
  </si>
  <si>
    <t>Ⅸ-房1</t>
  </si>
  <si>
    <t>自定义容积率</t>
  </si>
  <si>
    <t>与级别开发程度一致</t>
  </si>
  <si>
    <t>较好</t>
  </si>
  <si>
    <t>一般</t>
  </si>
  <si>
    <t>较差</t>
  </si>
  <si>
    <t>未包含在土地购买价格中</t>
  </si>
  <si>
    <t>全部缴纳</t>
  </si>
  <si>
    <t>已包含在土地取得成本中</t>
  </si>
  <si>
    <t>押一</t>
  </si>
  <si>
    <t>砖混</t>
  </si>
  <si>
    <t>非生产用房</t>
  </si>
  <si>
    <t>现房</t>
  </si>
  <si>
    <t>项目全部</t>
  </si>
  <si>
    <t>https://bj.58.com/fangchan/53867109337245x.shtml?utm_source=market&amp;spm=u-2d2yxv86y3v43nkddh1.BDPCPZ_BT&amp;prd=VQc6l8Z%2BjOoTQz9Uj6%2BeIA%3D%3D&amp;houseId=2972948311403520&amp;gpos=6&amp;positionType=commoninfo&amp;cocoTestType=coco_area_expand_test&amp;legoCocoTestType=coco_area_expand_test&amp;filterJson=eyJTSEFOR1FVQU4iOlt7ImtleSI6IiIsImxhYmVsIjoi54eV5bGxIiwidmFsIjoieWFuc2hhbmZzIn1dLCJRVVlVIjpbeyJrZXkiOiIiLCJsYWJlbCI6IuaIv-WxsSIsInZhbCI6ImZhbmdzaGFuIn1dfQ&amp;jx_abtest=ZWljX3N5ZGNfcGNfcmVjb21tZW5kX3Rlc3QscHRyX2ZhbmdfYnVkZ2V0X2JvdHRvbXwxLGNvY29fYXJlYV9leHBhbmRfdGVzdCx1c2VyX3BoYXNlX2w&amp;list_type=main&amp;PGTID=0d30576d-0000-1195-bb7c-d16a31c62abd&amp;ClickID=13</t>
  </si>
  <si>
    <t>收益比率</t>
  </si>
  <si>
    <t>抵押</t>
  </si>
  <si>
    <t>房地产抵押价值</t>
  </si>
  <si>
    <t>北京市</t>
  </si>
  <si>
    <t>企业</t>
  </si>
  <si>
    <t>单套模式</t>
  </si>
  <si>
    <t>租金</t>
  </si>
  <si>
    <t>收益法 (元)</t>
  </si>
  <si>
    <t>砖混</t>
    <phoneticPr fontId="31" type="noConversion"/>
  </si>
  <si>
    <t>钢混</t>
    <phoneticPr fontId="31" type="noConversion"/>
  </si>
  <si>
    <t>砖木</t>
    <phoneticPr fontId="31" type="noConversion"/>
  </si>
  <si>
    <t>精装修</t>
    <phoneticPr fontId="31" type="noConversion"/>
  </si>
  <si>
    <t>普通装修</t>
    <phoneticPr fontId="31" type="noConversion"/>
  </si>
  <si>
    <t>简单装修</t>
    <phoneticPr fontId="31" type="noConversion"/>
  </si>
  <si>
    <t>普通</t>
    <phoneticPr fontId="31" type="noConversion"/>
  </si>
  <si>
    <t>无</t>
    <phoneticPr fontId="31" type="noConversion"/>
  </si>
  <si>
    <t>六通</t>
  </si>
  <si>
    <t>六通</t>
    <phoneticPr fontId="31" type="noConversion"/>
  </si>
  <si>
    <t>简单装修</t>
    <phoneticPr fontId="31" type="noConversion"/>
  </si>
  <si>
    <t>正常</t>
  </si>
  <si>
    <t>https://bj.58.com/fangchan/54898341845907x.shtml?utm_source=market&amp;spm=u-2d2yxv86y3v43nkddh1.BDPCPZ_BT&amp;prd=Y95n5Ujmqcy3%2FaJ1lSKO3Q%3D%3D&amp;houseId=3104946071937025&amp;gpos=136&amp;positionType=commoninfo&amp;cocoTestType=coco_area_expand_test&amp;legoCocoTestType=coco_area_expand_test&amp;filterJson=eyJRVVlVIjpbeyJrZXkiOiIiLCJsYWJlbCI6IuaIv-WxsSIsInZhbCI6ImZhbmdzaGFuIn1dfQ&amp;jx_abtest=ZWljX3N5ZGNfcGNfcmVjb21tZW5kX3Rlc3QsY29jb19hcmVhX2V4cGFuZF90ZXN0LHVzZXJfcGhhc2VfbA&amp;list_type=main&amp;PGTID=0d30576d-0000-14cd-a5a5-0e21075f1735&amp;ClickID=54</t>
    <phoneticPr fontId="134" type="noConversion"/>
  </si>
  <si>
    <t>https://bj.58.com/fangchan/55464117739779x.shtml?utm_source=market&amp;spm=u-2d2yxv86y3v43nkddh1.BDPCPZ_BT&amp;prd=LY4WXpwP6ATdDH2hT%2FC6Dw%3D%3D&amp;houseId=3177365386863630&amp;gpos=118&amp;positionType=commoninfo&amp;cocoTestType=coco_area_expand_test&amp;legoCocoTestType=coco_area_expand_test&amp;filterJson=eyJRVVlVIjpbeyJrZXkiOiIiLCJsYWJlbCI6IuaIv-WxsSIsInZhbCI6ImZhbmdzaGFuIn1dfQ&amp;jx_abtest=ZWljX3N5ZGNfcGNfcmVjb21tZW5kX3Rlc3QsY29jb19hcmVhX2V4cGFuZF90ZXN0LHVzZXJfcGhhc2VfbA&amp;list_type=main&amp;PGTID=0d30576d-0000-14cd-a5a5-0e21075f1735&amp;ClickID=55</t>
  </si>
  <si>
    <t>https://bj.58.com/fangchan/53867109337245x.shtml?utm_source=market&amp;spm=u-2d2yxv86y3v43nkddh1.BDPCPZ_BT&amp;prd=0ZtUpOFBf%2BIYlTWGkLB3yQ%3D%3D&amp;houseId=2972948311403520&amp;gpos=148&amp;positionType=commoninfo&amp;cocoTestType=coco_area_expand_test&amp;legoCocoTestType=coco_area_expand_test&amp;filterJson=eyJRVVlVIjpbeyJrZXkiOiIiLCJsYWJlbCI6IuaIv-WxsSIsInZhbCI6ImZhbmdzaGFuIn1dfQ&amp;jx_abtest=ZWljX3N5ZGNfcGNfcmVjb21tZW5kX3Rlc3QsY29jb19hcmVhX2V4cGFuZF90ZXN0LHVzZXJfcGhhc2VfbA&amp;list_type=main&amp;PGTID=0d30576d-0000-14cd-a5a5-0e21075f1735&amp;ClickID=53</t>
  </si>
  <si>
    <t>阎村镇张庄村</t>
    <phoneticPr fontId="3" type="noConversion"/>
  </si>
  <si>
    <t>房山001县道</t>
    <phoneticPr fontId="3" type="noConversion"/>
  </si>
  <si>
    <t>工业</t>
    <phoneticPr fontId="31" type="noConversion"/>
  </si>
  <si>
    <t>钢混</t>
  </si>
  <si>
    <t>工业厂房</t>
  </si>
  <si>
    <t>工业厂房</t>
    <phoneticPr fontId="31" type="noConversion"/>
  </si>
  <si>
    <t>简单装修</t>
  </si>
  <si>
    <t>无</t>
  </si>
  <si>
    <t>燕山工业区</t>
    <phoneticPr fontId="3" type="noConversion"/>
  </si>
  <si>
    <t>建安</t>
    <phoneticPr fontId="3" type="noConversion"/>
  </si>
  <si>
    <t>面积</t>
    <phoneticPr fontId="3" type="noConversion"/>
  </si>
  <si>
    <t>单方造价</t>
    <phoneticPr fontId="3" type="noConversion"/>
  </si>
  <si>
    <t>http://www.bjfsh.gov.cn/zwgk/qczj/fgwj_838/qtwj_844/202204/t20220406_40044221.shtml?type=computer</t>
    <phoneticPr fontId="3" type="noConversion"/>
  </si>
  <si>
    <t>五通</t>
  </si>
  <si>
    <t>五通</t>
    <phoneticPr fontId="31" type="noConversion"/>
  </si>
  <si>
    <r>
      <rPr>
        <sz val="10"/>
        <color theme="9" tint="-0.249977111117893"/>
        <rFont val="宋体"/>
        <family val="3"/>
        <charset val="134"/>
      </rPr>
      <t>东流水路</t>
    </r>
    <r>
      <rPr>
        <sz val="10"/>
        <color theme="9" tint="-0.249977111117893"/>
        <rFont val="Arial"/>
        <family val="2"/>
      </rPr>
      <t>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phoneticPr fontId="6" type="noConversion"/>
  </si>
  <si>
    <r>
      <t>1</t>
    </r>
    <r>
      <rPr>
        <sz val="10"/>
        <color indexed="8"/>
        <rFont val="宋体"/>
        <family val="3"/>
        <charset val="134"/>
      </rPr>
      <t>号楼</t>
    </r>
    <phoneticPr fontId="3" type="noConversion"/>
  </si>
  <si>
    <r>
      <t>2号楼</t>
    </r>
    <r>
      <rPr>
        <sz val="10"/>
        <color indexed="8"/>
        <rFont val="宋体"/>
        <family val="3"/>
        <charset val="134"/>
      </rPr>
      <t/>
    </r>
  </si>
  <si>
    <r>
      <t>3号楼</t>
    </r>
    <r>
      <rPr>
        <sz val="10"/>
        <color indexed="8"/>
        <rFont val="宋体"/>
        <family val="3"/>
        <charset val="134"/>
      </rPr>
      <t/>
    </r>
  </si>
  <si>
    <r>
      <t>4</t>
    </r>
    <r>
      <rPr>
        <sz val="10"/>
        <color indexed="8"/>
        <rFont val="宋体"/>
        <family val="3"/>
        <charset val="134"/>
      </rPr>
      <t>号</t>
    </r>
    <phoneticPr fontId="3" type="noConversion"/>
  </si>
  <si>
    <r>
      <t>5</t>
    </r>
    <r>
      <rPr>
        <sz val="10"/>
        <color indexed="8"/>
        <rFont val="宋体"/>
        <family val="3"/>
        <charset val="134"/>
      </rPr>
      <t>号</t>
    </r>
    <phoneticPr fontId="3" type="noConversion"/>
  </si>
  <si>
    <r>
      <t>6</t>
    </r>
    <r>
      <rPr>
        <sz val="11"/>
        <color indexed="8"/>
        <rFont val="宋体"/>
        <family val="3"/>
        <charset val="134"/>
      </rPr>
      <t>号</t>
    </r>
    <phoneticPr fontId="3" type="noConversion"/>
  </si>
  <si>
    <t>否</t>
  </si>
  <si>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</si>
  <si>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</si>
  <si>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</si>
  <si>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</si>
  <si>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</si>
  <si>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</si>
  <si>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</si>
  <si>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</si>
  <si>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</si>
  <si>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</si>
  <si>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</si>
  <si>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</si>
  <si>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</si>
  <si>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</si>
  <si>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</si>
  <si>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</si>
  <si>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</si>
  <si>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</si>
  <si>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</si>
  <si>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</si>
  <si>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</si>
  <si>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</si>
  <si>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</si>
  <si>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</si>
  <si>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</si>
  <si>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</si>
  <si>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</si>
  <si>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</si>
  <si>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</si>
  <si>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</si>
  <si>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</si>
  <si>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</si>
  <si>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</si>
  <si>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</si>
  <si>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</si>
  <si>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</si>
  <si>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</si>
  <si>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</si>
  <si>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</si>
  <si>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</si>
  <si>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</si>
  <si>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</si>
  <si>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</si>
  <si>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</si>
  <si>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</si>
  <si>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</si>
  <si>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</si>
  <si>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</si>
  <si>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</si>
  <si>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</si>
  <si>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</si>
  <si>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</si>
  <si>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</si>
  <si>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</si>
  <si>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</si>
  <si>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</si>
  <si>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</si>
  <si>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年限调整</t>
    <phoneticPr fontId="134" type="noConversion"/>
  </si>
  <si>
    <t>北京市房山区燕房组团FS00-0226-0033地块M4工业研发用地</t>
  </si>
  <si>
    <t>京土整储挂(房)工业〔2023〕002号</t>
  </si>
  <si>
    <t xml:space="preserve"> 北京</t>
  </si>
  <si>
    <t xml:space="preserve"> 房山区</t>
  </si>
  <si>
    <t xml:space="preserve"> 城关</t>
  </si>
  <si>
    <t xml:space="preserve"> 房山区城关街道</t>
  </si>
  <si>
    <t xml:space="preserve"> 工业用地</t>
  </si>
  <si>
    <t xml:space="preserve"> 挂牌</t>
  </si>
  <si>
    <t xml:space="preserve"> M4工业研发用地</t>
  </si>
  <si>
    <t xml:space="preserve">-- </t>
  </si>
  <si>
    <t xml:space="preserve"> -- </t>
  </si>
  <si>
    <t xml:space="preserve"> --</t>
  </si>
  <si>
    <t xml:space="preserve"> 京土整储挂(房)工业〔2023〕002号</t>
  </si>
  <si>
    <t xml:space="preserve"> 已成交</t>
  </si>
  <si>
    <t xml:space="preserve"> 北京中联云天数据科技有限公司  </t>
  </si>
  <si>
    <t>2023-06-15 15:00</t>
  </si>
  <si>
    <t xml:space="preserve"> 20年</t>
  </si>
  <si>
    <t xml:space="preserve"> 已开工</t>
  </si>
  <si>
    <t>北京市房山区琉璃河镇FS06-0301-0012地块W1物流用地</t>
  </si>
  <si>
    <t>京土整储挂(房)工业〔2023〕001号</t>
  </si>
  <si>
    <t xml:space="preserve"> 窦店</t>
  </si>
  <si>
    <t xml:space="preserve"> 北京市房山区琉璃河镇</t>
  </si>
  <si>
    <t xml:space="preserve"> ≥1.2,≤1.2</t>
  </si>
  <si>
    <t xml:space="preserve"> W1物流用地</t>
  </si>
  <si>
    <t xml:space="preserve"> 京土整储挂(房)工业〔2023〕001 号</t>
  </si>
  <si>
    <t xml:space="preserve"> 北京高端制造业基地投资开发有限公司  </t>
  </si>
  <si>
    <t xml:space="preserve"> 北京高端制造业基地投资开发有限公司</t>
  </si>
  <si>
    <t xml:space="preserve"> 地方国有企业</t>
  </si>
  <si>
    <t>2023-04-17 15:00</t>
  </si>
  <si>
    <t>北京市房山区窦店新城组团FS00-0308-0030地块M1一类工业用地项目</t>
  </si>
  <si>
    <t>京土整储挂(房)工业[2022]002号</t>
  </si>
  <si>
    <t xml:space="preserve"> 窦店镇</t>
  </si>
  <si>
    <t xml:space="preserve"> M1一类工业用地</t>
  </si>
  <si>
    <t xml:space="preserve"> 京土整储挂(房)工业[2022]002号</t>
  </si>
  <si>
    <t>2023-02-02 15:00</t>
  </si>
  <si>
    <t>北京市房山区韩村河镇FS17-0101-0003地块M4工业研发用地项目</t>
  </si>
  <si>
    <t>京土整储挂(房)工业【2022】001号</t>
  </si>
  <si>
    <t xml:space="preserve"> 韩村河</t>
  </si>
  <si>
    <t xml:space="preserve"> 韩村河镇</t>
  </si>
  <si>
    <t xml:space="preserve"> 京土整储挂(房)工业【2022】001号</t>
  </si>
  <si>
    <t xml:space="preserve"> 北京乾景云海科技有限公司  </t>
  </si>
  <si>
    <t xml:space="preserve"> 乾景园林</t>
  </si>
  <si>
    <t xml:space="preserve"> 民营企业</t>
  </si>
  <si>
    <t>2023-01-10 15:00</t>
  </si>
  <si>
    <t>北京石化新材料科技产业基地核心区东区B7-13、B7-18地块工业用地项目</t>
  </si>
  <si>
    <t>京土整储挂(房)工业【2021】001号</t>
  </si>
  <si>
    <t xml:space="preserve"> 东风街道</t>
  </si>
  <si>
    <t xml:space="preserve"> 房山区城关街道前、后朱各庄村</t>
  </si>
  <si>
    <t xml:space="preserve"> ≤1.0</t>
  </si>
  <si>
    <t xml:space="preserve"> 45米</t>
  </si>
  <si>
    <t xml:space="preserve"> 京土整储挂(房)工业【2021】001号</t>
  </si>
  <si>
    <t xml:space="preserve"> 北京燕和盛投资管理有限公司  </t>
  </si>
  <si>
    <t xml:space="preserve"> 已竣工</t>
  </si>
  <si>
    <t>北京高端制造业基地06街区03地块工业用地项目</t>
  </si>
  <si>
    <t>京土整储挂(房)工业【2020】002号</t>
  </si>
  <si>
    <t xml:space="preserve"> 房山区窦店镇、良乡镇</t>
  </si>
  <si>
    <t xml:space="preserve"> ≤1.6</t>
  </si>
  <si>
    <t xml:space="preserve"> M4工业研发用地(医药健康产业)</t>
  </si>
  <si>
    <t xml:space="preserve"> 新型产业用地</t>
  </si>
  <si>
    <t xml:space="preserve"> 京土整储挂(房)工业【2020】002号</t>
  </si>
  <si>
    <t xml:space="preserve"> 北京京东方生命科技有限公司  </t>
  </si>
  <si>
    <t>北京高端制造业基地01街区01-02(2)地块工业用地项目</t>
  </si>
  <si>
    <t>京土整储挂(房)工业[2020]001号</t>
  </si>
  <si>
    <t xml:space="preserve"> 房山区窦店镇</t>
  </si>
  <si>
    <t xml:space="preserve"> ≤1.2</t>
  </si>
  <si>
    <t xml:space="preserve"> ≥40%</t>
  </si>
  <si>
    <t xml:space="preserve"> ≤30米</t>
  </si>
  <si>
    <t xml:space="preserve"> 京土整储挂(房)工业[2020]001号</t>
  </si>
  <si>
    <t>北京高端制造业基地06街区02地块项目</t>
  </si>
  <si>
    <t>京土整储挂(房)工业〔2019〕002号</t>
  </si>
  <si>
    <t xml:space="preserve"> 房山区窦店</t>
  </si>
  <si>
    <t xml:space="preserve"> M4工业研发用地、S4社会停车场用地</t>
  </si>
  <si>
    <t xml:space="preserve"> 京土整储挂(房)工业〔2019〕002号</t>
  </si>
  <si>
    <t xml:space="preserve"> 京东方科技</t>
  </si>
  <si>
    <t>北京高端制造业(房山)基地01街区01-02(1)地块工业用地项目</t>
  </si>
  <si>
    <t>京土整储挂(房)工业〔2018〕001号</t>
  </si>
  <si>
    <t xml:space="preserve"> 房山区窦店镇望楚村</t>
  </si>
  <si>
    <t xml:space="preserve"> 一类工业用地</t>
  </si>
  <si>
    <t xml:space="preserve"> 京土整储挂(房)工业〔2018〕001号</t>
  </si>
  <si>
    <t xml:space="preserve"> 北京龙源开关设备有限责任公司  </t>
  </si>
  <si>
    <t>北京高端制造业(房山)基地01街区01-03剩余地块工业用地项目</t>
  </si>
  <si>
    <t>京土整储挂(房)工业〔2018〕002号</t>
  </si>
  <si>
    <t xml:space="preserve"> 京土整储挂(房)工业〔2018〕002号</t>
  </si>
  <si>
    <t xml:space="preserve"> 北京岳氏安防科技有限公司  </t>
  </si>
  <si>
    <t>北京市高端制造业(房山)基地01街区01-03地块部分用地项目</t>
  </si>
  <si>
    <t>京土整储挂(房)工业[2017]001号</t>
  </si>
  <si>
    <t xml:space="preserve"> 京土整储挂(房)工业[2017]001号</t>
  </si>
  <si>
    <t xml:space="preserve"> 北京天仁道和新材料有限公司  </t>
  </si>
  <si>
    <t xml:space="preserve"> 50年</t>
  </si>
  <si>
    <t>北京石化新材料科技产业基地核心区东区B5-10(2)地块工业用地项目</t>
  </si>
  <si>
    <t>京土整储挂(房)工业[2016]002号</t>
  </si>
  <si>
    <t xml:space="preserve"> 北京市房山区城关街道前朱各庄村</t>
  </si>
  <si>
    <t xml:space="preserve"> 京土整储挂(房)工业[2016]002号</t>
  </si>
  <si>
    <t xml:space="preserve"> 北京环宇京辉京城气体科技有限公司  </t>
  </si>
  <si>
    <t>北京高端制造业(房山)基地03街区F区工业用地项目</t>
  </si>
  <si>
    <t>京土整储挂(房)工业[2016]001号</t>
  </si>
  <si>
    <t xml:space="preserve"> 北京市房山区窦店镇</t>
  </si>
  <si>
    <t xml:space="preserve"> 京土整储挂(房)工业[2016]001号</t>
  </si>
  <si>
    <t xml:space="preserve"> 北京中关村前沿技术产业发展有限公司  </t>
  </si>
  <si>
    <t>北京高端制造业基地03街区R区一期工业用地项目</t>
  </si>
  <si>
    <t>京土整储挂(房)工业[2015]005号</t>
  </si>
  <si>
    <t xml:space="preserve"> 京土整储挂(房)工业[2015]005号</t>
  </si>
  <si>
    <t xml:space="preserve"> 北京德信致远科技有限公司  </t>
  </si>
  <si>
    <t>北京石化新材料科技产业基地核心区东区B5-01地块(部分用地)工业用地项目</t>
  </si>
  <si>
    <t>京土整储挂(房)工业[2015]004号</t>
  </si>
  <si>
    <t xml:space="preserve"> 房山区城关街道前朱各庄村</t>
  </si>
  <si>
    <t xml:space="preserve"> 京土整储挂(房)工业[2015]004号</t>
  </si>
  <si>
    <t xml:space="preserve"> 北京中植医药科技有限公司  </t>
  </si>
  <si>
    <t>工业</t>
    <phoneticPr fontId="32" type="noConversion"/>
  </si>
  <si>
    <t>七通</t>
  </si>
  <si>
    <t>四通</t>
  </si>
  <si>
    <t>三通</t>
  </si>
  <si>
    <t>好</t>
  </si>
  <si>
    <t>差</t>
  </si>
  <si>
    <t>规则</t>
  </si>
  <si>
    <t>规则</t>
    <phoneticPr fontId="32" type="noConversion"/>
  </si>
  <si>
    <t>较规则</t>
  </si>
  <si>
    <t>较规则</t>
    <phoneticPr fontId="32" type="noConversion"/>
  </si>
  <si>
    <t>较不规则</t>
    <phoneticPr fontId="32" type="noConversion"/>
  </si>
  <si>
    <t>不规则</t>
    <phoneticPr fontId="32" type="noConversion"/>
  </si>
  <si>
    <t>建筑物</t>
    <phoneticPr fontId="3" type="noConversion"/>
  </si>
  <si>
    <t>土地</t>
    <phoneticPr fontId="3" type="noConversion"/>
  </si>
  <si>
    <t>总价</t>
  </si>
  <si>
    <t>收益法</t>
  </si>
  <si>
    <t>成本法</t>
  </si>
  <si>
    <t>地面单价</t>
    <phoneticPr fontId="134" type="noConversion"/>
  </si>
  <si>
    <t>单位面积地价</t>
  </si>
  <si>
    <t>加权平均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</si>
</sst>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xf numFmtId="43" fontId="270" fillId="0" borderId="0" applyFont="0" applyFill="0" applyBorder="0" applyAlignment="0" applyProtection="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69" fillId="0" borderId="0" xfId="19">
      <alignment vertical="center"/>
    </xf>
    <xf numFmtId="0" fontId="128" fillId="0" borderId="51" xfId="0" applyNumberFormat="1" applyFont="1" applyFill="1" applyBorder="1" applyAlignment="1" applyProtection="1">
      <alignment horizontal="center" vertical="center" wrapText="1"/>
      <protection locked="0"/>
    </xf>
    <xf numFmtId="10" fontId="47" fillId="16" borderId="1" xfId="1" applyNumberFormat="1" applyFont="1" applyFill="1" applyBorder="1" applyAlignment="1" applyProtection="1">
      <alignment horizontal="center" vertical="center"/>
      <protection locked="0"/>
    </xf>
    <xf numFmtId="0" fontId="47" fillId="12" borderId="0" xfId="0" applyFont="1" applyFill="1" applyAlignment="1" applyProtection="1">
      <alignment horizontal="left" vertical="center"/>
      <protection locked="0"/>
    </xf>
    <xf numFmtId="0" fontId="77" fillId="0"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2" fontId="4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43" fontId="47" fillId="12" borderId="0" xfId="2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0" borderId="0" xfId="0" applyNumberFormat="1" applyFont="1" applyAlignment="1"/>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 name="千位分隔" xfId="20" builtinId="3"/>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28575</xdr:rowOff>
    </xdr:from>
    <xdr:to>
      <xdr:col>14</xdr:col>
      <xdr:colOff>495301</xdr:colOff>
      <xdr:row>44</xdr:row>
      <xdr:rowOff>137302</xdr:rowOff>
    </xdr:to>
    <xdr:pic>
      <xdr:nvPicPr>
        <xdr:cNvPr id="2" name="图片 1"/>
        <xdr:cNvPicPr>
          <a:picLocks noChangeAspect="1"/>
        </xdr:cNvPicPr>
      </xdr:nvPicPr>
      <xdr:blipFill rotWithShape="1">
        <a:blip xmlns:r="http://schemas.openxmlformats.org/officeDocument/2006/relationships" r:embed="rId1"/>
        <a:srcRect l="17719" r="16839"/>
        <a:stretch/>
      </xdr:blipFill>
      <xdr:spPr>
        <a:xfrm>
          <a:off x="0" y="200025"/>
          <a:ext cx="10096501" cy="74810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155645</xdr:rowOff>
    </xdr:from>
    <xdr:to>
      <xdr:col>13</xdr:col>
      <xdr:colOff>589031</xdr:colOff>
      <xdr:row>27</xdr:row>
      <xdr:rowOff>104071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27095"/>
          <a:ext cx="9504431" cy="4406126"/>
        </a:xfrm>
        <a:prstGeom prst="rect">
          <a:avLst/>
        </a:prstGeom>
      </xdr:spPr>
    </xdr:pic>
    <xdr:clientData/>
  </xdr:twoCellAnchor>
  <xdr:twoCellAnchor editAs="oneCell">
    <xdr:from>
      <xdr:col>0</xdr:col>
      <xdr:colOff>0</xdr:colOff>
      <xdr:row>29</xdr:row>
      <xdr:rowOff>133349</xdr:rowOff>
    </xdr:from>
    <xdr:to>
      <xdr:col>13</xdr:col>
      <xdr:colOff>562768</xdr:colOff>
      <xdr:row>55</xdr:row>
      <xdr:rowOff>133350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105399"/>
          <a:ext cx="9478168" cy="4457701"/>
        </a:xfrm>
        <a:prstGeom prst="rect">
          <a:avLst/>
        </a:prstGeom>
      </xdr:spPr>
    </xdr:pic>
    <xdr:clientData/>
  </xdr:twoCellAnchor>
  <xdr:twoCellAnchor editAs="oneCell">
    <xdr:from>
      <xdr:col>0</xdr:col>
      <xdr:colOff>0</xdr:colOff>
      <xdr:row>57</xdr:row>
      <xdr:rowOff>85725</xdr:rowOff>
    </xdr:from>
    <xdr:to>
      <xdr:col>13</xdr:col>
      <xdr:colOff>608983</xdr:colOff>
      <xdr:row>84</xdr:row>
      <xdr:rowOff>47625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858375"/>
          <a:ext cx="9524383" cy="45910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593;&#39029;&#19979;&#3673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北京市东流水路7号院1号楼房地产抵押价值预评估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受贵公司委托，我公司对北京市东流水路7号院1号楼房地产抵押价值进行了预评估。</v>
      </c>
    </row>
    <row r="7" spans="1:2" s="1202" customFormat="1">
      <c r="A7" s="1200" t="s">
        <v>566</v>
      </c>
      <c r="B7" s="1201" t="str">
        <f>'预评函-1'!A7</f>
        <v>估价对象为北京市东流水路7号院1号楼房地产，为所有。根据《国有土地使用证》[]，估价对象（分摊）出让国有建设用地使用权面积为52503.79平方米，建筑面积为27113.21平方米。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估价对象为北京市东流水路7号院1号楼房地产,为开发建设的，该项目尚在开发建设中。根据《国有土地使用证》[]，估价对象（分摊）出让国有建设用地使用权面积为52503.79平方米，规划建筑面积为27113.21平方米。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东流水路7号院1号楼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2023年9月26日（评估专业人员实地查勘之日）</v>
      </c>
    </row>
    <row r="13" spans="1:2" s="1202" customFormat="1">
      <c r="A13" s="1200" t="s">
        <v>529</v>
      </c>
      <c r="B13" s="1201" t="str">
        <f>'预评函-1'!A18</f>
        <v>本次估价的“房地产价值”是指在正常市场情况下，在价值时点2023年9月26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17896</v>
      </c>
    </row>
    <row r="21" spans="1:2" s="1202" customFormat="1">
      <c r="A21" s="1200" t="s">
        <v>537</v>
      </c>
      <c r="B21" s="1201">
        <f ca="1">'预评函-2'!D7</f>
        <v>6600</v>
      </c>
    </row>
    <row r="22" spans="1:2" s="1202" customFormat="1">
      <c r="A22" s="1200" t="s">
        <v>538</v>
      </c>
      <c r="B22" s="1201" t="str">
        <f ca="1">'预评函-2'!D6</f>
        <v>壹亿柒仟捌佰玖拾陆万元整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17896</v>
      </c>
    </row>
    <row r="31" spans="1:2" s="1202" customFormat="1">
      <c r="A31" s="1200" t="s">
        <v>576</v>
      </c>
      <c r="B31" s="1201">
        <f ca="1">'预评函-2'!D15</f>
        <v>6600</v>
      </c>
    </row>
    <row r="32" spans="1:2" s="1202" customFormat="1">
      <c r="A32" s="1200" t="s">
        <v>543</v>
      </c>
      <c r="B32" s="1201" t="str">
        <f ca="1">'预评函-2'!D14</f>
        <v>壹亿柒仟捌佰玖拾陆万元整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北京市东流水路7号院1号楼房地产</v>
      </c>
    </row>
    <row r="42" spans="1:2" s="1202" customFormat="1">
      <c r="A42" s="1200" t="s">
        <v>590</v>
      </c>
      <c r="B42" s="1201" t="str">
        <f>'预评函-3'!B2</f>
        <v>建筑面积</v>
      </c>
    </row>
    <row r="43" spans="1:2" s="1202" customFormat="1">
      <c r="A43" s="1200" t="s">
        <v>591</v>
      </c>
      <c r="B43" s="1201">
        <f>'预评函-3'!B4</f>
        <v>27113.21</v>
      </c>
    </row>
    <row r="44" spans="1:2" s="1202" customFormat="1">
      <c r="A44" s="1200" t="s">
        <v>575</v>
      </c>
      <c r="B44" s="1201" t="str">
        <f>'预评函-3'!C2</f>
        <v>(分摊)土地面积</v>
      </c>
    </row>
    <row r="45" spans="1:2" s="1202" customFormat="1">
      <c r="A45" s="1200" t="s">
        <v>547</v>
      </c>
      <c r="B45" s="1201">
        <f>'预评函-3'!C4</f>
        <v>52503.79</v>
      </c>
    </row>
    <row r="46" spans="1:2" s="1202" customFormat="1">
      <c r="A46" s="1200" t="s">
        <v>573</v>
      </c>
      <c r="B46" s="1201" t="str">
        <f>'预评函-3'!D2</f>
        <v>出让国有建设用地使用权价值</v>
      </c>
    </row>
    <row r="47" spans="1:2" s="1202" customFormat="1">
      <c r="A47" s="1200" t="s">
        <v>548</v>
      </c>
      <c r="B47" s="1201">
        <f ca="1">'预评函-3'!D4</f>
        <v>7552</v>
      </c>
    </row>
    <row r="48" spans="1:2" s="1202" customFormat="1">
      <c r="A48" s="1200" t="s">
        <v>549</v>
      </c>
      <c r="B48" s="1201">
        <f ca="1">'预评函-3'!E4</f>
        <v>2785</v>
      </c>
    </row>
    <row r="49" spans="1:2" s="1202" customFormat="1">
      <c r="A49" s="1200" t="s">
        <v>550</v>
      </c>
      <c r="B49" s="1201" t="str">
        <f ca="1">'预评函-3'!D5</f>
        <v>柒仟伍佰伍拾贰万元整</v>
      </c>
    </row>
    <row r="50" spans="1:2" s="1202" customFormat="1">
      <c r="A50" s="1200" t="s">
        <v>574</v>
      </c>
      <c r="B50" s="1201" t="str">
        <f>'预评函-3'!F2</f>
        <v>在建建筑物价值</v>
      </c>
    </row>
    <row r="51" spans="1:2" s="1202" customFormat="1">
      <c r="A51" s="1200" t="s">
        <v>551</v>
      </c>
      <c r="B51" s="1201">
        <f ca="1">'预评函-3'!F4</f>
        <v>10344</v>
      </c>
    </row>
    <row r="52" spans="1:2" s="1202" customFormat="1">
      <c r="A52" s="1200" t="s">
        <v>552</v>
      </c>
      <c r="B52" s="1201">
        <f ca="1">'预评函-3'!G4</f>
        <v>3815</v>
      </c>
    </row>
    <row r="53" spans="1:2" s="1202" customFormat="1">
      <c r="A53" s="1200" t="s">
        <v>580</v>
      </c>
      <c r="B53" s="1201" t="str">
        <f ca="1">'预评函-3'!F5</f>
        <v>壹亿零叁佰肆拾肆万元整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3338</v>
      </c>
    </row>
    <row r="8" spans="1:23">
      <c r="A8" s="1545" t="s">
        <v>1026</v>
      </c>
      <c r="B8" s="1545" t="s">
        <v>1027</v>
      </c>
      <c r="C8" s="1546" t="s">
        <v>319</v>
      </c>
      <c r="F8" s="1547" t="s">
        <v>1028</v>
      </c>
      <c r="H8" s="1547" t="s">
        <v>2571</v>
      </c>
      <c r="I8" s="1547" t="s">
        <v>3339</v>
      </c>
    </row>
    <row r="9" spans="1:23">
      <c r="A9" s="1545" t="s">
        <v>1029</v>
      </c>
      <c r="B9" s="1545" t="s">
        <v>1030</v>
      </c>
      <c r="C9" s="1546" t="s">
        <v>320</v>
      </c>
      <c r="F9" s="1547" t="s">
        <v>1031</v>
      </c>
      <c r="H9" s="1547"/>
      <c r="I9" s="1550" t="s">
        <v>3340</v>
      </c>
    </row>
    <row r="10" spans="1:23">
      <c r="A10" s="1545" t="s">
        <v>1032</v>
      </c>
      <c r="B10" s="1545" t="s">
        <v>1033</v>
      </c>
      <c r="C10" s="1546" t="s">
        <v>321</v>
      </c>
      <c r="F10" s="1547" t="s">
        <v>2572</v>
      </c>
      <c r="I10" s="1550" t="s">
        <v>3341</v>
      </c>
    </row>
    <row r="11" spans="1:23">
      <c r="A11" s="1545" t="s">
        <v>1034</v>
      </c>
      <c r="B11" s="1545" t="s">
        <v>1035</v>
      </c>
      <c r="C11" s="1546" t="s">
        <v>322</v>
      </c>
      <c r="F11" s="1547" t="s">
        <v>13</v>
      </c>
      <c r="I11" s="1550" t="s">
        <v>3342</v>
      </c>
    </row>
    <row r="12" spans="1:23">
      <c r="A12" s="1545" t="s">
        <v>1036</v>
      </c>
      <c r="B12" s="1545" t="s">
        <v>1037</v>
      </c>
      <c r="C12" s="1546" t="s">
        <v>323</v>
      </c>
      <c r="I12" s="1550" t="s">
        <v>3343</v>
      </c>
    </row>
    <row r="13" spans="1:23">
      <c r="A13" s="1545" t="s">
        <v>1038</v>
      </c>
      <c r="B13" s="1545" t="s">
        <v>1039</v>
      </c>
      <c r="C13" s="1546" t="s">
        <v>324</v>
      </c>
      <c r="I13" s="1550" t="s">
        <v>3344</v>
      </c>
    </row>
    <row r="14" spans="1:23">
      <c r="A14" s="1545" t="s">
        <v>1040</v>
      </c>
      <c r="B14" s="1545" t="s">
        <v>1041</v>
      </c>
      <c r="C14" s="1547" t="s">
        <v>13</v>
      </c>
      <c r="I14" s="1550" t="s">
        <v>3345</v>
      </c>
    </row>
    <row r="15" spans="1:23">
      <c r="A15" s="1545" t="s">
        <v>1042</v>
      </c>
      <c r="B15" s="1545" t="s">
        <v>1043</v>
      </c>
      <c r="C15" s="1546"/>
      <c r="I15" s="1550" t="s">
        <v>3346</v>
      </c>
    </row>
    <row r="16" spans="1:23">
      <c r="A16" s="1545" t="s">
        <v>1044</v>
      </c>
      <c r="B16" s="1545" t="s">
        <v>312</v>
      </c>
      <c r="C16" s="1546"/>
    </row>
    <row r="17" spans="1:3">
      <c r="A17" s="1545" t="s">
        <v>1045</v>
      </c>
      <c r="B17" s="1545" t="s">
        <v>2283</v>
      </c>
      <c r="C17" s="1546"/>
    </row>
    <row r="18" spans="1:3">
      <c r="A18" s="1545" t="s">
        <v>1046</v>
      </c>
      <c r="B18" s="1545" t="s">
        <v>2427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流水路7号院1号楼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3" t="s">
        <v>385</v>
      </c>
      <c r="C54" s="1550" t="s">
        <v>583</v>
      </c>
    </row>
    <row r="55" spans="1:4">
      <c r="A55" s="3505"/>
      <c r="B55" s="1553" t="s">
        <v>386</v>
      </c>
      <c r="C55" s="1550" t="s">
        <v>584</v>
      </c>
    </row>
    <row r="56" spans="1:4">
      <c r="A56" s="3505"/>
      <c r="B56" s="1553" t="s">
        <v>387</v>
      </c>
      <c r="C56" s="1550" t="s">
        <v>588</v>
      </c>
    </row>
    <row r="57" spans="1:4">
      <c r="A57" s="350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zoomScaleNormal="100" workbookViewId="0">
      <selection activeCell="C18" sqref="C18"/>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2494</v>
      </c>
      <c r="B1" s="3013"/>
      <c r="C1" s="3013"/>
      <c r="D1" s="3013"/>
      <c r="E1" s="3013"/>
      <c r="F1" s="3014"/>
      <c r="I1" s="3436" t="s">
        <v>2587</v>
      </c>
      <c r="J1" s="3225"/>
      <c r="K1" s="3225"/>
      <c r="L1" s="3225"/>
      <c r="M1" s="3225"/>
      <c r="N1" s="3437"/>
      <c r="O1" s="3437"/>
      <c r="P1" s="3437"/>
      <c r="Q1" s="3437"/>
      <c r="R1" s="3437"/>
    </row>
    <row r="2" spans="1:18">
      <c r="A2" s="3016"/>
      <c r="B2" s="3017"/>
      <c r="C2" s="3017"/>
      <c r="D2" s="3017"/>
      <c r="E2" s="3017"/>
      <c r="F2" s="3018"/>
      <c r="I2" s="3506" t="s">
        <v>2574</v>
      </c>
      <c r="J2" s="3506"/>
      <c r="K2" s="3506"/>
      <c r="L2" s="3506"/>
      <c r="M2" s="3506"/>
      <c r="N2" s="3506"/>
      <c r="O2" s="3506"/>
      <c r="P2" s="3506"/>
      <c r="Q2" s="3506"/>
      <c r="R2" s="3506"/>
    </row>
    <row r="3" spans="1:18">
      <c r="A3" s="3019" t="s">
        <v>2495</v>
      </c>
      <c r="B3" s="3020">
        <f>项目基本情况!D3</f>
        <v>45195</v>
      </c>
      <c r="C3" s="3022"/>
      <c r="D3" s="3022"/>
      <c r="E3" s="3022"/>
      <c r="F3" s="3018"/>
      <c r="I3" s="3438"/>
      <c r="J3" s="3438" t="s">
        <v>2578</v>
      </c>
      <c r="K3" s="3438" t="s">
        <v>2579</v>
      </c>
      <c r="L3" s="3438" t="s">
        <v>2580</v>
      </c>
      <c r="M3" s="3438" t="s">
        <v>2581</v>
      </c>
      <c r="N3" s="3439" t="s">
        <v>2582</v>
      </c>
      <c r="O3" s="3439" t="s">
        <v>2583</v>
      </c>
      <c r="P3" s="3439" t="s">
        <v>2584</v>
      </c>
      <c r="Q3" s="3439" t="s">
        <v>2585</v>
      </c>
      <c r="R3" s="3439" t="s">
        <v>2586</v>
      </c>
    </row>
    <row r="4" spans="1:18">
      <c r="A4" s="3019" t="s">
        <v>2496</v>
      </c>
      <c r="B4" s="3022" t="s">
        <v>2497</v>
      </c>
      <c r="C4" s="3022" t="s">
        <v>2498</v>
      </c>
      <c r="D4" s="3022" t="s">
        <v>2499</v>
      </c>
      <c r="E4" s="3022" t="s">
        <v>2500</v>
      </c>
      <c r="F4" s="3018"/>
      <c r="I4" s="3438" t="s">
        <v>2575</v>
      </c>
      <c r="J4" s="3438">
        <v>80</v>
      </c>
      <c r="K4" s="3438">
        <v>70</v>
      </c>
      <c r="L4" s="3438">
        <v>20</v>
      </c>
      <c r="M4" s="3438">
        <v>30</v>
      </c>
      <c r="N4" s="3022">
        <v>45</v>
      </c>
      <c r="O4" s="3022">
        <v>60</v>
      </c>
      <c r="P4" s="3022">
        <v>50</v>
      </c>
      <c r="Q4" s="3022">
        <v>20</v>
      </c>
      <c r="R4" s="3022">
        <v>375</v>
      </c>
    </row>
    <row r="5" spans="1:18">
      <c r="A5" s="3023">
        <v>40</v>
      </c>
      <c r="B5" s="3020">
        <v>46375</v>
      </c>
      <c r="C5" s="3022">
        <f>ROUNDDOWN(MIN((B5-B3)/365,A5),2)</f>
        <v>3.23</v>
      </c>
      <c r="D5" s="3024">
        <f>IF(ISERROR(ROUND(POWER(1+E5,A5-C5)*(POWER(1+E5,C5)-1)/(POWER(1+E5,A5)-1),3)),0,ROUND(POWER(1+E5,A5-C5)*(POWER(1+E5,C5)-1)/(POWER(1+E5,A5)-1),4))</f>
        <v>0.15029999999999999</v>
      </c>
      <c r="E5" s="3025">
        <v>0.04</v>
      </c>
      <c r="F5" s="3018"/>
      <c r="I5" s="3438" t="s">
        <v>2576</v>
      </c>
      <c r="J5" s="3438">
        <v>70</v>
      </c>
      <c r="K5" s="3438">
        <v>60</v>
      </c>
      <c r="L5" s="3438">
        <v>15</v>
      </c>
      <c r="M5" s="3438">
        <v>25</v>
      </c>
      <c r="N5" s="3022">
        <v>40</v>
      </c>
      <c r="O5" s="3022">
        <v>50</v>
      </c>
      <c r="P5" s="3022">
        <v>40</v>
      </c>
      <c r="Q5" s="3022">
        <v>15</v>
      </c>
      <c r="R5" s="3022">
        <v>315</v>
      </c>
    </row>
    <row r="6" spans="1:18">
      <c r="A6" s="3023">
        <v>50</v>
      </c>
      <c r="B6" s="3020">
        <v>50028</v>
      </c>
      <c r="C6" s="3022">
        <f>ROUNDDOWN(MIN((B6-B3)/365,A6),2)</f>
        <v>13.24</v>
      </c>
      <c r="D6" s="3024">
        <f>IF(ISERROR(ROUND(POWER(1+E6,A6-C6)*(POWER(1+E6,C6)-1)/(POWER(1+E6,A6)-1),3)),0,ROUND(POWER(1+E6,A6-C6)*(POWER(1+E6,C6)-1)/(POWER(1+E6,A6)-1),4))</f>
        <v>0.47139999999999999</v>
      </c>
      <c r="E6" s="3025">
        <v>0.04</v>
      </c>
      <c r="F6" s="3018"/>
      <c r="I6" s="3438" t="s">
        <v>2577</v>
      </c>
      <c r="J6" s="3438">
        <v>60</v>
      </c>
      <c r="K6" s="3438">
        <v>50</v>
      </c>
      <c r="L6" s="3438">
        <v>10</v>
      </c>
      <c r="M6" s="3438">
        <v>20</v>
      </c>
      <c r="N6" s="3022">
        <v>35</v>
      </c>
      <c r="O6" s="3022">
        <v>40</v>
      </c>
      <c r="P6" s="3022">
        <v>30</v>
      </c>
      <c r="Q6" s="3022">
        <v>10</v>
      </c>
      <c r="R6" s="3022">
        <v>255</v>
      </c>
    </row>
    <row r="7" spans="1:18">
      <c r="A7" s="3023">
        <v>70</v>
      </c>
      <c r="B7" s="3020">
        <v>57333</v>
      </c>
      <c r="C7" s="3022">
        <f>ROUNDDOWN(MIN((B7-B3)/365,A7),2)</f>
        <v>33.25</v>
      </c>
      <c r="D7" s="3024">
        <f>IF(ISERROR(ROUND(POWER(1+E7,A7-C7)*(POWER(1+E7,C7)-1)/(POWER(1+E7,A7)-1),3)),0,ROUND(POWER(1+E7,A7-C7)*(POWER(1+E7,C7)-1)/(POWER(1+E7,A7)-1),4))</f>
        <v>0.77859999999999996</v>
      </c>
      <c r="E7" s="3025">
        <v>0.04</v>
      </c>
      <c r="F7" s="3018"/>
    </row>
    <row r="8" spans="1:18">
      <c r="A8" s="3016"/>
      <c r="B8" s="3017"/>
      <c r="C8" s="3017"/>
      <c r="D8" s="3017"/>
      <c r="E8" s="3017"/>
      <c r="F8" s="3018"/>
    </row>
    <row r="9" spans="1:18">
      <c r="A9" s="3019" t="s">
        <v>2501</v>
      </c>
      <c r="B9" s="3022"/>
      <c r="C9" s="3022"/>
      <c r="D9" s="3022"/>
      <c r="E9" s="3022"/>
      <c r="F9" s="3026"/>
    </row>
    <row r="10" spans="1:18">
      <c r="A10" s="3019" t="s">
        <v>2502</v>
      </c>
      <c r="B10" s="3022"/>
      <c r="C10" s="3022"/>
      <c r="D10" s="3022" t="s">
        <v>2500</v>
      </c>
      <c r="E10" s="3022"/>
      <c r="F10" s="3026" t="s">
        <v>2499</v>
      </c>
    </row>
    <row r="11" spans="1:18">
      <c r="A11" s="3019" t="s">
        <v>2503</v>
      </c>
      <c r="B11" s="3027">
        <v>50</v>
      </c>
      <c r="C11" s="3022" t="s">
        <v>2504</v>
      </c>
      <c r="D11" s="3028">
        <v>0.05</v>
      </c>
      <c r="E11" s="3022" t="s">
        <v>2505</v>
      </c>
      <c r="F11" s="3029">
        <f>ROUND(1-(1/(POWER(1+D11,B11))),4)</f>
        <v>0.91279999999999994</v>
      </c>
    </row>
    <row r="12" spans="1:18">
      <c r="A12" s="3019" t="s">
        <v>2506</v>
      </c>
      <c r="B12" s="3027">
        <v>20</v>
      </c>
      <c r="C12" s="3022" t="s">
        <v>2507</v>
      </c>
      <c r="D12" s="3028">
        <v>0.05</v>
      </c>
      <c r="E12" s="3022" t="s">
        <v>2508</v>
      </c>
      <c r="F12" s="3029">
        <f>ROUND(1-(1/(POWER(1+D12,B12))),4)</f>
        <v>0.62309999999999999</v>
      </c>
    </row>
    <row r="13" spans="1:18">
      <c r="A13" s="3019" t="s">
        <v>2509</v>
      </c>
      <c r="B13" s="3022"/>
      <c r="C13" s="3022"/>
      <c r="D13" s="3017"/>
      <c r="E13" s="3017"/>
      <c r="F13" s="3018"/>
    </row>
    <row r="14" spans="1:18">
      <c r="A14" s="3019" t="s">
        <v>2510</v>
      </c>
      <c r="B14" s="3027">
        <v>5000</v>
      </c>
      <c r="C14" s="3021"/>
      <c r="D14" s="3017"/>
      <c r="E14" s="3017"/>
      <c r="F14" s="3018"/>
    </row>
    <row r="15" spans="1:18">
      <c r="A15" s="3019" t="s">
        <v>2511</v>
      </c>
      <c r="B15" s="3022">
        <f>ROUND(B14*F12/F11,2)</f>
        <v>3413.12</v>
      </c>
      <c r="C15" s="3022">
        <f>ROUND(F12/F11,4)</f>
        <v>0.68259999999999998</v>
      </c>
      <c r="D15" s="3017"/>
      <c r="E15" s="3017"/>
      <c r="F15" s="3018"/>
    </row>
    <row r="16" spans="1:18">
      <c r="A16" s="3019" t="s">
        <v>2512</v>
      </c>
      <c r="B16" s="3022"/>
      <c r="C16" s="3022"/>
      <c r="D16" s="3017"/>
      <c r="E16" s="3017"/>
      <c r="F16" s="3018"/>
    </row>
    <row r="17" spans="1:13">
      <c r="A17" s="3019" t="s">
        <v>2511</v>
      </c>
      <c r="B17" s="3028">
        <v>4810</v>
      </c>
      <c r="C17" s="3021"/>
      <c r="D17" s="3017"/>
      <c r="E17" s="3017"/>
      <c r="F17" s="3018"/>
    </row>
    <row r="18" spans="1:13" ht="14.25" thickBot="1">
      <c r="A18" s="3030" t="s">
        <v>2510</v>
      </c>
      <c r="B18" s="3031">
        <f>ROUND(B17*F11/F12,2)</f>
        <v>7046.33</v>
      </c>
      <c r="C18" s="3031">
        <f>ROUND(F11/F12,4)</f>
        <v>1.4649000000000001</v>
      </c>
      <c r="D18" s="3032"/>
      <c r="E18" s="3032"/>
      <c r="F18" s="3033"/>
    </row>
    <row r="19" spans="1:13" ht="14.25" thickBot="1"/>
    <row r="20" spans="1:13" s="3068" customFormat="1" ht="14.25" thickTop="1">
      <c r="A20" s="3065" t="s">
        <v>2513</v>
      </c>
      <c r="B20" s="3066"/>
      <c r="C20" s="3066"/>
      <c r="D20" s="3066"/>
      <c r="E20" s="3066"/>
      <c r="F20" s="3066"/>
      <c r="G20" s="3067"/>
      <c r="I20" s="3069" t="s">
        <v>2558</v>
      </c>
      <c r="J20" s="3069" t="s">
        <v>2563</v>
      </c>
      <c r="K20" s="3069"/>
      <c r="L20" s="3069"/>
      <c r="M20" s="3069"/>
    </row>
    <row r="21" spans="1:13">
      <c r="A21" s="3034"/>
      <c r="B21" s="3035" t="s">
        <v>2514</v>
      </c>
      <c r="C21" s="3035" t="s">
        <v>2515</v>
      </c>
      <c r="D21" s="3035" t="s">
        <v>2516</v>
      </c>
      <c r="E21" s="3035" t="s">
        <v>2517</v>
      </c>
      <c r="F21" s="3035" t="s">
        <v>2518</v>
      </c>
      <c r="G21" s="3036" t="s">
        <v>2519</v>
      </c>
      <c r="I21" s="3057">
        <v>5</v>
      </c>
      <c r="J21" s="3057">
        <v>54.2</v>
      </c>
    </row>
    <row r="22" spans="1:13">
      <c r="A22" s="3034" t="s">
        <v>2520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2561</v>
      </c>
      <c r="M23" s="3057" t="s">
        <v>2562</v>
      </c>
    </row>
    <row r="24" spans="1:13">
      <c r="A24" s="3034" t="s">
        <v>2522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2560</v>
      </c>
      <c r="M24" s="3057">
        <v>10</v>
      </c>
    </row>
    <row r="25" spans="1:13">
      <c r="A25" s="3034" t="s">
        <v>2523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2564</v>
      </c>
      <c r="M25" s="3057">
        <v>8</v>
      </c>
    </row>
    <row r="26" spans="1:13">
      <c r="A26" s="3039"/>
      <c r="B26" s="3040"/>
      <c r="C26" s="3040"/>
      <c r="D26" s="3040"/>
      <c r="E26" s="3040"/>
      <c r="F26" s="3040"/>
      <c r="G26" s="3041"/>
      <c r="I26" s="3057">
        <v>30</v>
      </c>
      <c r="J26" s="3057">
        <v>90.5</v>
      </c>
      <c r="K26" s="3057">
        <f t="shared" si="2"/>
        <v>4.2000000000000028</v>
      </c>
      <c r="L26" s="3057" t="s">
        <v>2565</v>
      </c>
      <c r="M26" s="3057">
        <v>5</v>
      </c>
    </row>
    <row r="27" spans="1:13">
      <c r="A27" s="3039" t="s">
        <v>2524</v>
      </c>
      <c r="B27" s="3040"/>
      <c r="C27" s="3040"/>
      <c r="D27" s="3040"/>
      <c r="E27" s="3040"/>
      <c r="F27" s="3040"/>
      <c r="G27" s="3041"/>
      <c r="I27" s="3057">
        <v>35</v>
      </c>
      <c r="J27" s="3057">
        <v>93.8</v>
      </c>
      <c r="K27" s="3057">
        <f t="shared" si="2"/>
        <v>3.2999999999999972</v>
      </c>
      <c r="L27" s="3057" t="s">
        <v>2566</v>
      </c>
      <c r="M27" s="3057">
        <v>3</v>
      </c>
    </row>
    <row r="28" spans="1:13">
      <c r="A28" s="3039" t="s">
        <v>2525</v>
      </c>
      <c r="B28" s="3040"/>
      <c r="C28" s="3040"/>
      <c r="D28" s="3040"/>
      <c r="E28" s="3040"/>
      <c r="F28" s="3040"/>
      <c r="G28" s="3041"/>
      <c r="I28" s="3057">
        <v>40</v>
      </c>
      <c r="J28" s="3057">
        <v>96.4</v>
      </c>
      <c r="K28" s="3057">
        <f t="shared" si="2"/>
        <v>2.6000000000000085</v>
      </c>
      <c r="L28" s="3057" t="s">
        <v>2567</v>
      </c>
      <c r="M28" s="3057">
        <v>2</v>
      </c>
    </row>
    <row r="29" spans="1:13">
      <c r="A29" s="3039" t="s">
        <v>2526</v>
      </c>
      <c r="B29" s="3040"/>
      <c r="C29" s="3040"/>
      <c r="D29" s="3040"/>
      <c r="E29" s="3040"/>
      <c r="F29" s="3040"/>
      <c r="G29" s="3041"/>
      <c r="I29" s="3057">
        <v>45</v>
      </c>
      <c r="J29" s="3057">
        <v>98.4</v>
      </c>
      <c r="K29" s="3057">
        <f t="shared" si="2"/>
        <v>2</v>
      </c>
    </row>
    <row r="30" spans="1:13">
      <c r="A30" s="3039" t="s">
        <v>2527</v>
      </c>
      <c r="B30" s="3040"/>
      <c r="C30" s="3040"/>
      <c r="D30" s="3040"/>
      <c r="E30" s="3040"/>
      <c r="F30" s="3040"/>
      <c r="G30" s="3041"/>
      <c r="I30" s="3057">
        <v>50</v>
      </c>
      <c r="J30" s="3057">
        <v>100</v>
      </c>
      <c r="K30" s="3057">
        <f t="shared" si="2"/>
        <v>1.5999999999999943</v>
      </c>
    </row>
    <row r="31" spans="1:13">
      <c r="A31" s="3039" t="s">
        <v>2528</v>
      </c>
      <c r="B31" s="3040"/>
      <c r="C31" s="3040"/>
      <c r="D31" s="3040"/>
      <c r="E31" s="3040"/>
      <c r="F31" s="3040"/>
      <c r="G31" s="3041"/>
      <c r="I31" s="3057" t="s">
        <v>2559</v>
      </c>
    </row>
    <row r="32" spans="1:13">
      <c r="A32" s="3039" t="s">
        <v>2529</v>
      </c>
      <c r="B32" s="3040"/>
      <c r="C32" s="3040"/>
      <c r="D32" s="3040"/>
      <c r="E32" s="3040"/>
      <c r="F32" s="3040"/>
      <c r="G32" s="3041"/>
    </row>
    <row r="33" spans="1:13">
      <c r="A33" s="3039" t="s">
        <v>2530</v>
      </c>
      <c r="B33" s="3040"/>
      <c r="C33" s="3040"/>
      <c r="D33" s="3040"/>
      <c r="E33" s="3040"/>
      <c r="F33" s="3040"/>
      <c r="G33" s="3041"/>
      <c r="I33" s="3057" t="s">
        <v>2558</v>
      </c>
      <c r="J33" s="3057" t="s">
        <v>2568</v>
      </c>
    </row>
    <row r="34" spans="1:13">
      <c r="A34" s="3039" t="s">
        <v>2531</v>
      </c>
      <c r="B34" s="3040"/>
      <c r="C34" s="3040"/>
      <c r="D34" s="3040"/>
      <c r="E34" s="3040"/>
      <c r="F34" s="3040"/>
      <c r="G34" s="3041"/>
      <c r="I34" s="3057">
        <v>5</v>
      </c>
      <c r="J34" s="3057">
        <v>55.1</v>
      </c>
    </row>
    <row r="35" spans="1:13">
      <c r="A35" s="3039" t="s">
        <v>2532</v>
      </c>
      <c r="B35" s="3040"/>
      <c r="C35" s="3040"/>
      <c r="D35" s="3040"/>
      <c r="E35" s="3040"/>
      <c r="F35" s="3040"/>
      <c r="G35" s="3041"/>
      <c r="I35" s="3057">
        <v>10</v>
      </c>
      <c r="J35" s="3057">
        <v>67</v>
      </c>
      <c r="K35" s="3057">
        <f>J35-J34</f>
        <v>11.899999999999999</v>
      </c>
    </row>
    <row r="36" spans="1:13">
      <c r="A36" s="3039" t="s">
        <v>2533</v>
      </c>
      <c r="B36" s="3040"/>
      <c r="C36" s="3040"/>
      <c r="D36" s="3040"/>
      <c r="E36" s="3040"/>
      <c r="F36" s="3040"/>
      <c r="G36" s="3041"/>
      <c r="I36" s="3057">
        <v>15</v>
      </c>
      <c r="J36" s="3057">
        <v>76.3</v>
      </c>
      <c r="K36" s="3057">
        <f t="shared" ref="K36:K41" si="3">J36-J35</f>
        <v>9.2999999999999972</v>
      </c>
      <c r="L36" s="3057" t="s">
        <v>2561</v>
      </c>
      <c r="M36" s="3057" t="s">
        <v>2562</v>
      </c>
    </row>
    <row r="37" spans="1:13">
      <c r="A37" s="3039" t="s">
        <v>2534</v>
      </c>
      <c r="B37" s="3040"/>
      <c r="C37" s="3040"/>
      <c r="D37" s="3040"/>
      <c r="E37" s="3040"/>
      <c r="F37" s="3040"/>
      <c r="G37" s="3041"/>
      <c r="I37" s="3057">
        <v>20</v>
      </c>
      <c r="J37" s="3057">
        <v>83.6</v>
      </c>
      <c r="K37" s="3057">
        <f t="shared" si="3"/>
        <v>7.2999999999999972</v>
      </c>
      <c r="L37" s="3057" t="s">
        <v>2560</v>
      </c>
      <c r="M37" s="3057">
        <v>10</v>
      </c>
    </row>
    <row r="38" spans="1:13">
      <c r="A38" s="3039" t="s">
        <v>2535</v>
      </c>
      <c r="B38" s="3040"/>
      <c r="C38" s="3040"/>
      <c r="D38" s="3040"/>
      <c r="E38" s="3040"/>
      <c r="F38" s="3040"/>
      <c r="G38" s="3041"/>
      <c r="I38" s="3057">
        <v>25</v>
      </c>
      <c r="J38" s="3057">
        <v>89.3</v>
      </c>
      <c r="K38" s="3057">
        <f t="shared" si="3"/>
        <v>5.7000000000000028</v>
      </c>
      <c r="L38" s="3057" t="s">
        <v>2564</v>
      </c>
      <c r="M38" s="3057">
        <v>8</v>
      </c>
    </row>
    <row r="39" spans="1:13">
      <c r="A39" s="3039"/>
      <c r="B39" s="3040"/>
      <c r="C39" s="3040"/>
      <c r="D39" s="3040"/>
      <c r="E39" s="3040"/>
      <c r="F39" s="3040"/>
      <c r="G39" s="3041"/>
      <c r="I39" s="3057">
        <v>30</v>
      </c>
      <c r="J39" s="3057">
        <v>93.8</v>
      </c>
      <c r="K39" s="3057">
        <f t="shared" si="3"/>
        <v>4.5</v>
      </c>
      <c r="L39" s="3057" t="s">
        <v>2565</v>
      </c>
      <c r="M39" s="3057">
        <v>6</v>
      </c>
    </row>
    <row r="40" spans="1:13">
      <c r="A40" s="3042" t="s">
        <v>2536</v>
      </c>
      <c r="B40" s="3043"/>
      <c r="C40" s="3043"/>
      <c r="D40" s="3043"/>
      <c r="E40" s="3043"/>
      <c r="F40" s="3043"/>
      <c r="G40" s="3044"/>
      <c r="I40" s="3057">
        <v>35</v>
      </c>
      <c r="J40" s="3057">
        <v>97.2</v>
      </c>
      <c r="K40" s="3057">
        <f t="shared" si="3"/>
        <v>3.4000000000000057</v>
      </c>
      <c r="L40" s="3057" t="s">
        <v>2566</v>
      </c>
      <c r="M40" s="3057">
        <v>3</v>
      </c>
    </row>
    <row r="41" spans="1:13">
      <c r="A41" s="3045" t="s">
        <v>2537</v>
      </c>
      <c r="B41" s="3046" t="s">
        <v>2538</v>
      </c>
      <c r="C41" s="3047" t="s">
        <v>2539</v>
      </c>
      <c r="D41" s="3047" t="s">
        <v>2540</v>
      </c>
      <c r="E41" s="3048"/>
      <c r="F41" s="3049"/>
      <c r="G41" s="3050"/>
      <c r="I41" s="3057">
        <v>40</v>
      </c>
      <c r="J41" s="3057">
        <v>100</v>
      </c>
      <c r="K41" s="3057">
        <f t="shared" si="3"/>
        <v>2.7999999999999972</v>
      </c>
    </row>
    <row r="42" spans="1:13">
      <c r="A42" s="3045" t="s">
        <v>2541</v>
      </c>
      <c r="B42" s="3046" t="s">
        <v>2542</v>
      </c>
      <c r="C42" s="3047" t="s">
        <v>2543</v>
      </c>
      <c r="D42" s="3051" t="s">
        <v>2544</v>
      </c>
      <c r="E42" s="3043" t="s">
        <v>2545</v>
      </c>
      <c r="F42" s="3043"/>
      <c r="G42" s="3044"/>
    </row>
    <row r="43" spans="1:13">
      <c r="A43" s="3045" t="s">
        <v>2546</v>
      </c>
      <c r="B43" s="3046" t="s">
        <v>2547</v>
      </c>
      <c r="C43" s="3047" t="s">
        <v>2548</v>
      </c>
      <c r="D43" s="3047" t="s">
        <v>2549</v>
      </c>
      <c r="E43" s="3048" t="s">
        <v>2550</v>
      </c>
      <c r="F43" s="3049"/>
      <c r="G43" s="3050"/>
      <c r="I43" s="3057" t="s">
        <v>2558</v>
      </c>
      <c r="J43" s="3057" t="s">
        <v>2569</v>
      </c>
    </row>
    <row r="44" spans="1:13">
      <c r="A44" s="3045" t="s">
        <v>2551</v>
      </c>
      <c r="B44" s="3046" t="s">
        <v>2552</v>
      </c>
      <c r="C44" s="3047" t="s">
        <v>2553</v>
      </c>
      <c r="D44" s="3051">
        <v>0.5</v>
      </c>
      <c r="E44" s="3048" t="s">
        <v>2554</v>
      </c>
      <c r="F44" s="3049"/>
      <c r="G44" s="3050"/>
      <c r="I44" s="3057">
        <v>30</v>
      </c>
      <c r="J44" s="3057">
        <v>81.7</v>
      </c>
    </row>
    <row r="45" spans="1:13" ht="14.25" thickBot="1">
      <c r="A45" s="3052" t="s">
        <v>2555</v>
      </c>
      <c r="B45" s="3053" t="s">
        <v>2542</v>
      </c>
      <c r="C45" s="3054" t="s">
        <v>2542</v>
      </c>
      <c r="D45" s="3054" t="s">
        <v>2556</v>
      </c>
      <c r="E45" s="3055" t="s">
        <v>2557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2" sqref="G2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07" t="str">
        <f>IF(B10="北京市","北京市",C10)&amp;F10&amp;IF(结果表!G1="在建","出让国有建设用地使用权及在建建筑物",IF(结果表!G1="土地","出让国有建设用地使用权",))&amp;B9&amp;"预评估"</f>
        <v>北京市东流水路7号院1号楼房地产抵押价值预评估</v>
      </c>
      <c r="C1" s="3508"/>
      <c r="D1" s="3508"/>
      <c r="E1" s="3508"/>
      <c r="F1" s="3508"/>
      <c r="G1" s="3508"/>
      <c r="H1" s="3508"/>
      <c r="I1" s="3509"/>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北京市东流水路7号院1号楼房地产抵押价值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北京市东流水路7号院1号楼房地产</v>
      </c>
      <c r="T2" s="1744"/>
      <c r="U2" s="1744"/>
      <c r="V2" s="1744"/>
      <c r="W2" s="1744"/>
      <c r="X2" s="1744"/>
      <c r="Y2" s="1744"/>
      <c r="Z2" s="1744"/>
      <c r="AA2" s="1744"/>
      <c r="AB2" s="1744"/>
    </row>
    <row r="3" spans="1:30">
      <c r="A3" s="302" t="s">
        <v>2169</v>
      </c>
      <c r="B3" s="2372">
        <v>45195</v>
      </c>
      <c r="C3" s="2373" t="s">
        <v>2170</v>
      </c>
      <c r="D3" s="2372">
        <f>B3</f>
        <v>45195</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3390</v>
      </c>
      <c r="C8" s="2389"/>
      <c r="D8" s="3510" t="s">
        <v>2176</v>
      </c>
      <c r="E8" s="2390" t="s">
        <v>3391</v>
      </c>
      <c r="F8" s="2391"/>
      <c r="G8" s="2662"/>
      <c r="H8" s="2662"/>
      <c r="I8" s="2662"/>
      <c r="J8" s="2438"/>
      <c r="K8" s="2613"/>
      <c r="L8" s="2612"/>
      <c r="M8" s="2612"/>
      <c r="N8" s="2438"/>
      <c r="O8" s="2449"/>
      <c r="P8" s="2438"/>
      <c r="Q8" s="2438"/>
      <c r="R8" s="2438"/>
    </row>
    <row r="9" spans="1:30" ht="13.5" thickBot="1">
      <c r="A9" s="2392" t="s">
        <v>2177</v>
      </c>
      <c r="B9" s="2393" t="s">
        <v>3391</v>
      </c>
      <c r="C9" s="2394"/>
      <c r="D9" s="3511"/>
      <c r="E9" s="2393" t="s">
        <v>43</v>
      </c>
      <c r="F9" s="2395"/>
      <c r="G9" s="2664"/>
      <c r="H9" s="2664"/>
      <c r="I9" s="2664"/>
      <c r="J9" s="2438"/>
      <c r="K9" s="2615"/>
      <c r="L9" s="2612"/>
      <c r="M9" s="2612"/>
      <c r="N9" s="2438"/>
      <c r="O9" s="2449"/>
      <c r="P9" s="2438"/>
      <c r="Q9" s="2438"/>
      <c r="R9" s="2438"/>
    </row>
    <row r="10" spans="1:30" ht="13.5" thickTop="1">
      <c r="A10" s="2396" t="s">
        <v>2178</v>
      </c>
      <c r="B10" s="2397" t="s">
        <v>3392</v>
      </c>
      <c r="C10" s="2398"/>
      <c r="D10" s="2381"/>
      <c r="E10" s="2399" t="s">
        <v>2179</v>
      </c>
      <c r="F10" s="2665" t="s">
        <v>3427</v>
      </c>
      <c r="G10" s="2666"/>
      <c r="H10" s="2667"/>
      <c r="I10" s="2668"/>
      <c r="J10" s="2438"/>
      <c r="K10" s="2615"/>
      <c r="L10" s="2612"/>
      <c r="M10" s="2612"/>
      <c r="N10" s="2438"/>
      <c r="O10" s="2449"/>
      <c r="P10" s="2438"/>
      <c r="Q10" s="2438"/>
      <c r="R10" s="2438"/>
    </row>
    <row r="11" spans="1:30">
      <c r="A11" s="2400" t="s">
        <v>2180</v>
      </c>
      <c r="B11" s="2401" t="s">
        <v>3393</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2570</v>
      </c>
      <c r="J12" s="3061"/>
      <c r="K12" s="2612"/>
      <c r="L12" s="2612"/>
      <c r="M12" s="2438"/>
      <c r="N12" s="2449"/>
      <c r="O12" s="2438"/>
      <c r="P12" s="2438"/>
      <c r="Q12" s="2438"/>
      <c r="AD12" s="1744"/>
    </row>
    <row r="13" spans="1:30">
      <c r="A13" s="3422" t="s">
        <v>3328</v>
      </c>
      <c r="B13" s="2406" t="s">
        <v>2189</v>
      </c>
      <c r="C13" s="856"/>
      <c r="D13" s="856"/>
      <c r="E13" s="856"/>
      <c r="F13" s="856"/>
      <c r="G13" s="856"/>
      <c r="H13" s="856">
        <v>59385</v>
      </c>
      <c r="I13" s="856"/>
      <c r="J13" s="3061"/>
      <c r="K13" s="2612"/>
      <c r="L13" s="2612"/>
      <c r="M13" s="2438"/>
      <c r="N13" s="2449"/>
      <c r="O13" s="2438"/>
      <c r="P13" s="2438"/>
      <c r="Q13" s="2438"/>
      <c r="AD13" s="1744"/>
    </row>
    <row r="14" spans="1:30">
      <c r="A14" s="1081"/>
      <c r="B14" s="2406" t="s">
        <v>2190</v>
      </c>
      <c r="C14" s="2407"/>
      <c r="D14" s="2407"/>
      <c r="E14" s="2407"/>
      <c r="F14" s="2407"/>
      <c r="G14" s="2407"/>
      <c r="H14" s="2407">
        <v>50</v>
      </c>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38.869999999999997</v>
      </c>
      <c r="I15" s="2409" t="str">
        <f>IF(A13="出让",IF(I13="","",ROUNDDOWN(MIN((I13-$D$3)/365,I14),2)),I14)</f>
        <v/>
      </c>
      <c r="J15" s="3063"/>
      <c r="K15" s="2450"/>
      <c r="L15" s="2450"/>
      <c r="M15" s="2508"/>
      <c r="N15" s="2450"/>
      <c r="O15" s="2508"/>
      <c r="P15" s="2438"/>
      <c r="Q15" s="2438"/>
      <c r="AD15" s="1744"/>
    </row>
    <row r="16" spans="1:30">
      <c r="A16" s="2399" t="s">
        <v>2192</v>
      </c>
      <c r="B16" s="3517"/>
      <c r="C16" s="3518"/>
      <c r="D16" s="3519"/>
      <c r="E16" s="2412" t="s">
        <v>2193</v>
      </c>
      <c r="F16" s="3520"/>
      <c r="G16" s="3521"/>
      <c r="H16" s="3521"/>
      <c r="I16" s="3522"/>
      <c r="J16" s="2438"/>
      <c r="K16" s="2616"/>
      <c r="L16" s="2450"/>
      <c r="M16" s="2450"/>
      <c r="N16" s="2508"/>
      <c r="O16" s="2450"/>
      <c r="P16" s="2508"/>
      <c r="Q16" s="2438"/>
      <c r="R16" s="2438"/>
    </row>
    <row r="17" spans="1:28">
      <c r="A17" s="313" t="s">
        <v>2194</v>
      </c>
      <c r="B17" s="302" t="s">
        <v>2195</v>
      </c>
      <c r="C17" s="8">
        <f>'数据-汇总表'!E3</f>
        <v>27113.21</v>
      </c>
      <c r="D17" s="2321" t="s">
        <v>2196</v>
      </c>
      <c r="E17" s="3523" t="s">
        <v>2197</v>
      </c>
      <c r="F17" s="3524"/>
      <c r="G17" s="3524"/>
      <c r="H17" s="3524"/>
      <c r="I17" s="3525"/>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52503.79</v>
      </c>
      <c r="D18" s="1092" t="s">
        <v>2200</v>
      </c>
      <c r="E18" s="3526" t="s">
        <v>2201</v>
      </c>
      <c r="F18" s="3527"/>
      <c r="G18" s="3527"/>
      <c r="H18" s="3527"/>
      <c r="I18" s="3528"/>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13" t="s">
        <v>2205</v>
      </c>
      <c r="C20" s="3514"/>
      <c r="D20" s="3515" t="s">
        <v>2206</v>
      </c>
      <c r="E20" s="3516"/>
      <c r="F20" s="2646" t="s">
        <v>1056</v>
      </c>
      <c r="G20" s="2663"/>
      <c r="H20" s="2663"/>
      <c r="I20" s="2663"/>
      <c r="J20" s="2438"/>
      <c r="K20" s="3512"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0"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0"/>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0"/>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1"/>
      <c r="B30" s="302" t="s">
        <v>2217</v>
      </c>
      <c r="C30" s="3532"/>
      <c r="D30" s="3533"/>
      <c r="E30" s="2663"/>
      <c r="F30" s="2663"/>
      <c r="G30" s="2663"/>
      <c r="H30" s="2663"/>
      <c r="I30" s="2663"/>
      <c r="J30" s="2438"/>
      <c r="K30" s="2615"/>
      <c r="L30" s="2612"/>
      <c r="M30" s="2612"/>
      <c r="N30" s="2438"/>
      <c r="O30" s="2449"/>
      <c r="P30" s="2438"/>
      <c r="Q30" s="2438"/>
      <c r="R30" s="2438"/>
      <c r="S30" s="2438"/>
      <c r="T30" s="2438"/>
      <c r="U30" s="2438"/>
      <c r="V30" s="2438"/>
    </row>
    <row r="31" spans="1:28">
      <c r="A31" s="3534"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5"/>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5"/>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29" t="s">
        <v>2227</v>
      </c>
      <c r="T34" s="2427" t="str">
        <f>NUMBERSTRING(7-K34,1)&amp;"通"</f>
        <v>七通</v>
      </c>
      <c r="U34" s="2438"/>
      <c r="V34" s="2438"/>
    </row>
    <row r="35" spans="1:30">
      <c r="A35" s="2428"/>
      <c r="B35" s="3536" t="s">
        <v>2228</v>
      </c>
      <c r="C35" s="3536"/>
      <c r="D35" s="3536"/>
      <c r="E35" s="3536"/>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9"/>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2573</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t="s">
        <v>3374</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52503.79</v>
      </c>
      <c r="B3" s="11">
        <f>IF(C3="否",G5-AT5,G5)</f>
        <v>27113.21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27113.21</v>
      </c>
      <c r="H5" s="13">
        <f t="shared" ref="H5:AT5" si="0">SUM(H13:H656)</f>
        <v>27113.21</v>
      </c>
      <c r="I5" s="13">
        <f t="shared" si="0"/>
        <v>27113.21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27113.21</v>
      </c>
      <c r="BA5" s="15">
        <f t="shared" si="1"/>
        <v>27113.21</v>
      </c>
      <c r="BB5" s="15">
        <f t="shared" si="1"/>
        <v>27113.21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52503.79</v>
      </c>
      <c r="F6" s="13" t="s">
        <v>0</v>
      </c>
      <c r="G6" s="13" t="s">
        <v>1</v>
      </c>
      <c r="H6" s="17">
        <f>SUMIF(I$12:AB$12,"总值",I6:AB6)</f>
        <v>52503.79</v>
      </c>
      <c r="I6" s="13">
        <f t="shared" ref="I6:AB6" si="2">ROUND($A$3*I5/$B$3,2)</f>
        <v>52503.79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52503.79</v>
      </c>
      <c r="AZ6" s="13" t="s">
        <v>2</v>
      </c>
      <c r="BA6" s="13">
        <f>ROUND($AY$6*BA5/$AZ$5,2)</f>
        <v>52503.79</v>
      </c>
      <c r="BB6" s="13">
        <f>ROUND($AY$6*BB5/$AZ$5,2)</f>
        <v>52503.79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3371</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t="s">
        <v>3428</v>
      </c>
      <c r="D13" s="1624" t="s">
        <v>3370</v>
      </c>
      <c r="E13" s="13">
        <f>IF($C$3="是",ROUND($A$3*G13/$B$3,2),ROUND($A$3*(G13-AT13)/$B$3,2))</f>
        <v>11394.47</v>
      </c>
      <c r="F13" s="29"/>
      <c r="G13" s="30">
        <f>H13+AC13+AT13</f>
        <v>5884.16</v>
      </c>
      <c r="H13" s="17">
        <f>SUMIF(I$12:AB$12,"总值",I13:AB13)</f>
        <v>5884.16</v>
      </c>
      <c r="I13" s="1625">
        <v>5884.16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1号楼</v>
      </c>
      <c r="AY13" s="1348">
        <f>ROUND($AY$6*AZ13/$AZ$5,2)</f>
        <v>11394.47</v>
      </c>
      <c r="AZ13" s="13">
        <f>BA13+BL13</f>
        <v>5884.16</v>
      </c>
      <c r="BA13" s="13">
        <f>SUM(BB13:BK13)</f>
        <v>5884.16</v>
      </c>
      <c r="BB13" s="13">
        <f>IF($D13="是",I13-J13,0)</f>
        <v>5884.16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051" t="s">
        <v>3429</v>
      </c>
      <c r="D14" s="1624" t="s">
        <v>3370</v>
      </c>
      <c r="E14" s="13">
        <f>IF($C$3="是",ROUND($A$3*G14/$B$3,2),ROUND($A$3*(G14-AT14)/$B$3,2))</f>
        <v>5016.57</v>
      </c>
      <c r="F14" s="29"/>
      <c r="G14" s="30">
        <f>H14+AC14+AT14</f>
        <v>2590.58</v>
      </c>
      <c r="H14" s="17">
        <f>SUMIF(I$12:AB$12,"总值",I14:AB14)</f>
        <v>2590.58</v>
      </c>
      <c r="I14" s="1625">
        <v>2590.58</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2号楼</v>
      </c>
      <c r="AY14" s="1348">
        <f>ROUND($AY$6*AZ14/$AZ$5,2)</f>
        <v>5016.57</v>
      </c>
      <c r="AZ14" s="13">
        <f>BA14+BL14</f>
        <v>2590.58</v>
      </c>
      <c r="BA14" s="13">
        <f>SUM(BB14:BK14)</f>
        <v>2590.58</v>
      </c>
      <c r="BB14" s="13">
        <f>IF($D14="是",I14-J14,0)</f>
        <v>2590.58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051" t="s">
        <v>3430</v>
      </c>
      <c r="D15" s="1624" t="s">
        <v>3370</v>
      </c>
      <c r="E15" s="13">
        <f>IF($C$3="是",ROUND($A$3*G15/$B$3,2),ROUND($A$3*(G15-AT15)/$B$3,2))</f>
        <v>1302.25</v>
      </c>
      <c r="F15" s="29"/>
      <c r="G15" s="30">
        <f>H15+AC15+AT15</f>
        <v>672.49</v>
      </c>
      <c r="H15" s="17">
        <f>SUMIF(I$12:AB$12,"总值",I15:AB15)</f>
        <v>672.49</v>
      </c>
      <c r="I15" s="1625">
        <v>672.49</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3号楼</v>
      </c>
      <c r="AY15" s="1348">
        <f>ROUND($AY$6*AZ15/$AZ$5,2)</f>
        <v>1302.25</v>
      </c>
      <c r="AZ15" s="13">
        <f>BA15+BL15</f>
        <v>672.49</v>
      </c>
      <c r="BA15" s="13">
        <f>SUM(BB15:BK15)</f>
        <v>672.49</v>
      </c>
      <c r="BB15" s="13">
        <f>IF($D15="是",I15-J15,0)</f>
        <v>672.49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051" t="s">
        <v>3431</v>
      </c>
      <c r="D16" s="1624" t="s">
        <v>3370</v>
      </c>
      <c r="E16" s="13">
        <f>IF($C$3="是",ROUND($A$3*G16/$B$3,2),ROUND($A$3*(G16-AT16)/$B$3,2))</f>
        <v>12217.39</v>
      </c>
      <c r="F16" s="29"/>
      <c r="G16" s="30">
        <f>H16+AC16+AT16</f>
        <v>6309.12</v>
      </c>
      <c r="H16" s="17">
        <f>SUMIF(I$12:AB$12,"总值",I16:AB16)</f>
        <v>6309.12</v>
      </c>
      <c r="I16" s="1625">
        <v>6309.12</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t="str">
        <f t="shared" si="6"/>
        <v>4号</v>
      </c>
      <c r="AY16" s="1348">
        <f>ROUND($AY$6*AZ16/$AZ$5,2)</f>
        <v>12217.39</v>
      </c>
      <c r="AZ16" s="13">
        <f>BA16+BL16</f>
        <v>6309.12</v>
      </c>
      <c r="BA16" s="13">
        <f>SUM(BB16:BK16)</f>
        <v>6309.12</v>
      </c>
      <c r="BB16" s="13">
        <f>IF($D16="是",I16-J16,0)</f>
        <v>6309.12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051" t="s">
        <v>3432</v>
      </c>
      <c r="D17" s="1624" t="s">
        <v>3370</v>
      </c>
      <c r="E17" s="13">
        <f>IF($C$3="是",ROUND($A$3*G17/$B$3,2),ROUND($A$3*(G17-AT17)/$B$3,2))</f>
        <v>22492.53</v>
      </c>
      <c r="F17" s="29"/>
      <c r="G17" s="30">
        <f>H17+AC17+AT17</f>
        <v>11615.25</v>
      </c>
      <c r="H17" s="17">
        <f>SUMIF(I$12:AB$12,"总值",I17:AB17)</f>
        <v>11615.25</v>
      </c>
      <c r="I17" s="1625">
        <v>11615.25</v>
      </c>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t="str">
        <f t="shared" si="6"/>
        <v>5号</v>
      </c>
      <c r="AY17" s="1348">
        <f>ROUND($AY$6*AZ17/$AZ$5,2)</f>
        <v>22492.53</v>
      </c>
      <c r="AZ17" s="13">
        <f>BA17+BL17</f>
        <v>11615.25</v>
      </c>
      <c r="BA17" s="13">
        <f>SUM(BB17:BK17)</f>
        <v>11615.25</v>
      </c>
      <c r="BB17" s="13">
        <f>IF($D17="是",I17-J17,0)</f>
        <v>11615.25</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t="s">
        <v>3433</v>
      </c>
      <c r="D18" s="1624" t="s">
        <v>3370</v>
      </c>
      <c r="E18" s="32">
        <f t="shared" ref="E18:E112" si="7">IF($C$3="是",ROUND($A$3*G18/$B$3,2),ROUND($A$3*(G18-AT18)/$B$3,2))</f>
        <v>80.58</v>
      </c>
      <c r="F18" s="33"/>
      <c r="G18" s="34">
        <f t="shared" ref="G18:G109" si="8">H18+AC18+AT18</f>
        <v>41.61</v>
      </c>
      <c r="H18" s="35">
        <f t="shared" ref="H18:H109" si="9">SUMIF(I$12:AB$12,"总值",I18:AB18)</f>
        <v>41.61</v>
      </c>
      <c r="I18" s="36">
        <v>41.61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t="str">
        <f t="shared" ref="AX18:AX112" si="13">C18</f>
        <v>6号</v>
      </c>
      <c r="AY18" s="39">
        <f t="shared" ref="AY18:AY109" si="14">ROUND($AY$6*AZ18/$AZ$5,2)</f>
        <v>80.58</v>
      </c>
      <c r="AZ18" s="32">
        <f t="shared" ref="AZ18:AZ109" si="15">BA18+BL18</f>
        <v>41.61</v>
      </c>
      <c r="BA18" s="32">
        <f t="shared" ref="BA18:BA109" si="16">SUM(BB18:BK18)</f>
        <v>41.61</v>
      </c>
      <c r="BB18" s="32">
        <f t="shared" ref="BB18:BB109" si="17">IF($D18="是",I18-J18,0)</f>
        <v>41.61</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 sqref="E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46" t="s">
        <v>1131</v>
      </c>
      <c r="B2" s="3546"/>
      <c r="C2" s="3546"/>
      <c r="D2" s="796" t="s">
        <v>1107</v>
      </c>
      <c r="E2" s="1638" t="s">
        <v>1108</v>
      </c>
      <c r="F2" s="2658"/>
      <c r="G2" s="2649"/>
      <c r="H2" s="2650"/>
      <c r="I2" s="2324" t="s">
        <v>1132</v>
      </c>
      <c r="J2" s="2658"/>
      <c r="K2" s="2658"/>
      <c r="L2" s="2658"/>
      <c r="M2" s="2658"/>
      <c r="N2" s="2660"/>
      <c r="O2" s="2658"/>
      <c r="P2" s="2658"/>
    </row>
    <row r="3" spans="1:16" ht="15.75" thickBot="1">
      <c r="A3" s="3547" t="s">
        <v>1105</v>
      </c>
      <c r="B3" s="3547"/>
      <c r="C3" s="3547"/>
      <c r="D3" s="43">
        <f>'数据-基础表'!AY6</f>
        <v>52503.79</v>
      </c>
      <c r="E3" s="43">
        <f>'数据-基础表'!AZ5</f>
        <v>27113.21</v>
      </c>
      <c r="F3" s="2658"/>
      <c r="G3" s="1145"/>
      <c r="H3" s="1026" t="s">
        <v>1106</v>
      </c>
      <c r="I3" s="855">
        <f>ROUND('数据-基础表'!B3/'数据-基础表'!A3,2)</f>
        <v>0.52</v>
      </c>
      <c r="J3" s="2658"/>
      <c r="K3" s="2658"/>
      <c r="L3" s="2658"/>
      <c r="M3" s="2658"/>
      <c r="N3" s="2660"/>
      <c r="O3" s="2658"/>
      <c r="P3" s="2658"/>
    </row>
    <row r="4" spans="1:16" ht="15">
      <c r="A4" s="3548"/>
      <c r="B4" s="3549"/>
      <c r="C4" s="3550"/>
      <c r="D4" s="1640" t="s">
        <v>1107</v>
      </c>
      <c r="E4" s="1641" t="s">
        <v>1108</v>
      </c>
      <c r="F4" s="2658"/>
      <c r="G4" s="2651" t="s">
        <v>1133</v>
      </c>
      <c r="H4" s="1026" t="s">
        <v>1113</v>
      </c>
      <c r="I4" s="855">
        <f>ROUND(SUMIF('数据-基础表'!I9:AS9,"地上",'数据-基础表'!I5:AS5)/'数据-基础表'!A3,2)</f>
        <v>0.52</v>
      </c>
      <c r="J4" s="2658"/>
      <c r="K4" s="2658"/>
      <c r="L4" s="2658"/>
      <c r="M4" s="2658"/>
      <c r="N4" s="2660"/>
      <c r="O4" s="2658"/>
      <c r="P4" s="2658"/>
    </row>
    <row r="5" spans="1:16">
      <c r="A5" s="44" t="s">
        <v>1109</v>
      </c>
      <c r="B5" s="3551" t="s">
        <v>1110</v>
      </c>
      <c r="C5" s="3551"/>
      <c r="D5" s="45">
        <f>ROUND($D$3*E5/$E$3,2)</f>
        <v>0</v>
      </c>
      <c r="E5" s="46">
        <f>SUMIF('数据-基础表'!$11:$11,"住宅",'数据-基础表'!$5:$5)</f>
        <v>0</v>
      </c>
      <c r="F5" s="2658"/>
      <c r="G5" s="1145"/>
      <c r="H5" s="1026" t="s">
        <v>1106</v>
      </c>
      <c r="I5" s="855">
        <f>ROUND(E31/D31,2)</f>
        <v>0.52</v>
      </c>
      <c r="J5" s="2658"/>
      <c r="K5" s="2658"/>
      <c r="L5" s="2658"/>
      <c r="M5" s="2658"/>
      <c r="N5" s="2658"/>
      <c r="O5" s="2658"/>
      <c r="P5" s="2658"/>
    </row>
    <row r="6" spans="1:16" ht="15" thickBot="1">
      <c r="A6" s="1643"/>
      <c r="B6" s="3551" t="s">
        <v>1111</v>
      </c>
      <c r="C6" s="3551"/>
      <c r="D6" s="45">
        <f>ROUND($D$3*E6/$E$3,2)</f>
        <v>52503.79</v>
      </c>
      <c r="E6" s="46">
        <f>E3-E5</f>
        <v>27113.21</v>
      </c>
      <c r="F6" s="2658"/>
      <c r="G6" s="2652" t="s">
        <v>1112</v>
      </c>
      <c r="H6" s="1146" t="s">
        <v>1113</v>
      </c>
      <c r="I6" s="2653">
        <f>ROUND(F31/D31,2)</f>
        <v>0.52</v>
      </c>
      <c r="J6" s="2658"/>
      <c r="K6" s="2658"/>
      <c r="L6" s="2658"/>
      <c r="M6" s="2658"/>
      <c r="N6" s="2658"/>
      <c r="O6" s="2658"/>
      <c r="P6" s="2658"/>
    </row>
    <row r="7" spans="1:16" ht="15.75" thickBot="1">
      <c r="A7" s="3543"/>
      <c r="B7" s="3544"/>
      <c r="C7" s="3545"/>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52503.79</v>
      </c>
      <c r="E8" s="48">
        <f>SUMIF('数据-基础表'!BB10:BK10,"地上",'数据-基础表'!BB5:BK5)</f>
        <v>27113.21</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52503.79</v>
      </c>
      <c r="E16" s="50">
        <f>SUM(E8:E15)</f>
        <v>27113.21</v>
      </c>
      <c r="F16" s="2658"/>
      <c r="G16" s="2659"/>
      <c r="H16" s="1647" t="s">
        <v>1135</v>
      </c>
      <c r="I16" s="1648"/>
      <c r="J16" s="1139"/>
      <c r="K16" s="3540" t="s">
        <v>1135</v>
      </c>
      <c r="L16" s="3541"/>
      <c r="M16" s="3541"/>
      <c r="N16" s="3541"/>
      <c r="O16" s="3541"/>
      <c r="P16" s="3542"/>
    </row>
    <row r="17" spans="1:19" ht="15">
      <c r="A17" s="1649" t="s">
        <v>1136</v>
      </c>
      <c r="B17" s="1650" t="s">
        <v>1137</v>
      </c>
      <c r="C17" s="1651" t="s">
        <v>1138</v>
      </c>
      <c r="D17" s="1652" t="s">
        <v>1126</v>
      </c>
      <c r="E17" s="1653" t="s">
        <v>1127</v>
      </c>
      <c r="F17" s="1654"/>
      <c r="G17" s="1655"/>
      <c r="H17" s="1656" t="s">
        <v>1139</v>
      </c>
      <c r="I17" s="1657" t="s">
        <v>1124</v>
      </c>
      <c r="J17" s="1139"/>
      <c r="K17" s="3537" t="s">
        <v>1140</v>
      </c>
      <c r="L17" s="3538"/>
      <c r="M17" s="3539"/>
      <c r="N17" s="3537" t="s">
        <v>1141</v>
      </c>
      <c r="O17" s="3538"/>
      <c r="P17" s="3539"/>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3372</v>
      </c>
      <c r="D19" s="45">
        <f>ROUND($D$3*E19/$E$3,2)</f>
        <v>52503.79</v>
      </c>
      <c r="E19" s="53">
        <f t="shared" ref="E19:E26" si="1">SUM(F19:G19)</f>
        <v>27113.21</v>
      </c>
      <c r="F19" s="2794">
        <f>'数据-基础表'!I5</f>
        <v>27113.21</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52503.79</v>
      </c>
      <c r="S19" s="1027">
        <f t="shared" si="5"/>
        <v>27113.21</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52503.79</v>
      </c>
      <c r="E27" s="1141">
        <f>IF(SUM(E19:E26)='数据-基础表'!BA5,SUM(E19:E26),IF(F27="地上面积有误","面积有误","地下面积有误"))</f>
        <v>27113.21</v>
      </c>
      <c r="F27" s="1140">
        <f>IF(SUM(F19:F26)=E8,SUM(F19:F26),"地上面积有误")</f>
        <v>27113.21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52503.79</v>
      </c>
      <c r="S27" s="1026">
        <f>IF(SUM(S19:S26)=$E$3,SUM(S19:S26),SUM(S19:S26)&amp;"误差"&amp;ROUND(SUM(S19:S26)-E3,2))</f>
        <v>27113.21</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52503.79</v>
      </c>
      <c r="E31" s="676">
        <f>E27+E30</f>
        <v>27113.21</v>
      </c>
      <c r="F31" s="677">
        <f>F27+F30</f>
        <v>27113.21</v>
      </c>
      <c r="G31" s="678">
        <f>G27+G30</f>
        <v>0</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C50" sqref="C50"/>
      <selection pane="topRight" activeCell="C50" sqref="C50"/>
      <selection pane="bottomLeft" activeCell="C50" sqref="C50"/>
      <selection pane="bottomRight" activeCell="Y39" sqref="Y3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9.3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45195</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3373</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8">
        <f>SUMIF(项目基本情况!C$12:I$12,C6,项目基本情况!C$14:I$14)</f>
        <v>50</v>
      </c>
      <c r="E6" s="857">
        <f>IF(B6="","",SUMIF(项目基本情况!C$12:I$12,C6,项目基本情况!C$13:I$13))</f>
        <v>59385</v>
      </c>
      <c r="F6" s="64">
        <f>SUMIF(项目基本情况!C$12:I$12,C6,项目基本情况!C$15:I$15)</f>
        <v>38.869999999999997</v>
      </c>
      <c r="G6" s="65">
        <f>IF(ISERROR(ROUND(POWER(1+H6,D6-F6)*(POWER(1+H6,F6)-1)/(POWER(1+H6,D6)-1),3)),0,ROUND(POWER(1+H6,D6-F6)*(POWER(1+H6,F6)-1)/(POWER(1+H6,D6)-1),3))</f>
        <v>0.93100000000000005</v>
      </c>
      <c r="H6" s="732">
        <v>0.05</v>
      </c>
      <c r="I6" s="732">
        <v>5.5E-2</v>
      </c>
      <c r="J6" s="66">
        <v>7.0000000000000007E-2</v>
      </c>
      <c r="K6" s="1030">
        <f>SUMIF('数据-汇总表'!C$19:C$33,A6,'数据-汇总表'!E$19:E$33)</f>
        <v>27113.21</v>
      </c>
      <c r="L6" s="733">
        <v>2050</v>
      </c>
      <c r="M6" s="67">
        <f t="shared" ref="M6:M14" si="0">ROUND(K6*L6/10000,0)</f>
        <v>5558</v>
      </c>
      <c r="N6" s="3454">
        <f>ROUND((1-2%)-(2023-2015)/50,2)</f>
        <v>0.82</v>
      </c>
      <c r="O6" s="67" t="str">
        <f>IF($N$5="成新度","——",ROUND(M6*N6,0))</f>
        <v>——</v>
      </c>
      <c r="P6" s="68" t="str">
        <f>IF($N$5="成新度","——",M6-O6)</f>
        <v>——</v>
      </c>
      <c r="Q6" s="734">
        <v>0.05</v>
      </c>
      <c r="R6" s="69">
        <f ca="1">SUMIF('数据-汇总表'!C$19:C$33,A6,'数据-汇总表'!R$19:R$27)</f>
        <v>52503.79</v>
      </c>
      <c r="S6" s="51">
        <f>IF('数据-汇总表'!$I$17="按面积比例",SUMIF('数据-汇总表'!C$19:C$33,A6,'数据-汇总表'!K$19:K$33),SUMIF('数据-汇总表'!C$19:C$33,A6,'数据-汇总表'!N$19:N$33))</f>
        <v>0</v>
      </c>
      <c r="T6" s="1172">
        <f>ROUND($L$14*S6/10000,0)</f>
        <v>0</v>
      </c>
      <c r="U6" s="3427">
        <f>P26</f>
        <v>1.2</v>
      </c>
      <c r="V6" s="70">
        <v>0.02</v>
      </c>
      <c r="W6" s="70">
        <v>0.15</v>
      </c>
      <c r="X6" s="1040"/>
      <c r="Y6" s="71">
        <f>N6</f>
        <v>0.82</v>
      </c>
      <c r="Z6" s="72"/>
      <c r="AA6" s="66"/>
      <c r="AB6" s="66"/>
      <c r="AC6" s="1040"/>
      <c r="AD6" s="73"/>
      <c r="AE6" s="1041">
        <f ca="1">IF(AN6="",0,SUMIF(INDIRECT("'"&amp;AN6&amp;"'"&amp;"!E:E"),$AE$5,INDIRECT("'"&amp;AN6&amp;"'"&amp;"!F:F")))</f>
        <v>38.869999999999997</v>
      </c>
      <c r="AF6" s="1347"/>
      <c r="AG6" s="138">
        <f>IF(AF6="",0,AE6-AF6)</f>
        <v>0</v>
      </c>
      <c r="AH6" s="74"/>
      <c r="AI6" s="76">
        <v>365</v>
      </c>
      <c r="AJ6" s="77"/>
      <c r="AK6" s="78">
        <v>0.01</v>
      </c>
      <c r="AL6" s="79">
        <v>1.5E-3</v>
      </c>
      <c r="AM6" s="80">
        <v>0.01</v>
      </c>
      <c r="AN6" s="1714" t="s">
        <v>3616</v>
      </c>
      <c r="AO6" s="52">
        <f ca="1">SUMIF(INDIRECT("'"&amp;AN6&amp;"'"&amp;"!A:A"),"总价",INDIRECT("'"&amp;AN6&amp;"'"&amp;"!B:B"))</f>
        <v>15626</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0.93100000000000005</v>
      </c>
      <c r="H16" s="90">
        <f>ROUND(SUMPRODUCT(H6:H13,K6:K13)/SUMPRODUCT((H6:H13&gt;0)*(K6:K13)),3)</f>
        <v>0.05</v>
      </c>
      <c r="I16" s="91"/>
      <c r="J16" s="91"/>
      <c r="K16" s="92">
        <f>SUM(K6:K15)</f>
        <v>27113.21</v>
      </c>
      <c r="L16" s="93">
        <f>ROUND(M16*10000/SUM(K6:K14),0)</f>
        <v>2050</v>
      </c>
      <c r="M16" s="93">
        <f>SUM(M6:M14)</f>
        <v>5558</v>
      </c>
      <c r="N16" s="94">
        <f>ROUND(SUMPRODUCT(M6:M14,N6:N14)/M16,3)</f>
        <v>0.82</v>
      </c>
      <c r="O16" s="93">
        <f>SUM(O6:O14)</f>
        <v>0</v>
      </c>
      <c r="P16" s="93">
        <f>SUM(P6:P14)</f>
        <v>0</v>
      </c>
      <c r="Q16" s="95">
        <f>ROUND(SUMPRODUCT(Q6:Q13,K6:K13)/SUMPRODUCT((Q6:Q13&gt;0)*(K6:K13)),2)</f>
        <v>0.05</v>
      </c>
      <c r="R16" s="1034">
        <f ca="1">SUM(R6:R13)</f>
        <v>52503.79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2295</v>
      </c>
      <c r="D19" s="2675"/>
      <c r="E19" s="2672"/>
      <c r="F19" s="2672"/>
      <c r="G19" s="2672"/>
      <c r="H19" s="2672"/>
      <c r="I19" s="2672"/>
      <c r="J19" s="2672"/>
      <c r="K19" s="3455"/>
      <c r="L19" s="3456" t="s">
        <v>3423</v>
      </c>
      <c r="M19" s="3457" t="s">
        <v>3422</v>
      </c>
      <c r="N19" s="3457" t="s">
        <v>3421</v>
      </c>
      <c r="O19" s="3455"/>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v>
      </c>
      <c r="C20" s="2799" t="s">
        <v>2293</v>
      </c>
      <c r="D20" s="2675"/>
      <c r="E20" s="2672"/>
      <c r="F20" s="2672"/>
      <c r="G20" s="2672"/>
      <c r="H20" s="2672"/>
      <c r="I20" s="2672"/>
      <c r="J20" s="2672"/>
      <c r="K20" s="3455" t="str">
        <f>'数据-基础表'!C13</f>
        <v>1号楼</v>
      </c>
      <c r="L20" s="3455">
        <v>2500</v>
      </c>
      <c r="M20" s="3455">
        <f>'数据-基础表'!I13</f>
        <v>5884.16</v>
      </c>
      <c r="N20" s="3455">
        <f>L20*M20</f>
        <v>14710400</v>
      </c>
      <c r="O20" s="3455"/>
      <c r="P20" s="2670">
        <v>1.3</v>
      </c>
      <c r="Q20" s="2670"/>
      <c r="R20" s="2670">
        <f>M20/4</f>
        <v>1471.04</v>
      </c>
      <c r="S20" s="2670"/>
      <c r="T20" s="3463" t="s">
        <v>3613</v>
      </c>
      <c r="U20" s="2674"/>
      <c r="V20" s="1680"/>
      <c r="W20" s="3462">
        <f>P26</f>
        <v>1.2</v>
      </c>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1</v>
      </c>
      <c r="C21" s="2672"/>
      <c r="D21" s="2675"/>
      <c r="E21" s="2672"/>
      <c r="F21" s="2672"/>
      <c r="G21" s="2672"/>
      <c r="H21" s="2672"/>
      <c r="I21" s="2672"/>
      <c r="J21" s="2672"/>
      <c r="K21" s="3455" t="str">
        <f>'数据-基础表'!C14</f>
        <v>2号楼</v>
      </c>
      <c r="L21" s="3455">
        <f>L20</f>
        <v>2500</v>
      </c>
      <c r="M21" s="3455">
        <f>'数据-基础表'!I14</f>
        <v>2590.58</v>
      </c>
      <c r="N21" s="3455">
        <f t="shared" ref="N21:N23" si="12">L21*M21</f>
        <v>6476450</v>
      </c>
      <c r="O21" s="3455"/>
      <c r="P21" s="2670">
        <v>1.3</v>
      </c>
      <c r="Q21" s="2670"/>
      <c r="R21" s="2670">
        <f>M21/4</f>
        <v>647.64499999999998</v>
      </c>
      <c r="S21" s="2670"/>
      <c r="T21" s="3463" t="s">
        <v>3614</v>
      </c>
      <c r="U21" s="2670">
        <f>'数据-汇总表'!D3-'数据-取费表'!R26</f>
        <v>32082.880000000001</v>
      </c>
      <c r="V21" s="2670">
        <v>0.1</v>
      </c>
      <c r="W21" s="3462">
        <f>ROUND(U21*V21/K16,1)</f>
        <v>0.1</v>
      </c>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3455" t="str">
        <f>'数据-基础表'!C15</f>
        <v>3号楼</v>
      </c>
      <c r="L22" s="3455">
        <f>L21</f>
        <v>2500</v>
      </c>
      <c r="M22" s="3455">
        <f>'数据-基础表'!I15</f>
        <v>672.49</v>
      </c>
      <c r="N22" s="3455">
        <f t="shared" si="12"/>
        <v>1681225</v>
      </c>
      <c r="O22" s="3455"/>
      <c r="P22" s="2670">
        <v>1.2</v>
      </c>
      <c r="Q22" s="2670"/>
      <c r="R22" s="2670">
        <f>M22/2</f>
        <v>336.245</v>
      </c>
      <c r="S22" s="2670"/>
      <c r="T22" s="2670"/>
      <c r="U22" s="2670"/>
      <c r="V22" s="2670"/>
      <c r="W22" s="3464">
        <f>W20+W21</f>
        <v>1.3</v>
      </c>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3455" t="str">
        <f>'数据-基础表'!C16</f>
        <v>4号</v>
      </c>
      <c r="L23" s="3455">
        <v>1800</v>
      </c>
      <c r="M23" s="3455">
        <f>'数据-基础表'!I16</f>
        <v>6309.12</v>
      </c>
      <c r="N23" s="3455">
        <f t="shared" si="12"/>
        <v>11356416</v>
      </c>
      <c r="O23" s="3455"/>
      <c r="P23" s="2670">
        <v>1.2</v>
      </c>
      <c r="Q23" s="2670"/>
      <c r="R23" s="2670">
        <f>M23</f>
        <v>6309.12</v>
      </c>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3455" t="str">
        <f>'数据-基础表'!C17</f>
        <v>5号</v>
      </c>
      <c r="L24" s="3455">
        <f>L23</f>
        <v>1800</v>
      </c>
      <c r="M24" s="3455">
        <f>'数据-基础表'!I17</f>
        <v>11615.25</v>
      </c>
      <c r="N24" s="3455">
        <f>SUM(N20:N23)</f>
        <v>34224491</v>
      </c>
      <c r="O24" s="3455"/>
      <c r="P24" s="2670">
        <v>1.2</v>
      </c>
      <c r="Q24" s="2670"/>
      <c r="R24" s="2670">
        <f>M24</f>
        <v>11615.25</v>
      </c>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3455" t="str">
        <f>'数据-基础表'!C18</f>
        <v>6号</v>
      </c>
      <c r="L25" s="3455">
        <f>L24</f>
        <v>1800</v>
      </c>
      <c r="M25" s="3455">
        <f>'数据-基础表'!I18</f>
        <v>41.61</v>
      </c>
      <c r="N25" s="1680"/>
      <c r="O25" s="2670"/>
      <c r="P25" s="2670">
        <v>1.2</v>
      </c>
      <c r="Q25" s="2670"/>
      <c r="R25" s="2670">
        <f>M25</f>
        <v>41.61</v>
      </c>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f>SUMPRODUCT(L20:L25,M20:M25)/SUM(M20:M25)</f>
        <v>2036.160196450365</v>
      </c>
      <c r="O26" s="2670"/>
      <c r="P26" s="3462">
        <f>ROUND(SUMPRODUCT(P20:P25,M20:M25)/SUM(M20:M25),1)</f>
        <v>1.2</v>
      </c>
      <c r="Q26" s="2670"/>
      <c r="R26" s="2670">
        <f>SUM(R20:R25)</f>
        <v>20420.91</v>
      </c>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150</v>
      </c>
      <c r="C27" s="2800" t="s">
        <v>2297</v>
      </c>
      <c r="D27" s="2678"/>
      <c r="E27" s="2660"/>
      <c r="F27" s="2660"/>
      <c r="G27" s="2672" t="s">
        <v>3424</v>
      </c>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515</v>
      </c>
      <c r="C29" s="2801" t="s">
        <v>2284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2" t="s">
        <v>2285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2286</v>
      </c>
      <c r="D34" s="2683" t="s">
        <v>2294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2287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2288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2289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2289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2304</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2298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2299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2296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52" t="s">
        <v>2276</v>
      </c>
      <c r="B1" s="3553"/>
      <c r="C1" s="3553"/>
      <c r="D1" s="3553"/>
      <c r="E1" s="3553"/>
      <c r="F1" s="3553"/>
      <c r="G1" s="355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2273</v>
      </c>
      <c r="D2" s="2460"/>
      <c r="E2" s="2457"/>
      <c r="F2" s="2461"/>
      <c r="G2" s="2459" t="s">
        <v>2274</v>
      </c>
      <c r="H2" s="799"/>
      <c r="I2" s="799"/>
      <c r="J2" s="799"/>
      <c r="K2" s="799"/>
      <c r="L2" s="799"/>
      <c r="M2" s="799"/>
      <c r="N2" s="799"/>
      <c r="O2" s="799"/>
      <c r="P2" s="799"/>
      <c r="Q2" s="799"/>
      <c r="R2" s="799"/>
    </row>
    <row r="3" spans="1:29" ht="24">
      <c r="A3" s="2440" t="s">
        <v>2275</v>
      </c>
      <c r="B3" s="2462" t="s">
        <v>2251</v>
      </c>
      <c r="C3" s="2463"/>
      <c r="D3" s="2464"/>
      <c r="E3" s="2441" t="s">
        <v>2275</v>
      </c>
      <c r="F3" s="2465" t="s">
        <v>2252</v>
      </c>
      <c r="G3" s="2466"/>
      <c r="H3" s="799"/>
      <c r="I3" s="799"/>
      <c r="J3" s="799"/>
      <c r="K3" s="799"/>
      <c r="L3" s="799"/>
      <c r="M3" s="799"/>
      <c r="N3" s="799"/>
      <c r="O3" s="799"/>
      <c r="P3" s="799"/>
      <c r="Q3" s="799"/>
      <c r="R3" s="799"/>
    </row>
    <row r="4" spans="1:29">
      <c r="A4" s="2441"/>
      <c r="B4" s="323" t="s">
        <v>2253</v>
      </c>
      <c r="C4" s="2467"/>
      <c r="D4" s="2464"/>
      <c r="E4" s="2468"/>
      <c r="F4" s="1372" t="s">
        <v>2254</v>
      </c>
      <c r="G4" s="2469"/>
      <c r="H4" s="799"/>
      <c r="I4" s="799"/>
      <c r="J4" s="799"/>
      <c r="K4" s="799"/>
      <c r="L4" s="799"/>
      <c r="M4" s="799"/>
      <c r="N4" s="799"/>
      <c r="O4" s="799"/>
      <c r="P4" s="799"/>
      <c r="Q4" s="799"/>
      <c r="R4" s="799"/>
    </row>
    <row r="5" spans="1:29">
      <c r="A5" s="2441"/>
      <c r="B5" s="323" t="s">
        <v>2255</v>
      </c>
      <c r="C5" s="2467"/>
      <c r="D5" s="2464"/>
      <c r="E5" s="2468"/>
      <c r="F5" s="323" t="s">
        <v>2256</v>
      </c>
      <c r="G5" s="2469"/>
      <c r="H5" s="799"/>
      <c r="I5" s="799"/>
      <c r="J5" s="799"/>
      <c r="K5" s="799"/>
      <c r="L5" s="799"/>
      <c r="M5" s="799"/>
      <c r="N5" s="799"/>
      <c r="O5" s="799"/>
      <c r="P5" s="799"/>
      <c r="Q5" s="799"/>
      <c r="R5" s="799"/>
    </row>
    <row r="6" spans="1:29">
      <c r="A6" s="2441"/>
      <c r="B6" s="323" t="s">
        <v>2257</v>
      </c>
      <c r="C6" s="2469"/>
      <c r="D6" s="2464"/>
      <c r="E6" s="2468"/>
      <c r="F6" s="323" t="s">
        <v>2258</v>
      </c>
      <c r="G6" s="2469"/>
      <c r="H6" s="799"/>
      <c r="I6" s="799"/>
      <c r="J6" s="799"/>
      <c r="K6" s="799"/>
      <c r="L6" s="799"/>
      <c r="M6" s="799"/>
      <c r="N6" s="799"/>
      <c r="O6" s="799"/>
      <c r="P6" s="799"/>
      <c r="Q6" s="799"/>
      <c r="R6" s="799"/>
    </row>
    <row r="7" spans="1:29" ht="15" thickBot="1">
      <c r="A7" s="2441"/>
      <c r="B7" s="323" t="s">
        <v>2256</v>
      </c>
      <c r="C7" s="2469"/>
      <c r="D7" s="2470"/>
      <c r="E7" s="2471"/>
      <c r="F7" s="2472" t="s">
        <v>2259</v>
      </c>
      <c r="G7" s="2473"/>
      <c r="H7" s="799"/>
      <c r="I7" s="799"/>
      <c r="J7" s="799"/>
      <c r="K7" s="799"/>
      <c r="L7" s="799"/>
      <c r="M7" s="799"/>
      <c r="N7" s="799"/>
      <c r="O7" s="799"/>
      <c r="P7" s="799"/>
      <c r="Q7" s="799"/>
      <c r="R7" s="799"/>
    </row>
    <row r="8" spans="1:29">
      <c r="A8" s="2441"/>
      <c r="B8" s="323" t="s">
        <v>2258</v>
      </c>
      <c r="C8" s="2469"/>
      <c r="D8" s="2470"/>
      <c r="E8" s="2470"/>
      <c r="F8" s="2474"/>
      <c r="G8" s="2474"/>
      <c r="H8" s="799"/>
      <c r="I8" s="799"/>
      <c r="J8" s="799"/>
      <c r="K8" s="799"/>
      <c r="L8" s="799"/>
      <c r="M8" s="799"/>
      <c r="N8" s="799"/>
      <c r="O8" s="799"/>
      <c r="P8" s="799"/>
      <c r="Q8" s="799"/>
      <c r="R8" s="799"/>
    </row>
    <row r="9" spans="1:29">
      <c r="A9" s="2441"/>
      <c r="B9" s="323" t="s">
        <v>2260</v>
      </c>
      <c r="C9" s="2467"/>
      <c r="D9" s="2464"/>
      <c r="E9" s="2470"/>
      <c r="F9" s="2474"/>
      <c r="G9" s="2474"/>
      <c r="H9" s="799"/>
      <c r="I9" s="799"/>
      <c r="J9" s="799"/>
      <c r="K9" s="799"/>
      <c r="L9" s="799"/>
      <c r="M9" s="799"/>
      <c r="N9" s="799"/>
      <c r="O9" s="799"/>
      <c r="P9" s="799"/>
      <c r="Q9" s="799"/>
      <c r="R9" s="799"/>
    </row>
    <row r="10" spans="1:29" s="2480" customFormat="1" ht="15" thickBot="1">
      <c r="A10" s="2442"/>
      <c r="B10" s="2475" t="s">
        <v>2261</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2277</v>
      </c>
      <c r="B13" s="2483"/>
      <c r="C13" s="2483"/>
      <c r="D13" s="2481"/>
      <c r="E13" s="2483"/>
      <c r="F13" s="2483"/>
      <c r="G13" s="2483"/>
    </row>
    <row r="14" spans="1:29" ht="15" thickBot="1">
      <c r="A14" s="2493"/>
      <c r="B14" s="2493"/>
      <c r="C14" s="2494" t="s">
        <v>2262</v>
      </c>
      <c r="D14" s="2464"/>
      <c r="E14" s="2495"/>
      <c r="F14" s="2495"/>
      <c r="G14" s="2459" t="s">
        <v>2263</v>
      </c>
    </row>
    <row r="15" spans="1:29" ht="24">
      <c r="A15" s="2443" t="s">
        <v>2264</v>
      </c>
      <c r="B15" s="2496" t="s">
        <v>2251</v>
      </c>
      <c r="C15" s="2497">
        <f>C3</f>
        <v>0</v>
      </c>
      <c r="D15" s="2464"/>
      <c r="E15" s="2444" t="s">
        <v>2265</v>
      </c>
      <c r="F15" s="2496" t="s">
        <v>2266</v>
      </c>
      <c r="G15" s="2498">
        <f>G3</f>
        <v>0</v>
      </c>
    </row>
    <row r="16" spans="1:29">
      <c r="A16" s="2445"/>
      <c r="B16" s="2499" t="s">
        <v>2253</v>
      </c>
      <c r="C16" s="2500">
        <f>C4</f>
        <v>0</v>
      </c>
      <c r="D16" s="2464"/>
      <c r="E16" s="2446"/>
      <c r="F16" s="2501" t="s">
        <v>2254</v>
      </c>
      <c r="G16" s="2502">
        <f>G4</f>
        <v>0</v>
      </c>
    </row>
    <row r="17" spans="1:18">
      <c r="A17" s="2445"/>
      <c r="B17" s="2499" t="s">
        <v>2255</v>
      </c>
      <c r="C17" s="2500">
        <f>C5</f>
        <v>0</v>
      </c>
      <c r="D17" s="2470"/>
      <c r="E17" s="2446"/>
      <c r="F17" s="2501" t="s">
        <v>2267</v>
      </c>
      <c r="G17" s="2503"/>
    </row>
    <row r="18" spans="1:18">
      <c r="A18" s="2445"/>
      <c r="B18" s="2501" t="s">
        <v>2257</v>
      </c>
      <c r="C18" s="2502">
        <f>C6</f>
        <v>0</v>
      </c>
      <c r="D18" s="2470"/>
      <c r="E18" s="2446"/>
      <c r="F18" s="2501" t="s">
        <v>2259</v>
      </c>
      <c r="G18" s="2502">
        <f>G7</f>
        <v>0</v>
      </c>
    </row>
    <row r="19" spans="1:18">
      <c r="A19" s="2445"/>
      <c r="B19" s="2501" t="s">
        <v>2268</v>
      </c>
      <c r="C19" s="2503"/>
      <c r="D19" s="2464"/>
      <c r="E19" s="2446"/>
      <c r="F19" s="323" t="s">
        <v>2256</v>
      </c>
      <c r="G19" s="2502">
        <f>G5</f>
        <v>0</v>
      </c>
    </row>
    <row r="20" spans="1:18">
      <c r="A20" s="2445"/>
      <c r="B20" s="2501" t="s">
        <v>2269</v>
      </c>
      <c r="C20" s="2500">
        <f>C9</f>
        <v>0</v>
      </c>
      <c r="D20" s="2470"/>
      <c r="E20" s="2446"/>
      <c r="F20" s="323" t="s">
        <v>2258</v>
      </c>
      <c r="G20" s="2502">
        <f>G6</f>
        <v>0</v>
      </c>
    </row>
    <row r="21" spans="1:18">
      <c r="A21" s="2445"/>
      <c r="B21" s="323" t="s">
        <v>2256</v>
      </c>
      <c r="C21" s="2502">
        <f>C7</f>
        <v>0</v>
      </c>
      <c r="D21" s="2464"/>
      <c r="E21" s="2446"/>
      <c r="F21" s="2501" t="s">
        <v>2270</v>
      </c>
      <c r="G21" s="2504"/>
    </row>
    <row r="22" spans="1:18" ht="13.5" customHeight="1">
      <c r="A22" s="2445"/>
      <c r="B22" s="323" t="s">
        <v>2258</v>
      </c>
      <c r="C22" s="2502">
        <f>C8</f>
        <v>0</v>
      </c>
      <c r="D22" s="2464"/>
      <c r="E22" s="2446"/>
      <c r="F22" s="2501" t="s">
        <v>2261</v>
      </c>
      <c r="G22" s="2503"/>
    </row>
    <row r="23" spans="1:18" s="799" customFormat="1" ht="15" thickBot="1">
      <c r="A23" s="2445"/>
      <c r="B23" s="2501" t="s">
        <v>2270</v>
      </c>
      <c r="C23" s="2504"/>
      <c r="D23" s="1740"/>
      <c r="E23" s="2447"/>
      <c r="F23" s="2505" t="s">
        <v>2271</v>
      </c>
      <c r="G23" s="2506"/>
      <c r="H23" s="2490"/>
      <c r="I23" s="2491"/>
      <c r="J23" s="2490"/>
      <c r="K23" s="2490"/>
      <c r="L23" s="2491"/>
      <c r="M23" s="2490"/>
      <c r="N23" s="2490"/>
      <c r="O23" s="2491"/>
      <c r="P23" s="2490"/>
      <c r="Q23" s="2490"/>
      <c r="R23" s="2492"/>
    </row>
    <row r="24" spans="1:18" s="799" customFormat="1" ht="15" thickBot="1">
      <c r="A24" s="2448"/>
      <c r="B24" s="2505" t="s">
        <v>2272</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40" sqref="C40"/>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27113.21</v>
      </c>
      <c r="C1" s="2685"/>
      <c r="D1" s="2685"/>
      <c r="E1" s="2685"/>
      <c r="F1" s="2685"/>
      <c r="G1" s="2686"/>
      <c r="H1" s="2687"/>
      <c r="I1" s="2687"/>
      <c r="J1" s="2687"/>
      <c r="K1" s="2687"/>
    </row>
    <row r="2" spans="1:11" ht="16.5">
      <c r="A2" s="2511" t="s">
        <v>653</v>
      </c>
      <c r="B2" s="2511">
        <f>SUM(C14:C23)</f>
        <v>52503.79</v>
      </c>
      <c r="C2" s="2685"/>
      <c r="D2" s="2685"/>
      <c r="E2" s="2685"/>
      <c r="F2" s="2685"/>
      <c r="G2" s="2686"/>
      <c r="H2" s="2687"/>
      <c r="I2" s="2687"/>
      <c r="J2" s="2687"/>
      <c r="K2" s="2687"/>
    </row>
    <row r="3" spans="1:11" ht="16.5">
      <c r="A3" s="2511" t="s">
        <v>662</v>
      </c>
      <c r="B3" s="2513">
        <f>项目基本情况!D3</f>
        <v>45195</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17896</v>
      </c>
      <c r="C5" s="2511">
        <f ca="1">IF(B5=D14,结果表!H102,ROUND(B5*10000/$B$1,0))</f>
        <v>6600</v>
      </c>
      <c r="D5" s="2511">
        <f ca="1">ROUND(B5*10000/$B$2,0)</f>
        <v>3409</v>
      </c>
      <c r="E5" s="2685"/>
      <c r="F5" s="2686"/>
      <c r="G5" s="2686"/>
      <c r="H5" s="2687"/>
      <c r="I5" s="2687"/>
      <c r="J5" s="2687"/>
      <c r="K5" s="2687"/>
    </row>
    <row r="6" spans="1:11" ht="16.5">
      <c r="A6" s="2511" t="s">
        <v>656</v>
      </c>
      <c r="B6" s="2511">
        <f ca="1">SUM(G14:G23)</f>
        <v>17896</v>
      </c>
      <c r="C6" s="2511">
        <f ca="1">IF(B6=G14,结果表!H108,ROUND(B6*10000/$B$1,0))</f>
        <v>6600</v>
      </c>
      <c r="D6" s="2511">
        <f ca="1">ROUND(B6*10000/$B$2,0)</f>
        <v>3409</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3352</v>
      </c>
      <c r="D10" s="2511" t="s">
        <v>3353</v>
      </c>
      <c r="E10" s="3440"/>
      <c r="F10" s="3444" t="s">
        <v>3354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27113.21</v>
      </c>
      <c r="C14" s="2517">
        <f>'数据-汇总表'!D3</f>
        <v>52503.79</v>
      </c>
      <c r="D14" s="2517">
        <f ca="1">结果表!G19</f>
        <v>17896</v>
      </c>
      <c r="E14" s="2517">
        <f ca="1">ROUND(D14*10000/B14,0)</f>
        <v>6600</v>
      </c>
      <c r="F14" s="2517">
        <f ca="1">ROUND(D14*10000/C14,0)</f>
        <v>3409</v>
      </c>
      <c r="G14" s="2517">
        <f ca="1">D14</f>
        <v>17896</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85" zoomScaleNormal="100" zoomScaleSheetLayoutView="85" zoomScalePageLayoutView="80" workbookViewId="0">
      <selection activeCell="D120" sqref="D120:I120"/>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t="s">
        <v>3386</v>
      </c>
      <c r="H1" s="1749" t="str">
        <f>IF(G1="现房","——","估价对象范围")</f>
        <v>——</v>
      </c>
      <c r="I1" s="1750" t="s">
        <v>3387</v>
      </c>
    </row>
    <row r="2" spans="1:12" ht="21.75" customHeight="1" thickBot="1">
      <c r="A2" s="3621" t="str">
        <f>项目基本情况!S2</f>
        <v>北京市东流水路7号院1号楼房地产</v>
      </c>
      <c r="B2" s="3622"/>
      <c r="C2" s="3622"/>
      <c r="D2" s="3622"/>
      <c r="E2" s="3622"/>
      <c r="F2" s="3622"/>
      <c r="G2" s="3622"/>
      <c r="H2" s="3622"/>
      <c r="I2" s="3623"/>
    </row>
    <row r="3" spans="1:12" ht="12.75">
      <c r="A3" s="3625" t="s">
        <v>1264</v>
      </c>
      <c r="B3" s="3626"/>
      <c r="C3" s="3626"/>
      <c r="D3" s="3626"/>
      <c r="E3" s="3626"/>
      <c r="F3" s="3626"/>
      <c r="G3" s="3626"/>
      <c r="H3" s="3626"/>
      <c r="I3" s="3626"/>
    </row>
    <row r="4" spans="1:12" ht="14.25">
      <c r="A4" s="1753" t="s">
        <v>1265</v>
      </c>
      <c r="B4" s="1754" t="s">
        <v>1266</v>
      </c>
      <c r="C4" s="1755" t="s">
        <v>3617</v>
      </c>
      <c r="D4" s="1755" t="s">
        <v>3616</v>
      </c>
      <c r="E4" s="3630" t="s">
        <v>1267</v>
      </c>
      <c r="F4" s="3631"/>
      <c r="G4" s="3631"/>
      <c r="H4" s="3631"/>
      <c r="I4" s="363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1268</v>
      </c>
      <c r="B5" s="3624">
        <v>25</v>
      </c>
      <c r="C5" s="3627"/>
      <c r="D5" s="3615"/>
      <c r="E5" s="131" t="s">
        <v>1269</v>
      </c>
      <c r="F5" s="1756"/>
      <c r="G5" s="1756"/>
      <c r="H5" s="1756"/>
      <c r="I5" s="1372"/>
    </row>
    <row r="6" spans="1:12" ht="12.75">
      <c r="A6" s="3569"/>
      <c r="B6" s="3624"/>
      <c r="C6" s="3629"/>
      <c r="D6" s="3615"/>
      <c r="E6" s="131" t="s">
        <v>1270</v>
      </c>
      <c r="F6" s="1756"/>
      <c r="G6" s="1756"/>
      <c r="H6" s="1756"/>
      <c r="I6" s="1372"/>
    </row>
    <row r="7" spans="1:12" ht="12.75">
      <c r="A7" s="3569"/>
      <c r="B7" s="3624"/>
      <c r="C7" s="3628"/>
      <c r="D7" s="3615"/>
      <c r="E7" s="131" t="s">
        <v>1271</v>
      </c>
      <c r="F7" s="1756"/>
      <c r="G7" s="1756"/>
      <c r="H7" s="1756"/>
      <c r="I7" s="1372"/>
    </row>
    <row r="8" spans="1:12" ht="12.75">
      <c r="A8" s="3569" t="s">
        <v>1272</v>
      </c>
      <c r="B8" s="3624">
        <v>15</v>
      </c>
      <c r="C8" s="3627"/>
      <c r="D8" s="3615"/>
      <c r="E8" s="131" t="s">
        <v>1273</v>
      </c>
      <c r="F8" s="1756"/>
      <c r="G8" s="1756"/>
      <c r="H8" s="1756"/>
      <c r="I8" s="1372"/>
    </row>
    <row r="9" spans="1:12" ht="12.75">
      <c r="A9" s="3569"/>
      <c r="B9" s="3624"/>
      <c r="C9" s="3628"/>
      <c r="D9" s="3615"/>
      <c r="E9" s="131" t="s">
        <v>1274</v>
      </c>
      <c r="F9" s="1756"/>
      <c r="G9" s="1756"/>
      <c r="H9" s="1756"/>
      <c r="I9" s="1372"/>
    </row>
    <row r="10" spans="1:12" ht="12.75">
      <c r="A10" s="3569" t="s">
        <v>1275</v>
      </c>
      <c r="B10" s="3624">
        <v>15</v>
      </c>
      <c r="C10" s="3627"/>
      <c r="D10" s="3615"/>
      <c r="E10" s="131" t="s">
        <v>1276</v>
      </c>
      <c r="F10" s="1756"/>
      <c r="G10" s="1756"/>
      <c r="H10" s="1756"/>
      <c r="I10" s="1372"/>
    </row>
    <row r="11" spans="1:12" ht="12.75">
      <c r="A11" s="3569"/>
      <c r="B11" s="3624"/>
      <c r="C11" s="3628"/>
      <c r="D11" s="3615"/>
      <c r="E11" s="131" t="s">
        <v>1277</v>
      </c>
      <c r="F11" s="1756"/>
      <c r="G11" s="1756"/>
      <c r="H11" s="1756"/>
      <c r="I11" s="1372"/>
    </row>
    <row r="12" spans="1:12" ht="12.75">
      <c r="A12" s="3569" t="s">
        <v>1278</v>
      </c>
      <c r="B12" s="3624">
        <v>15</v>
      </c>
      <c r="C12" s="3627"/>
      <c r="D12" s="3615"/>
      <c r="E12" s="131" t="s">
        <v>1279</v>
      </c>
      <c r="F12" s="1756"/>
      <c r="G12" s="1756"/>
      <c r="H12" s="1756"/>
      <c r="I12" s="1372"/>
    </row>
    <row r="13" spans="1:12" ht="12.75">
      <c r="A13" s="3569"/>
      <c r="B13" s="3624"/>
      <c r="C13" s="3628"/>
      <c r="D13" s="3615"/>
      <c r="E13" s="131" t="s">
        <v>1280</v>
      </c>
      <c r="F13" s="1756"/>
      <c r="G13" s="1756"/>
      <c r="H13" s="1756"/>
      <c r="I13" s="1372"/>
    </row>
    <row r="14" spans="1:12" ht="12.75">
      <c r="A14" s="3569" t="s">
        <v>1281</v>
      </c>
      <c r="B14" s="3624">
        <v>30</v>
      </c>
      <c r="C14" s="3627">
        <v>4</v>
      </c>
      <c r="D14" s="3615">
        <v>6</v>
      </c>
      <c r="E14" s="131" t="s">
        <v>1282</v>
      </c>
      <c r="F14" s="1756"/>
      <c r="G14" s="1756"/>
      <c r="H14" s="1756"/>
      <c r="I14" s="1372"/>
    </row>
    <row r="15" spans="1:12" ht="12.75">
      <c r="A15" s="3569"/>
      <c r="B15" s="3624"/>
      <c r="C15" s="3629"/>
      <c r="D15" s="3615"/>
      <c r="E15" s="131" t="s">
        <v>1283</v>
      </c>
      <c r="F15" s="1756"/>
      <c r="G15" s="1756"/>
      <c r="H15" s="1756"/>
      <c r="I15" s="1372"/>
    </row>
    <row r="16" spans="1:12" ht="12.75">
      <c r="A16" s="3569"/>
      <c r="B16" s="3624"/>
      <c r="C16" s="3628"/>
      <c r="D16" s="3615"/>
      <c r="E16" s="131" t="s">
        <v>1284</v>
      </c>
      <c r="F16" s="1756"/>
      <c r="G16" s="1756"/>
      <c r="H16" s="1756"/>
      <c r="I16" s="1372"/>
    </row>
    <row r="17" spans="1:36" ht="15">
      <c r="A17" s="1757" t="s">
        <v>1285</v>
      </c>
      <c r="B17" s="56"/>
      <c r="C17" s="132">
        <f>SUM(C5:C16)</f>
        <v>4</v>
      </c>
      <c r="D17" s="132">
        <f>SUM(D5:D16)</f>
        <v>6</v>
      </c>
      <c r="E17" s="129"/>
      <c r="F17" s="129"/>
      <c r="G17" s="129"/>
      <c r="H17" s="129"/>
      <c r="I17" s="129"/>
      <c r="K17" s="302"/>
      <c r="L17" s="302" t="s">
        <v>1286</v>
      </c>
      <c r="M17" s="302" t="s">
        <v>1287</v>
      </c>
    </row>
    <row r="18" spans="1:36" ht="31.9" customHeight="1" thickBot="1">
      <c r="A18" s="1758" t="s">
        <v>1288</v>
      </c>
      <c r="B18" s="1759"/>
      <c r="C18" s="133">
        <f>ROUND(C17/SUM(C17:D17),2)</f>
        <v>0.4</v>
      </c>
      <c r="D18" s="133">
        <f>1-C18</f>
        <v>0.6</v>
      </c>
      <c r="E18" s="3646" t="s">
        <v>2130</v>
      </c>
      <c r="F18" s="3647"/>
      <c r="G18" s="3647"/>
      <c r="H18" s="3647"/>
      <c r="I18" s="3647"/>
      <c r="K18" s="302" t="s">
        <v>1289</v>
      </c>
      <c r="L18" s="302">
        <f>IF(C1="",'数据-汇总表'!E3,SUMIF(项目类型,C1,'数据-汇总表'!E17:E26)+SUMIF(项目类型,C1,'数据-汇总表'!I17:I26))</f>
        <v>27113.21</v>
      </c>
      <c r="M18" s="302">
        <f>IF(C1="",'数据-汇总表'!E3,SUMIF(项目类型,C1,'数据-汇总表'!E17:E26))</f>
        <v>27113.21</v>
      </c>
    </row>
    <row r="19" spans="1:36" ht="15">
      <c r="A19" s="1760" t="s">
        <v>1290</v>
      </c>
      <c r="B19" s="1761" t="s">
        <v>1291</v>
      </c>
      <c r="C19" s="134">
        <f ca="1">SUMIF(INDIRECT("'"&amp;C4&amp;"'"&amp;"!A:A"),结果表!B19,INDIRECT("'"&amp;C4&amp;"'"&amp;"!B:B"))</f>
        <v>21301</v>
      </c>
      <c r="D19" s="135">
        <f ca="1">SUMIF(INDIRECT("'"&amp;D4&amp;"'"&amp;"!A:A"),结果表!B19,INDIRECT("'"&amp;D4&amp;"'"&amp;"!B:B"))</f>
        <v>15626</v>
      </c>
      <c r="E19" s="1760" t="s">
        <v>1292</v>
      </c>
      <c r="F19" s="1761" t="s">
        <v>1291</v>
      </c>
      <c r="G19" s="136">
        <f ca="1">ROUND(C19*$C$18+D19*$D$18,0)</f>
        <v>17896</v>
      </c>
      <c r="H19" s="1762" t="s">
        <v>1293</v>
      </c>
      <c r="I19" s="129"/>
      <c r="K19" s="302" t="s">
        <v>1294</v>
      </c>
      <c r="L19" s="302">
        <f>IF(C1="",'数据-汇总表'!D3,SUMIF(项目类型,C1,'数据-汇总表'!D17:D26)+SUMIF(项目类型,C1,'数据-汇总表'!H17:H27))</f>
        <v>52503.79</v>
      </c>
      <c r="M19" s="302">
        <f>IF(C1="",'数据-汇总表'!D3,SUMIF(项目类型,C1,'数据-汇总表'!D17:D26))</f>
        <v>52503.79</v>
      </c>
    </row>
    <row r="20" spans="1:36" ht="15">
      <c r="A20" s="1763"/>
      <c r="B20" s="1026" t="s">
        <v>1295</v>
      </c>
      <c r="C20" s="137">
        <f ca="1">SUMIF(INDIRECT("'"&amp;C4&amp;"'"&amp;"!A:A"),结果表!B20,INDIRECT("'"&amp;C4&amp;"'"&amp;"!B:B"))</f>
        <v>7856</v>
      </c>
      <c r="D20" s="138">
        <f ca="1">SUMIF(INDIRECT("'"&amp;D4&amp;"'"&amp;"!A:A"),结果表!B20,INDIRECT("'"&amp;D4&amp;"'"&amp;"!B:B"))</f>
        <v>5763</v>
      </c>
      <c r="E20" s="1763"/>
      <c r="F20" s="1026" t="s">
        <v>1295</v>
      </c>
      <c r="G20" s="139">
        <f ca="1">ROUND(C20*$C$18+D20*$D$18,0)</f>
        <v>6600</v>
      </c>
      <c r="H20" s="808" t="s">
        <v>1296</v>
      </c>
      <c r="I20" s="129"/>
    </row>
    <row r="21" spans="1:36" ht="15" customHeight="1" thickBot="1">
      <c r="A21" s="828"/>
      <c r="B21" s="1764" t="s">
        <v>1297</v>
      </c>
      <c r="C21" s="719">
        <f ca="1">ROUND(C19*10000/L19,0)</f>
        <v>4057</v>
      </c>
      <c r="D21" s="720">
        <f ca="1">ROUND(D19*10000/L19,0)</f>
        <v>2976</v>
      </c>
      <c r="E21" s="828"/>
      <c r="F21" s="1764" t="s">
        <v>1297</v>
      </c>
      <c r="G21" s="140">
        <f ca="1">ROUND(G19*10000/L19,0)</f>
        <v>3409</v>
      </c>
      <c r="H21" s="1765" t="s">
        <v>1296</v>
      </c>
      <c r="I21" s="129"/>
    </row>
    <row r="22" spans="1:36" ht="15" thickBot="1">
      <c r="A22" s="1687" t="s">
        <v>1298</v>
      </c>
      <c r="B22" s="1766"/>
      <c r="C22" s="1767"/>
      <c r="D22" s="721">
        <f ca="1">IF(C19&lt;D19,D19/C19-1,C19/D19-1)</f>
        <v>0.3631767566875721</v>
      </c>
      <c r="E22" s="129"/>
      <c r="F22" s="129"/>
      <c r="G22" s="129">
        <f ca="1">ROUND(G20*'数据-汇总表'!E3,0)</f>
        <v>178947186</v>
      </c>
      <c r="H22" s="129"/>
      <c r="I22" s="129"/>
    </row>
    <row r="23" spans="1:36" ht="13.5" thickBot="1">
      <c r="A23" s="1746"/>
      <c r="B23" s="1746"/>
      <c r="C23" s="1746"/>
      <c r="D23" s="1746"/>
      <c r="E23" s="129"/>
      <c r="F23" s="129"/>
      <c r="G23" s="129"/>
      <c r="H23" s="129"/>
      <c r="I23" s="129"/>
    </row>
    <row r="24" spans="1:36" ht="14.25">
      <c r="A24" s="3639" t="s">
        <v>1299</v>
      </c>
      <c r="B24" s="1761" t="s">
        <v>1291</v>
      </c>
      <c r="C24" s="136">
        <f>IF(B30=0,0,D30)</f>
        <v>0</v>
      </c>
      <c r="D24" s="1768"/>
      <c r="E24" s="129"/>
      <c r="F24" s="129"/>
      <c r="G24" s="129"/>
      <c r="H24" s="129"/>
      <c r="I24" s="129"/>
    </row>
    <row r="25" spans="1:36" ht="14.25">
      <c r="A25" s="3640"/>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17896</v>
      </c>
      <c r="D32" s="1774" t="s">
        <v>3615</v>
      </c>
      <c r="E32" s="129"/>
      <c r="F32" s="129"/>
      <c r="G32" s="129"/>
      <c r="H32" s="129"/>
      <c r="I32" s="129"/>
    </row>
    <row r="33" spans="1:15" ht="15">
      <c r="A33" s="786" t="s">
        <v>1306</v>
      </c>
      <c r="B33" s="1775"/>
      <c r="C33" s="1776" t="s">
        <v>3389</v>
      </c>
      <c r="D33" s="1777" t="s">
        <v>3396</v>
      </c>
      <c r="E33" s="1778" t="s">
        <v>1307</v>
      </c>
      <c r="F33" s="1779" t="str">
        <f>IF(D32="楼面单价","取值（单价）","取值（总价）")</f>
        <v>取值（总价）</v>
      </c>
      <c r="G33" s="129"/>
      <c r="H33" s="129"/>
      <c r="I33" s="129"/>
    </row>
    <row r="34" spans="1:15" ht="15">
      <c r="A34" s="1780"/>
      <c r="B34" s="1781" t="s">
        <v>1308</v>
      </c>
      <c r="C34" s="148">
        <f ca="1">IF(C33="自定义",F34,C32-C35)</f>
        <v>7552</v>
      </c>
      <c r="D34" s="861">
        <f ca="1">IF(C33="自定义",ROUND(C34/C32,3),IF(C33="收益比率",SUMIF(INDIRECT("'"&amp;D33&amp;"'"&amp;"!b:b"),"土地收益比率",INDIRECT("'"&amp;D33&amp;"'"&amp;"!c:c")),SUMIF(INDIRECT("'"&amp;D33&amp;"'"&amp;"!b:b"),"土地成本比率",INDIRECT("'"&amp;D33&amp;"'"&amp;"!c:c"))))</f>
        <v>0.42200000000000004</v>
      </c>
      <c r="E34" s="1782" t="s">
        <v>1309</v>
      </c>
      <c r="F34" s="1329"/>
      <c r="G34" s="129">
        <f ca="1">ROUND(C34*'数据-基础表'!B3,0)</f>
        <v>204758962</v>
      </c>
      <c r="H34" s="129"/>
      <c r="I34" s="129"/>
    </row>
    <row r="35" spans="1:15" ht="15.75" thickBot="1">
      <c r="A35" s="1783"/>
      <c r="B35" s="1784" t="s">
        <v>1310</v>
      </c>
      <c r="C35" s="1170">
        <f ca="1">IF(C33="自定义",F35,ROUND(C32*D35,0))</f>
        <v>10344</v>
      </c>
      <c r="D35" s="1171">
        <f ca="1">IF(C33="自定义",ROUND(C35/C32,3),IF(C33="收益比率",SUMIF(INDIRECT("'"&amp;D33&amp;"'"&amp;"!b:b"),"建筑物收益比率",INDIRECT("'"&amp;D33&amp;"'"&amp;"!c:c")),SUMIF(INDIRECT("'"&amp;D33&amp;"'"&amp;"!b:b"),"建筑物成本比率",INDIRECT("'"&amp;D33&amp;"'"&amp;"!c:c"))))</f>
        <v>0.57799999999999996</v>
      </c>
      <c r="E35" s="1785" t="s">
        <v>1311</v>
      </c>
      <c r="F35" s="154"/>
      <c r="G35" s="129">
        <f ca="1">ROUND(C35*'数据-汇总表'!E3,0)</f>
        <v>280459044</v>
      </c>
      <c r="H35" s="129"/>
      <c r="I35" s="129"/>
    </row>
    <row r="36" spans="1:15" ht="15.75" thickBot="1">
      <c r="A36" s="3616" t="s">
        <v>1312</v>
      </c>
      <c r="B36" s="1786" t="s">
        <v>1313</v>
      </c>
      <c r="C36" s="145"/>
      <c r="D36" s="1787"/>
      <c r="E36" s="1788"/>
      <c r="F36" s="1789"/>
      <c r="G36" s="129"/>
      <c r="H36" s="129"/>
      <c r="I36" s="129"/>
    </row>
    <row r="37" spans="1:15" ht="15.75" thickBot="1">
      <c r="A37" s="3617"/>
      <c r="B37" s="1673" t="s">
        <v>1314</v>
      </c>
      <c r="C37" s="147"/>
      <c r="D37" s="1139"/>
      <c r="E37" s="1139"/>
      <c r="F37" s="1789"/>
      <c r="G37" s="129"/>
      <c r="H37" s="129"/>
      <c r="I37" s="129"/>
    </row>
    <row r="38" spans="1:15" ht="15.75" thickBot="1">
      <c r="A38" s="3618"/>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6" t="s">
        <v>1326</v>
      </c>
      <c r="B45" s="3637"/>
      <c r="C45" s="3638"/>
      <c r="D45" s="155">
        <f ca="1">ROUND(H101*F45,0)</f>
        <v>17896</v>
      </c>
      <c r="E45" s="156" t="s">
        <v>1327</v>
      </c>
      <c r="F45" s="157">
        <v>1</v>
      </c>
      <c r="G45" s="158" t="s">
        <v>1328</v>
      </c>
      <c r="H45" s="129"/>
      <c r="I45" s="129"/>
      <c r="J45" s="3556" t="s">
        <v>1329</v>
      </c>
      <c r="K45" s="3556"/>
      <c r="L45" s="3556"/>
      <c r="M45" s="3556"/>
      <c r="N45" s="3556"/>
      <c r="O45" s="3556"/>
    </row>
    <row r="46" spans="1:15" ht="14.25" customHeight="1">
      <c r="A46" s="3633" t="s">
        <v>1330</v>
      </c>
      <c r="B46" s="3634"/>
      <c r="C46" s="3634"/>
      <c r="D46" s="3634"/>
      <c r="E46" s="3634"/>
      <c r="F46" s="3634"/>
      <c r="G46" s="3635"/>
      <c r="H46" s="1805"/>
      <c r="I46" s="159"/>
      <c r="J46" s="2522">
        <v>1</v>
      </c>
      <c r="K46" s="3557" t="s">
        <v>1331</v>
      </c>
      <c r="L46" s="3557"/>
      <c r="M46" s="3558"/>
      <c r="N46" s="3558"/>
      <c r="O46" s="3558"/>
    </row>
    <row r="47" spans="1:15" ht="12" customHeight="1">
      <c r="A47" s="160" t="s">
        <v>1332</v>
      </c>
      <c r="B47" s="161"/>
      <c r="C47" s="162"/>
      <c r="D47" s="1087" t="s">
        <v>1333</v>
      </c>
      <c r="E47" s="302" t="s">
        <v>1334</v>
      </c>
      <c r="F47" s="163" t="s">
        <v>1335</v>
      </c>
      <c r="G47" s="2545" t="s">
        <v>1336</v>
      </c>
      <c r="H47" s="2546"/>
      <c r="I47" s="159"/>
      <c r="J47" s="2522">
        <v>2</v>
      </c>
      <c r="K47" s="3557" t="s">
        <v>1337</v>
      </c>
      <c r="L47" s="3557"/>
      <c r="M47" s="3559">
        <f>'数据-取费表'!B2</f>
        <v>45195</v>
      </c>
      <c r="N47" s="3559"/>
      <c r="O47" s="3559"/>
    </row>
    <row r="48" spans="1:15" ht="25.5">
      <c r="A48" s="3619" t="s">
        <v>1338</v>
      </c>
      <c r="B48" s="3620"/>
      <c r="C48" s="3620"/>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57" t="s">
        <v>1340</v>
      </c>
      <c r="L48" s="3557"/>
      <c r="M48" s="3560">
        <f ca="1">H101</f>
        <v>17896</v>
      </c>
      <c r="N48" s="3560"/>
      <c r="O48" s="3560"/>
    </row>
    <row r="49" spans="1:35" ht="25.5" customHeight="1">
      <c r="A49" s="2332" t="s">
        <v>1341</v>
      </c>
      <c r="B49" s="3605" t="s">
        <v>1342</v>
      </c>
      <c r="C49" s="3605"/>
      <c r="D49" s="1589">
        <v>0</v>
      </c>
      <c r="E49" s="324" t="s">
        <v>1343</v>
      </c>
      <c r="F49" s="2423" t="s">
        <v>28</v>
      </c>
      <c r="G49" s="3588"/>
      <c r="H49" s="2309" t="s">
        <v>2133</v>
      </c>
      <c r="I49" s="2310"/>
      <c r="J49" s="2522">
        <v>4</v>
      </c>
      <c r="K49" s="3557" t="str">
        <f>IF(项目基本情况!E8="房地产抵押价值","房地产抵押价值","抵押担保权已注销时的房地产抵押价值")</f>
        <v>房地产抵押价值</v>
      </c>
      <c r="L49" s="3557"/>
      <c r="M49" s="3560">
        <f ca="1">IF(项目基本情况!E8="房地产抵押价值",H107,H109)</f>
        <v>17896</v>
      </c>
      <c r="N49" s="3560"/>
      <c r="O49" s="3560"/>
    </row>
    <row r="50" spans="1:35" ht="25.5" customHeight="1">
      <c r="A50" s="2550"/>
      <c r="B50" s="3605" t="s">
        <v>1344</v>
      </c>
      <c r="C50" s="3605"/>
      <c r="D50" s="2551"/>
      <c r="E50" s="332"/>
      <c r="F50" s="2423"/>
      <c r="G50" s="3589"/>
      <c r="H50" s="2311" t="s">
        <v>2134</v>
      </c>
      <c r="I50" s="2310"/>
      <c r="J50" s="3556" t="s">
        <v>1345</v>
      </c>
      <c r="K50" s="3556"/>
      <c r="L50" s="3556"/>
      <c r="M50" s="3556"/>
      <c r="N50" s="3556"/>
      <c r="O50" s="3556"/>
    </row>
    <row r="51" spans="1:35" ht="20.45" customHeight="1">
      <c r="A51" s="2552"/>
      <c r="B51" s="3605" t="s">
        <v>1346</v>
      </c>
      <c r="C51" s="3605"/>
      <c r="D51" s="1087"/>
      <c r="E51" s="327"/>
      <c r="F51" s="2423"/>
      <c r="G51" s="3590"/>
      <c r="H51" s="2311" t="s">
        <v>2135</v>
      </c>
      <c r="I51" s="2310"/>
      <c r="J51" s="2523" t="s">
        <v>1347</v>
      </c>
      <c r="K51" s="3557" t="s">
        <v>1348</v>
      </c>
      <c r="L51" s="3557"/>
      <c r="M51" s="2523" t="s">
        <v>1349</v>
      </c>
      <c r="N51" s="2523" t="s">
        <v>1350</v>
      </c>
      <c r="O51" s="2523" t="s">
        <v>1351</v>
      </c>
    </row>
    <row r="52" spans="1:35" ht="24" customHeight="1">
      <c r="A52" s="2334" t="s">
        <v>1352</v>
      </c>
      <c r="B52" s="3605" t="s">
        <v>1353</v>
      </c>
      <c r="C52" s="3605"/>
      <c r="D52" s="1087">
        <f ca="1">ROUND(D45*'数据-取费表'!B41/(1+'数据-取费表'!C42),0)</f>
        <v>937</v>
      </c>
      <c r="E52" s="2333" t="s">
        <v>1354</v>
      </c>
      <c r="F52" s="2553">
        <f>'数据-取费表'!B41</f>
        <v>5.5000000000000007E-2</v>
      </c>
      <c r="G52" s="2554"/>
      <c r="H52" s="2543"/>
      <c r="I52" s="1806"/>
      <c r="J52" s="2522">
        <v>1</v>
      </c>
      <c r="K52" s="3582" t="s">
        <v>1355</v>
      </c>
      <c r="L52" s="3582"/>
      <c r="M52" s="2524" t="b">
        <f>D48</f>
        <v>0</v>
      </c>
      <c r="N52" s="2522" t="str">
        <f>E48</f>
        <v>销售额×税（费）率</v>
      </c>
      <c r="O52" s="2525">
        <f>F48</f>
        <v>5.5000000000000007E-2</v>
      </c>
    </row>
    <row r="53" spans="1:35" ht="12" customHeight="1">
      <c r="A53" s="2334" t="s">
        <v>1356</v>
      </c>
      <c r="B53" s="3606" t="s">
        <v>2281</v>
      </c>
      <c r="C53" s="3607"/>
      <c r="D53" s="1087">
        <f ca="1">ROUND(D45*'数据-取费表'!B41/(1+'数据-取费表'!C42),0)</f>
        <v>937</v>
      </c>
      <c r="E53" s="2333" t="s">
        <v>1354</v>
      </c>
      <c r="F53" s="2553">
        <f>'数据-取费表'!B41</f>
        <v>5.5000000000000007E-2</v>
      </c>
      <c r="G53" s="2554"/>
      <c r="H53" s="2543"/>
      <c r="I53" s="1806"/>
      <c r="J53" s="2522">
        <v>2</v>
      </c>
      <c r="K53" s="3582" t="s">
        <v>1357</v>
      </c>
      <c r="L53" s="3582"/>
      <c r="M53" s="2524">
        <f t="shared" ref="M53:O54" ca="1" si="0">D55</f>
        <v>9</v>
      </c>
      <c r="N53" s="2522" t="str">
        <f t="shared" si="0"/>
        <v>销售额×税（费）率</v>
      </c>
      <c r="O53" s="2525" t="str">
        <f t="shared" si="0"/>
        <v>免征</v>
      </c>
    </row>
    <row r="54" spans="1:35" ht="12" customHeight="1">
      <c r="A54" s="2334" t="s">
        <v>1358</v>
      </c>
      <c r="B54" s="3606" t="s">
        <v>2282</v>
      </c>
      <c r="C54" s="3607"/>
      <c r="D54" s="1087">
        <f ca="1">C68</f>
        <v>937</v>
      </c>
      <c r="E54" s="327" t="s">
        <v>1359</v>
      </c>
      <c r="F54" s="2553">
        <f>'数据-取费表'!B41</f>
        <v>5.5000000000000007E-2</v>
      </c>
      <c r="G54" s="2554"/>
      <c r="H54" s="2555"/>
      <c r="I54" s="1806"/>
      <c r="J54" s="2522">
        <v>3</v>
      </c>
      <c r="K54" s="3582" t="s">
        <v>1360</v>
      </c>
      <c r="L54" s="3582"/>
      <c r="M54" s="2524">
        <f t="shared" ca="1" si="0"/>
        <v>10146</v>
      </c>
      <c r="N54" s="2522" t="str">
        <f t="shared" si="0"/>
        <v>增值额×税（费）率</v>
      </c>
      <c r="O54" s="2526" t="str">
        <f t="shared" si="0"/>
        <v>免征</v>
      </c>
    </row>
    <row r="55" spans="1:35" ht="24" customHeight="1">
      <c r="A55" s="3642" t="s">
        <v>1361</v>
      </c>
      <c r="B55" s="3620"/>
      <c r="C55" s="3620"/>
      <c r="D55" s="2323">
        <f ca="1">IF(H55="个人住宅",0,ROUND(D45*I55,0))</f>
        <v>9</v>
      </c>
      <c r="E55" s="2333" t="s">
        <v>1362</v>
      </c>
      <c r="F55" s="2553" t="str">
        <f>IF(H55="正常",I55,"免征")</f>
        <v>免征</v>
      </c>
      <c r="G55" s="2554"/>
      <c r="H55" s="2549"/>
      <c r="I55" s="165">
        <f>'数据-取费表'!B49</f>
        <v>5.0000000000000001E-4</v>
      </c>
      <c r="J55" s="2522">
        <f>IF(H59="非个人房产","",4)</f>
        <v>4</v>
      </c>
      <c r="K55" s="3582" t="str">
        <f>IF(H59="非个人房产","——","个人所得税")</f>
        <v>个人所得税</v>
      </c>
      <c r="L55" s="3582"/>
      <c r="M55" s="2527">
        <f ca="1">D59</f>
        <v>170</v>
      </c>
      <c r="N55" s="2039" t="str">
        <f>E59</f>
        <v>差额计税</v>
      </c>
      <c r="O55" s="2528">
        <f>F59</f>
        <v>0.01</v>
      </c>
    </row>
    <row r="56" spans="1:35" ht="24.75">
      <c r="A56" s="3642" t="s">
        <v>1363</v>
      </c>
      <c r="B56" s="3620"/>
      <c r="C56" s="3620"/>
      <c r="D56" s="2323">
        <f ca="1">IF(H56="个人住宅",D57,D58)</f>
        <v>10146</v>
      </c>
      <c r="E56" s="2333" t="s">
        <v>1364</v>
      </c>
      <c r="F56" s="2553" t="str">
        <f>IF(H56="正常",F58,"免征")</f>
        <v>免征</v>
      </c>
      <c r="G56" s="2556" t="s">
        <v>1365</v>
      </c>
      <c r="H56" s="2557"/>
      <c r="I56" s="1807"/>
      <c r="J56" s="2522" t="str">
        <f>IF(项目基本情况!K6="上海银行",IF(J55="",4,J55+1),"")</f>
        <v/>
      </c>
      <c r="K56" s="3563" t="str">
        <f>IF(项目基本情况!K6="上海银行","其他处置费用","")</f>
        <v/>
      </c>
      <c r="L56" s="3564"/>
      <c r="M56" s="2524" t="str">
        <f>IF(项目基本情况!K6="上海银行",M69,"")</f>
        <v/>
      </c>
      <c r="N56" s="3563" t="str">
        <f>IF(项目基本情况!K6="上海银行","包含处置中涉及的律师、诉讼、拍卖、评估等费用","")</f>
        <v/>
      </c>
      <c r="O56" s="3566"/>
    </row>
    <row r="57" spans="1:35" ht="12.75">
      <c r="A57" s="2334" t="s">
        <v>1341</v>
      </c>
      <c r="B57" s="3606" t="s">
        <v>1366</v>
      </c>
      <c r="C57" s="3607"/>
      <c r="D57" s="1589">
        <v>0</v>
      </c>
      <c r="E57" s="324" t="s">
        <v>1343</v>
      </c>
      <c r="F57" s="302"/>
      <c r="G57" s="2554"/>
      <c r="H57" s="2558"/>
      <c r="I57" s="1807"/>
      <c r="J57" s="3582">
        <f>IF(AND(J55="",J56=""),4,IF(项目基本情况!K6="上海银行",结果表!J56+1,结果表!J55+1))</f>
        <v>5</v>
      </c>
      <c r="K57" s="3582" t="s">
        <v>1367</v>
      </c>
      <c r="L57" s="2529" t="s">
        <v>1368</v>
      </c>
      <c r="M57" s="2530"/>
      <c r="N57" s="2531">
        <f ca="1">SUMIF(M52:M56,"&lt;9e307")</f>
        <v>10325</v>
      </c>
      <c r="O57" s="2532"/>
      <c r="P57" s="2689">
        <f ca="1">N57/M49</f>
        <v>0.5769445686186857</v>
      </c>
    </row>
    <row r="58" spans="1:35" ht="24.75">
      <c r="A58" s="2334" t="s">
        <v>1352</v>
      </c>
      <c r="B58" s="3606" t="s">
        <v>1369</v>
      </c>
      <c r="C58" s="3605"/>
      <c r="D58" s="2323">
        <f ca="1">IF(H58="转让取得",C81,C97)</f>
        <v>10146</v>
      </c>
      <c r="E58" s="2333" t="s">
        <v>1364</v>
      </c>
      <c r="F58" s="302" t="s">
        <v>28</v>
      </c>
      <c r="G58" s="2554"/>
      <c r="H58" s="2557"/>
      <c r="I58" s="1807"/>
      <c r="J58" s="3582"/>
      <c r="K58" s="3582"/>
      <c r="L58" s="2529" t="s">
        <v>1370</v>
      </c>
      <c r="M58" s="2533"/>
      <c r="N58" s="2534" t="str">
        <f ca="1">NUMBERSTRING(INT(N57*10000),2)&amp;"元整"</f>
        <v>壹亿零叁佰贰拾伍万元整</v>
      </c>
      <c r="O58" s="2535"/>
    </row>
    <row r="59" spans="1:35" ht="24.75" thickBot="1">
      <c r="A59" s="3586" t="s">
        <v>1371</v>
      </c>
      <c r="B59" s="3587"/>
      <c r="C59" s="3587"/>
      <c r="D59" s="2559">
        <f ca="1">IF(H59="非个人房产","——",IF(H59="个人住宅（满五唯一有凭证）",0,IF(H59="个人其他（无凭证）",ROUND(D45*F59,0),ROUND(C67*F59,0))))</f>
        <v>170</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84">
        <f>J57+1</f>
        <v>6</v>
      </c>
      <c r="K59" s="3582" t="s">
        <v>1372</v>
      </c>
      <c r="L59" s="2522" t="s">
        <v>1368</v>
      </c>
      <c r="M59" s="2536"/>
      <c r="N59" s="2537">
        <f ca="1">M49-N57</f>
        <v>7571</v>
      </c>
      <c r="O59" s="2538"/>
    </row>
    <row r="60" spans="1:35" ht="12" customHeight="1">
      <c r="A60" s="1808"/>
      <c r="B60" s="1746"/>
      <c r="C60" s="1746"/>
      <c r="D60" s="1746"/>
      <c r="E60" s="1577"/>
      <c r="F60" s="1807"/>
      <c r="G60" s="1807"/>
      <c r="H60" s="1809"/>
      <c r="I60" s="129"/>
      <c r="J60" s="3585"/>
      <c r="K60" s="3582"/>
      <c r="L60" s="2529" t="s">
        <v>1370</v>
      </c>
      <c r="M60" s="2533"/>
      <c r="N60" s="2534" t="str">
        <f ca="1">NUMBERSTRING(INT(N59*10000),2)&amp;"元整"</f>
        <v>柒仟伍佰柒拾壹万元整</v>
      </c>
      <c r="O60" s="2535"/>
    </row>
    <row r="61" spans="1:35" ht="13.5" thickBot="1">
      <c r="A61" s="3641" t="s">
        <v>1373</v>
      </c>
      <c r="B61" s="3641"/>
      <c r="C61" s="3641"/>
      <c r="D61" s="3641"/>
      <c r="E61" s="3641"/>
      <c r="F61" s="1807"/>
      <c r="G61" s="1807"/>
      <c r="H61" s="1809"/>
      <c r="I61" s="129"/>
      <c r="J61" s="2522">
        <f>J59+1</f>
        <v>7</v>
      </c>
      <c r="K61" s="3582" t="s">
        <v>1374</v>
      </c>
      <c r="L61" s="3582"/>
      <c r="M61" s="2539"/>
      <c r="N61" s="2540">
        <f ca="1">ROUND(N59*10000/'数据-汇总表'!E3,0)</f>
        <v>2792</v>
      </c>
      <c r="O61" s="2541"/>
    </row>
    <row r="62" spans="1:35" ht="12.75">
      <c r="A62" s="3601" t="s">
        <v>1375</v>
      </c>
      <c r="B62" s="3602"/>
      <c r="C62" s="2020"/>
      <c r="D62" s="2020" t="s">
        <v>1376</v>
      </c>
      <c r="E62" s="166" t="s">
        <v>1377</v>
      </c>
      <c r="F62" s="1807"/>
      <c r="G62" s="1807"/>
      <c r="H62" s="1809"/>
      <c r="I62" s="129"/>
    </row>
    <row r="63" spans="1:35" ht="12.75">
      <c r="A63" s="173" t="s">
        <v>330</v>
      </c>
      <c r="B63" s="167" t="s">
        <v>1378</v>
      </c>
      <c r="C63" s="2563">
        <f ca="1">ROUND((C64+C65)/(1+'数据-取费表'!C42),0)</f>
        <v>17044</v>
      </c>
      <c r="D63" s="167"/>
      <c r="E63" s="168"/>
      <c r="F63" s="1807"/>
      <c r="G63" s="1807"/>
      <c r="H63" s="1809"/>
      <c r="I63" s="129"/>
      <c r="J63" s="3565" t="s">
        <v>1379</v>
      </c>
      <c r="K63" s="1331" t="s">
        <v>1380</v>
      </c>
      <c r="L63" s="1331">
        <f ca="1">IF(M49&gt;10000,M49*0.5%,IF(AND(M49&gt;1000,M49&lt;=10000),M49*1%,IF(AND(M49&gt;100,M49&lt;=1000),M49*3%,IF(AND(M49&gt;10,M49&lt;=100),M49*5%,M49*8%))))</f>
        <v>89.48</v>
      </c>
      <c r="M63" s="302">
        <f ca="1">ROUND(L63,1)</f>
        <v>89.5</v>
      </c>
      <c r="N63" s="2542"/>
      <c r="Z63" s="1751"/>
      <c r="AI63" s="1752"/>
    </row>
    <row r="64" spans="1:35" ht="14.25" customHeight="1">
      <c r="A64" s="169" t="s">
        <v>325</v>
      </c>
      <c r="B64" s="170" t="s">
        <v>1381</v>
      </c>
      <c r="C64" s="2564">
        <f ca="1">D45</f>
        <v>17896</v>
      </c>
      <c r="D64" s="170" t="s">
        <v>26</v>
      </c>
      <c r="E64" s="172"/>
      <c r="F64" s="1807"/>
      <c r="G64" s="1807"/>
      <c r="H64" s="1809"/>
      <c r="I64" s="129"/>
      <c r="J64" s="3565"/>
      <c r="K64" s="1331" t="s">
        <v>1382</v>
      </c>
      <c r="L64" s="1331">
        <f ca="1">IF(M49&gt;2000,M49*0.5%,IF(AND(M49&gt;1000,M49&lt;=2000),M49*0.6%,IF(AND(M49&gt;500,M49&lt;=1000),M49*0.7%,IF(AND(M49&gt;200,M49&lt;=500),M49*0.8%,IF(AND(M49&gt;100,M49&lt;=200),M49*0.9%,IF(AND(M49&gt;50,M49&lt;=100),M49*1%,IF(AND(M49&gt;20,M49&lt;=50),M49*1.5%,IF(AND(M49&gt;10,M49&lt;=20),M49*2%,IF(AND(M49&gt;1,M49&lt;=10),M49*2.5%)))))))))</f>
        <v>89.48</v>
      </c>
      <c r="M64" s="302">
        <f t="shared" ref="M64:M65" ca="1" si="1">ROUND(L64,1)</f>
        <v>89.5</v>
      </c>
      <c r="N64" s="2543" t="s">
        <v>1383</v>
      </c>
      <c r="Z64" s="1751"/>
      <c r="AI64" s="1752"/>
    </row>
    <row r="65" spans="1:35" ht="14.25" customHeight="1">
      <c r="A65" s="169" t="s">
        <v>326</v>
      </c>
      <c r="B65" s="170" t="s">
        <v>1384</v>
      </c>
      <c r="C65" s="2565"/>
      <c r="D65" s="170"/>
      <c r="E65" s="172"/>
      <c r="F65" s="1807"/>
      <c r="G65" s="1807"/>
      <c r="H65" s="1809"/>
      <c r="I65" s="129"/>
      <c r="J65" s="3565"/>
      <c r="K65" s="1331" t="s">
        <v>1385</v>
      </c>
      <c r="L65" s="1331">
        <f ca="1">IF(M49&gt;1000,M49*0.1%,IF(AND(M49&gt;500,M49&lt;=1000),M49*0.5%,IF(AND(M49&gt;50,M49&lt;=500),M49*1%,IF(AND(M49&gt;1,M49&lt;=50),M49*1.5%))))</f>
        <v>17.896000000000001</v>
      </c>
      <c r="M65" s="302">
        <f t="shared" ca="1" si="1"/>
        <v>17.899999999999999</v>
      </c>
      <c r="N65" s="2543" t="s">
        <v>1383</v>
      </c>
      <c r="Z65" s="1751"/>
      <c r="AI65" s="1752"/>
    </row>
    <row r="66" spans="1:35" ht="14.25" customHeight="1">
      <c r="A66" s="173" t="s">
        <v>327</v>
      </c>
      <c r="B66" s="174" t="s">
        <v>1386</v>
      </c>
      <c r="C66" s="2566"/>
      <c r="D66" s="174" t="s">
        <v>26</v>
      </c>
      <c r="E66" s="1337" t="s">
        <v>671</v>
      </c>
      <c r="F66" s="1807"/>
      <c r="G66" s="1807"/>
      <c r="H66" s="1809"/>
      <c r="I66" s="129"/>
      <c r="J66" s="3565"/>
      <c r="K66" s="1331" t="s">
        <v>1387</v>
      </c>
      <c r="L66" s="1331">
        <f ca="1">M49*0.5%</f>
        <v>89.48</v>
      </c>
      <c r="M66" s="302">
        <f ca="1">IF(L66&gt;0.5,0.5,ROUND(L66,0))</f>
        <v>0.5</v>
      </c>
      <c r="N66" s="2543" t="s">
        <v>1388</v>
      </c>
      <c r="Z66" s="1751"/>
      <c r="AI66" s="1752"/>
    </row>
    <row r="67" spans="1:35" ht="14.25" customHeight="1">
      <c r="A67" s="173" t="s">
        <v>328</v>
      </c>
      <c r="B67" s="174" t="s">
        <v>1389</v>
      </c>
      <c r="C67" s="2567">
        <f ca="1">C63-C66</f>
        <v>17044</v>
      </c>
      <c r="D67" s="170" t="s">
        <v>26</v>
      </c>
      <c r="E67" s="172"/>
      <c r="F67" s="1807"/>
      <c r="G67" s="1807"/>
      <c r="H67" s="1809"/>
      <c r="I67" s="129"/>
      <c r="J67" s="3565"/>
      <c r="K67" s="1331" t="s">
        <v>1390</v>
      </c>
      <c r="L67" s="1331">
        <f ca="1">IF(M49&gt;=10000,(8.25+(M49-10000)*0.01%),IF(AND(M49&gt;=8000,M49&lt;10000),(7.85+(M49-8000)*0.02%),IF(AND(M49&gt;=5000,M49&lt;8000),(6.65+(M49-5000)*0.04%),IF(AND(M49&gt;=2000,M49&lt;5000),(4.25+(PM49-2000)*0.08%),IF(AND(M49&gt;=1000,M49&lt;2000),(2.75+(M49-1000)*0.15%),IF(AND(M49&gt;=100,M49&lt;1000),(0.5+(M49-100)*0.25%),IF(AND(M49&gt;0,M49&lt;100),M49*0.5%)))))))</f>
        <v>9.0396000000000001</v>
      </c>
      <c r="M67" s="302">
        <f ca="1">ROUND(L67*0.9,1)</f>
        <v>8.1</v>
      </c>
      <c r="N67" s="2542"/>
      <c r="Z67" s="1751"/>
      <c r="AI67" s="1752"/>
    </row>
    <row r="68" spans="1:35" ht="14.25" customHeight="1" thickBot="1">
      <c r="A68" s="176" t="s">
        <v>329</v>
      </c>
      <c r="B68" s="177" t="s">
        <v>1391</v>
      </c>
      <c r="C68" s="2568">
        <f ca="1">IF(C67&lt;=0,0,ROUND(C67*D68,0))</f>
        <v>937</v>
      </c>
      <c r="D68" s="2569">
        <f>'数据-取费表'!B41</f>
        <v>5.5000000000000007E-2</v>
      </c>
      <c r="E68" s="178"/>
      <c r="F68" s="1807"/>
      <c r="G68" s="1807"/>
      <c r="H68" s="1809"/>
      <c r="I68" s="129"/>
      <c r="J68" s="3565"/>
      <c r="K68" s="1331" t="s">
        <v>1392</v>
      </c>
      <c r="L68" s="1331">
        <f ca="1">IF(M49&gt;10000,M49*0.5%,IF(AND(M49&gt;5000,M49&lt;=10000),M49*1%,IF(AND(M49&gt;1000,M49&lt;=5000),M49*2%,IF(AND(M49&gt;200,M49&lt;=1000),M49*3%,M49*5%))))</f>
        <v>89.48</v>
      </c>
      <c r="M68" s="302">
        <f ca="1">ROUND(L68,1)</f>
        <v>89.5</v>
      </c>
      <c r="N68" s="2542"/>
      <c r="Z68" s="1751"/>
      <c r="AI68" s="1752"/>
    </row>
    <row r="69" spans="1:35" s="1771" customFormat="1" ht="16.5" customHeight="1">
      <c r="A69" s="1810"/>
      <c r="B69" s="1811"/>
      <c r="C69" s="1812"/>
      <c r="D69" s="1813"/>
      <c r="E69" s="1814"/>
      <c r="F69" s="1577"/>
      <c r="G69" s="1577"/>
      <c r="H69" s="1576"/>
      <c r="I69" s="1746"/>
      <c r="J69" s="3565"/>
      <c r="K69" s="1331" t="s">
        <v>1393</v>
      </c>
      <c r="L69" s="1331"/>
      <c r="M69" s="302">
        <f ca="1">ROUND(SUM(M63:M68),0)</f>
        <v>295</v>
      </c>
      <c r="N69" s="2544">
        <f ca="1">M69/M49</f>
        <v>1.6484130531962449E-2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09" t="s">
        <v>1394</v>
      </c>
      <c r="B70" s="3610"/>
      <c r="C70" s="3610"/>
      <c r="D70" s="3610"/>
      <c r="E70" s="3610"/>
      <c r="F70" s="3610"/>
      <c r="G70" s="3610"/>
      <c r="H70" s="3610"/>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1" t="s">
        <v>1375</v>
      </c>
      <c r="B71" s="3602"/>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17044</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85</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6" t="s">
        <v>1402</v>
      </c>
      <c r="F76" s="3605"/>
      <c r="G76" s="3605"/>
      <c r="H76" s="360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85</v>
      </c>
      <c r="D78" s="2576">
        <f>'数据-取费表'!B43</f>
        <v>5.000000000000001E-3</v>
      </c>
      <c r="E78" s="3598" t="s">
        <v>1406</v>
      </c>
      <c r="F78" s="3599"/>
      <c r="G78" s="3599"/>
      <c r="H78" s="360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16959</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199.51764705882354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10146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9" t="s">
        <v>1410</v>
      </c>
      <c r="B83" s="3610"/>
      <c r="C83" s="3610"/>
      <c r="D83" s="3610"/>
      <c r="E83" s="3610"/>
      <c r="F83" s="3610"/>
      <c r="G83" s="3610"/>
      <c r="H83" s="361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1" t="s">
        <v>1375</v>
      </c>
      <c r="B84" s="3602"/>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17044</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85</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2278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67" t="s">
        <v>2128</v>
      </c>
      <c r="H90" s="3568"/>
      <c r="I90" s="1820"/>
      <c r="J90" s="2520" t="s">
        <v>2279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98" t="s">
        <v>1419</v>
      </c>
      <c r="F91" s="3599"/>
      <c r="G91" s="359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98" t="s">
        <v>1422</v>
      </c>
      <c r="F92" s="3599"/>
      <c r="G92" s="3599"/>
      <c r="H92" s="3600"/>
      <c r="I92" s="1820"/>
      <c r="J92" s="2521" t="s">
        <v>2280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85</v>
      </c>
      <c r="D93" s="2576">
        <f>'数据-取费表'!B43</f>
        <v>5.000000000000001E-3</v>
      </c>
      <c r="E93" s="3598" t="s">
        <v>1406</v>
      </c>
      <c r="F93" s="3599"/>
      <c r="G93" s="3599"/>
      <c r="H93" s="360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43" t="s">
        <v>1426</v>
      </c>
      <c r="F94" s="3644"/>
      <c r="G94" s="3644"/>
      <c r="H94" s="364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16959</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199.51764705882354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10146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8" t="s">
        <v>1428</v>
      </c>
      <c r="B100" s="3549"/>
      <c r="C100" s="3549"/>
      <c r="D100" s="3583"/>
      <c r="E100" s="3549" t="s">
        <v>1429</v>
      </c>
      <c r="F100" s="3549"/>
      <c r="G100" s="3549"/>
      <c r="H100" s="3583"/>
      <c r="I100" s="129"/>
    </row>
    <row r="101" spans="1:35" ht="18.75" customHeight="1">
      <c r="A101" s="3591" t="s">
        <v>1430</v>
      </c>
      <c r="B101" s="3592"/>
      <c r="C101" s="2584" t="str">
        <f>C4</f>
        <v>成本法</v>
      </c>
      <c r="D101" s="2585" t="str">
        <f>D4</f>
        <v>收益法</v>
      </c>
      <c r="E101" s="3561" t="s">
        <v>1431</v>
      </c>
      <c r="F101" s="3562"/>
      <c r="G101" s="1826" t="s">
        <v>1432</v>
      </c>
      <c r="H101" s="2594">
        <f ca="1">H118</f>
        <v>17896</v>
      </c>
      <c r="I101" s="129"/>
    </row>
    <row r="102" spans="1:35" ht="18.75" customHeight="1">
      <c r="A102" s="3593" t="s">
        <v>1433</v>
      </c>
      <c r="B102" s="2583" t="s">
        <v>1432</v>
      </c>
      <c r="C102" s="2584">
        <f ca="1">IF(D32="楼面单价",ROUND(C19,0),C19)</f>
        <v>21301</v>
      </c>
      <c r="D102" s="2585">
        <f ca="1">IF(D32="楼面单价",ROUND(D19,0),D19)</f>
        <v>15626</v>
      </c>
      <c r="E102" s="3561"/>
      <c r="F102" s="3562"/>
      <c r="G102" s="1826" t="s">
        <v>1434</v>
      </c>
      <c r="H102" s="2554">
        <f ca="1">I118</f>
        <v>6600</v>
      </c>
      <c r="I102" s="129"/>
    </row>
    <row r="103" spans="1:35" ht="42.75" customHeight="1">
      <c r="A103" s="3593"/>
      <c r="B103" s="2583" t="s">
        <v>1434</v>
      </c>
      <c r="C103" s="2586">
        <f ca="1">C20</f>
        <v>7856</v>
      </c>
      <c r="D103" s="2587">
        <f ca="1">D20</f>
        <v>5763</v>
      </c>
      <c r="E103" s="3554" t="s">
        <v>1435</v>
      </c>
      <c r="F103" s="3555"/>
      <c r="G103" s="1827" t="s">
        <v>1436</v>
      </c>
      <c r="H103" s="2594">
        <f>IF(D36="正常操作",H104+H105+H106,H105+H106)</f>
        <v>0</v>
      </c>
      <c r="I103" s="129"/>
    </row>
    <row r="104" spans="1:35" ht="18.75" customHeight="1">
      <c r="A104" s="3593" t="s">
        <v>1437</v>
      </c>
      <c r="B104" s="2588" t="s">
        <v>1432</v>
      </c>
      <c r="C104" s="2589">
        <f ca="1">H118</f>
        <v>17896</v>
      </c>
      <c r="D104" s="2590"/>
      <c r="E104" s="1673" t="s">
        <v>1438</v>
      </c>
      <c r="F104" s="1665"/>
      <c r="G104" s="1827" t="s">
        <v>1436</v>
      </c>
      <c r="H104" s="2595">
        <f>IF(D36="同一抵押权人同一抵押物续贷",C36&amp;"（续贷，未扣减，详见特别提示）",C36)</f>
        <v>0</v>
      </c>
      <c r="I104" s="129"/>
    </row>
    <row r="105" spans="1:35" ht="18.75" customHeight="1" thickBot="1">
      <c r="A105" s="3603"/>
      <c r="B105" s="2591" t="s">
        <v>1434</v>
      </c>
      <c r="C105" s="2592">
        <f ca="1">I118</f>
        <v>6600</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4" t="str">
        <f>IF(项目基本情况!E8="已注销","——","3.房地产抵押价值")</f>
        <v>3.房地产抵押价值</v>
      </c>
      <c r="F107" s="3562"/>
      <c r="G107" s="1826" t="s">
        <v>1432</v>
      </c>
      <c r="H107" s="2594">
        <f ca="1">IF(E107="——","——",H101-H103)</f>
        <v>17896</v>
      </c>
      <c r="I107" s="129"/>
    </row>
    <row r="108" spans="1:35" ht="18.75" customHeight="1">
      <c r="A108" s="129"/>
      <c r="B108" s="129"/>
      <c r="C108" s="129"/>
      <c r="D108" s="129"/>
      <c r="E108" s="3594"/>
      <c r="F108" s="3562"/>
      <c r="G108" s="1826" t="s">
        <v>1434</v>
      </c>
      <c r="H108" s="2554">
        <f ca="1">IF(H107=H101,H102,ROUND(H107*10000/'数据-汇总表'!E3,0))</f>
        <v>6600</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62"/>
      <c r="G109" s="1826" t="s">
        <v>1432</v>
      </c>
      <c r="H109" s="2597" t="str">
        <f>IF(E109="——","——",H101-H105-H106)</f>
        <v>——</v>
      </c>
      <c r="I109" s="129"/>
    </row>
    <row r="110" spans="1:35" ht="18.75" customHeight="1">
      <c r="A110" s="129"/>
      <c r="B110" s="129"/>
      <c r="C110" s="129"/>
      <c r="D110" s="129"/>
      <c r="E110" s="3594"/>
      <c r="F110" s="3562"/>
      <c r="G110" s="1826" t="s">
        <v>1434</v>
      </c>
      <c r="H110" s="2554" t="str">
        <f>IF(H109="——","——",ROUND(H109*10000/'数据-汇总表'!E3,0))</f>
        <v>——</v>
      </c>
      <c r="I110" s="129"/>
    </row>
    <row r="111" spans="1:35" ht="18.75" customHeight="1">
      <c r="A111" s="129"/>
      <c r="B111" s="129"/>
      <c r="C111" s="129"/>
      <c r="D111" s="129"/>
      <c r="E111" s="3595" t="str">
        <f>IF(项目基本情况!E9="抵押净值",IF(OR(项目基本情况!E8="已注销",项目基本情况!E8="房地产抵押价值"),"4.抵押净值","5.抵押净值"),"——")</f>
        <v>——</v>
      </c>
      <c r="F111" s="3581"/>
      <c r="G111" s="1826" t="s">
        <v>1432</v>
      </c>
      <c r="H111" s="2594" t="str">
        <f>IF(E111="——","——",N59)</f>
        <v>——</v>
      </c>
      <c r="I111" s="129"/>
    </row>
    <row r="112" spans="1:35" ht="18.75" customHeight="1" thickBot="1">
      <c r="A112" s="129"/>
      <c r="B112" s="129"/>
      <c r="C112" s="129"/>
      <c r="D112" s="129"/>
      <c r="E112" s="3596"/>
      <c r="F112" s="3597"/>
      <c r="G112" s="1829" t="s">
        <v>1434</v>
      </c>
      <c r="H112" s="2598" t="str">
        <f>IF(E111="——","——",N61)</f>
        <v>——</v>
      </c>
      <c r="I112" s="129"/>
    </row>
    <row r="113" spans="1:27" ht="18.75" customHeight="1">
      <c r="A113" s="129"/>
      <c r="B113" s="129"/>
      <c r="C113" s="129"/>
      <c r="D113" s="129"/>
      <c r="E113" s="3604" t="s">
        <v>1440</v>
      </c>
      <c r="F113" s="3604"/>
      <c r="G113" s="3604"/>
      <c r="H113" s="3604"/>
      <c r="I113" s="129"/>
    </row>
    <row r="114" spans="1:27" ht="3.75" customHeight="1">
      <c r="A114" s="1746"/>
      <c r="B114" s="1746"/>
      <c r="C114" s="1746"/>
      <c r="D114" s="1746"/>
      <c r="E114" s="1808"/>
      <c r="F114" s="1808"/>
      <c r="G114" s="1808"/>
      <c r="H114" s="1808"/>
      <c r="I114" s="1746"/>
    </row>
    <row r="115" spans="1:27" ht="18.75" customHeight="1">
      <c r="A115" s="3612" t="s">
        <v>1442</v>
      </c>
      <c r="B115" s="3613"/>
      <c r="C115" s="3613"/>
      <c r="D115" s="3613"/>
      <c r="E115" s="3613"/>
      <c r="F115" s="3613"/>
      <c r="G115" s="3613"/>
      <c r="H115" s="3613"/>
      <c r="I115" s="3614"/>
    </row>
    <row r="116" spans="1:27" ht="27" customHeight="1">
      <c r="A116" s="3569" t="s">
        <v>1443</v>
      </c>
      <c r="B116" s="3573" t="s">
        <v>1444</v>
      </c>
      <c r="C116" s="3573" t="s">
        <v>1445</v>
      </c>
      <c r="D116" s="3579" t="s">
        <v>1446</v>
      </c>
      <c r="E116" s="3580"/>
      <c r="F116" s="3611" t="s">
        <v>1447</v>
      </c>
      <c r="G116" s="3611"/>
      <c r="H116" s="3569" t="s">
        <v>1448</v>
      </c>
      <c r="I116" s="3569"/>
    </row>
    <row r="117" spans="1:27" ht="18.75" customHeight="1">
      <c r="A117" s="3569"/>
      <c r="B117" s="3574"/>
      <c r="C117" s="3574"/>
      <c r="D117" s="2328" t="s">
        <v>1449</v>
      </c>
      <c r="E117" s="2328" t="s">
        <v>1450</v>
      </c>
      <c r="F117" s="2328" t="s">
        <v>1449</v>
      </c>
      <c r="G117" s="2328" t="s">
        <v>1451</v>
      </c>
      <c r="H117" s="2328" t="s">
        <v>1449</v>
      </c>
      <c r="I117" s="2328" t="s">
        <v>1451</v>
      </c>
    </row>
    <row r="118" spans="1:27" ht="24.75" customHeight="1">
      <c r="A118" s="2599" t="str">
        <f>项目基本情况!S2</f>
        <v>北京市东流水路7号院1号楼房地产</v>
      </c>
      <c r="B118" s="2328">
        <f>M18</f>
        <v>27113.21</v>
      </c>
      <c r="C118" s="2328">
        <f>M19</f>
        <v>52503.79</v>
      </c>
      <c r="D118" s="2328">
        <f ca="1">ROUND(IF(D32="总价",C34,E118*B118/10000),0)</f>
        <v>7552</v>
      </c>
      <c r="E118" s="2328">
        <f ca="1">ROUND(IF(C33="自定义",IF(D32="楼面单价",C34,D118*10000/B118),I118-G118),0)</f>
        <v>2785</v>
      </c>
      <c r="F118" s="2328">
        <f ca="1">ROUND(IF(D32="总价",C35,G118*B118/10000),0)</f>
        <v>10344</v>
      </c>
      <c r="G118" s="2328">
        <f ca="1">ROUND(IF(D32="楼面单价",C35,F118*10000/B118),0)</f>
        <v>3815</v>
      </c>
      <c r="H118" s="2328">
        <f ca="1">ROUND(IF(D32="总价",C32,I118*B118/10000),0)</f>
        <v>17896</v>
      </c>
      <c r="I118" s="2328">
        <f ca="1">ROUND(IF(D32="楼面单价",C32,H118*10000/B118),0)</f>
        <v>6600</v>
      </c>
    </row>
    <row r="119" spans="1:27" ht="18.75" customHeight="1">
      <c r="A119" s="3569" t="s">
        <v>1452</v>
      </c>
      <c r="B119" s="3569"/>
      <c r="C119" s="3569"/>
      <c r="D119" s="3575" t="str">
        <f ca="1">NUMBERSTRING(INT(D118*10000),2)&amp;"元整"</f>
        <v>柒仟伍佰伍拾贰万元整</v>
      </c>
      <c r="E119" s="3576"/>
      <c r="F119" s="3575" t="str">
        <f ca="1">NUMBERSTRING(INT(F118*10000),2)&amp;"元整"</f>
        <v>壹亿零叁佰肆拾肆万元整</v>
      </c>
      <c r="G119" s="3576"/>
      <c r="H119" s="3575" t="str">
        <f ca="1">NUMBERSTRING(INT(H118*10000),2)&amp;"元整"</f>
        <v>壹亿柒仟捌佰玖拾陆万元整</v>
      </c>
      <c r="I119" s="3576"/>
    </row>
    <row r="120" spans="1:27" ht="18.75" customHeight="1">
      <c r="A120" s="3570" t="str">
        <f>IF(项目基本情况!B9="房地产市场价值","",MID(E103,3,LEN(E103)-2))</f>
        <v>估价师知悉的法定优先受偿款</v>
      </c>
      <c r="B120" s="3571"/>
      <c r="C120" s="3572"/>
      <c r="D120" s="3570">
        <f>H103</f>
        <v>0</v>
      </c>
      <c r="E120" s="3571"/>
      <c r="F120" s="3571"/>
      <c r="G120" s="3571"/>
      <c r="H120" s="3571"/>
      <c r="I120" s="357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5" t="s">
        <v>1452</v>
      </c>
      <c r="B121" s="3577"/>
      <c r="C121" s="3576"/>
      <c r="D121" s="3575" t="str">
        <f>IF(D120=0,"零元整",NUMBERSTRING(INT(D120*10000),2)&amp;"元整")</f>
        <v>零元整</v>
      </c>
      <c r="E121" s="3577"/>
      <c r="F121" s="3577"/>
      <c r="G121" s="3577"/>
      <c r="H121" s="3577"/>
      <c r="I121" s="3576"/>
      <c r="AA121" s="725"/>
    </row>
    <row r="122" spans="1:27" ht="18.75" customHeight="1">
      <c r="A122" s="3581" t="str">
        <f>IF(项目基本情况!B9="房地产市场价值","",MID(E107,3,LEN(E107)-2))</f>
        <v>房地产抵押价值</v>
      </c>
      <c r="B122" s="3581"/>
      <c r="C122" s="3581"/>
      <c r="D122" s="3570">
        <f ca="1">H107</f>
        <v>17896</v>
      </c>
      <c r="E122" s="3571"/>
      <c r="F122" s="3571"/>
      <c r="G122" s="3571"/>
      <c r="H122" s="3571"/>
      <c r="I122" s="3572"/>
      <c r="AA122" s="725"/>
    </row>
    <row r="123" spans="1:27" ht="18.75" customHeight="1">
      <c r="A123" s="3569" t="s">
        <v>1452</v>
      </c>
      <c r="B123" s="3569"/>
      <c r="C123" s="3569"/>
      <c r="D123" s="3575" t="str">
        <f ca="1">NUMBERSTRING(INT(D122*10000),2)&amp;"元整"</f>
        <v>壹亿柒仟捌佰玖拾陆万元整</v>
      </c>
      <c r="E123" s="3577"/>
      <c r="F123" s="3577"/>
      <c r="G123" s="3577"/>
      <c r="H123" s="3577"/>
      <c r="I123" s="3576"/>
      <c r="AA123" s="725"/>
    </row>
    <row r="124" spans="1:27" ht="18.75" customHeight="1">
      <c r="A124" s="3581" t="str">
        <f>IF(项目基本情况!B9="房地产市场价值","",MID(E109,3,LEN(E109)-2))</f>
        <v/>
      </c>
      <c r="B124" s="3581"/>
      <c r="C124" s="3581"/>
      <c r="D124" s="3570" t="str">
        <f>H109</f>
        <v>——</v>
      </c>
      <c r="E124" s="3571"/>
      <c r="F124" s="3571"/>
      <c r="G124" s="3571"/>
      <c r="H124" s="3571"/>
      <c r="I124" s="3572"/>
      <c r="AA124" s="725"/>
    </row>
    <row r="125" spans="1:27" ht="18.75" customHeight="1">
      <c r="A125" s="3569" t="s">
        <v>1452</v>
      </c>
      <c r="B125" s="3569"/>
      <c r="C125" s="3569"/>
      <c r="D125" s="3575" t="e">
        <f>NUMBERSTRING(INT(D124*10000),2)&amp;"元整"</f>
        <v>#VALUE!</v>
      </c>
      <c r="E125" s="3577"/>
      <c r="F125" s="3577"/>
      <c r="G125" s="3577"/>
      <c r="H125" s="3577"/>
      <c r="I125" s="3576"/>
      <c r="AA125" s="725"/>
    </row>
    <row r="126" spans="1:27" ht="18.75" customHeight="1">
      <c r="A126" s="3581" t="str">
        <f>IF(项目基本情况!B9="房地产市场价值","",MID(E111,3,LEN(E111)-2))</f>
        <v/>
      </c>
      <c r="B126" s="3581"/>
      <c r="C126" s="3581"/>
      <c r="D126" s="3570" t="str">
        <f>H111</f>
        <v>——</v>
      </c>
      <c r="E126" s="3571"/>
      <c r="F126" s="3571"/>
      <c r="G126" s="3571"/>
      <c r="H126" s="3571"/>
      <c r="I126" s="3572"/>
      <c r="AA126" s="725"/>
    </row>
    <row r="127" spans="1:27" ht="18.75" customHeight="1">
      <c r="A127" s="3569" t="s">
        <v>1452</v>
      </c>
      <c r="B127" s="3569"/>
      <c r="C127" s="3569"/>
      <c r="D127" s="3575" t="e">
        <f>NUMBERSTRING(INT(D126*10000),2)&amp;"元整"</f>
        <v>#VALUE!</v>
      </c>
      <c r="E127" s="3577"/>
      <c r="F127" s="3577"/>
      <c r="G127" s="3577"/>
      <c r="H127" s="3577"/>
      <c r="I127" s="3576"/>
      <c r="AA127" s="725"/>
    </row>
    <row r="128" spans="1:27" ht="21.75" customHeight="1">
      <c r="A128" s="3578" t="s">
        <v>1453</v>
      </c>
      <c r="B128" s="3578"/>
      <c r="C128" s="3578"/>
      <c r="D128" s="3578"/>
      <c r="E128" s="3578"/>
      <c r="F128" s="3578"/>
      <c r="G128" s="3578"/>
      <c r="H128" s="3578"/>
      <c r="I128" s="3578"/>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85" zoomScaleNormal="60" zoomScaleSheetLayoutView="85" workbookViewId="0">
      <selection activeCell="K42" sqref="K4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11840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4367</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3" t="s">
        <v>1770</v>
      </c>
      <c r="D4" s="3664"/>
      <c r="E4" s="3665" t="s">
        <v>1771</v>
      </c>
      <c r="F4" s="3666"/>
      <c r="G4" s="3663" t="s">
        <v>1772</v>
      </c>
      <c r="H4" s="3664"/>
      <c r="I4" s="3663" t="s">
        <v>1773</v>
      </c>
      <c r="J4" s="3664"/>
      <c r="K4" s="559" t="s">
        <v>1774</v>
      </c>
      <c r="L4" s="2714"/>
      <c r="M4" s="2715"/>
      <c r="N4" s="2715"/>
      <c r="O4" s="2715"/>
      <c r="P4" s="3667" t="s">
        <v>1775</v>
      </c>
      <c r="Q4" s="3668"/>
      <c r="R4" s="3677" t="s">
        <v>1771</v>
      </c>
      <c r="S4" s="3678"/>
      <c r="T4" s="3677" t="s">
        <v>1772</v>
      </c>
      <c r="U4" s="3678"/>
      <c r="V4" s="3655" t="s">
        <v>1773</v>
      </c>
      <c r="W4" s="3655"/>
      <c r="X4" s="1354"/>
      <c r="Y4" s="3677" t="s">
        <v>1775</v>
      </c>
      <c r="Z4" s="3678"/>
      <c r="AA4" s="3660" t="s">
        <v>1771</v>
      </c>
      <c r="AB4" s="3661" t="s">
        <v>1772</v>
      </c>
      <c r="AC4" s="3660" t="s">
        <v>1773</v>
      </c>
    </row>
    <row r="5" spans="1:29" ht="48.75" customHeight="1">
      <c r="A5" s="358"/>
      <c r="B5" s="359"/>
      <c r="C5" s="3681" t="s">
        <v>1673</v>
      </c>
      <c r="D5" s="3682"/>
      <c r="E5" s="3673" t="str">
        <f>土地案例!A4</f>
        <v>北京市房山区窦店新城组团FS00-0308-0030地块M1一类工业用地项目</v>
      </c>
      <c r="F5" s="3674"/>
      <c r="G5" s="3681" t="str">
        <f>土地案例!A6</f>
        <v>北京石化新材料科技产业基地核心区东区B7-13、B7-18地块工业用地项目</v>
      </c>
      <c r="H5" s="3682"/>
      <c r="I5" s="3681" t="str">
        <f>土地案例!A8</f>
        <v>北京高端制造业基地01街区01-02(2)地块工业用地项目</v>
      </c>
      <c r="J5" s="3682"/>
      <c r="K5" s="559"/>
      <c r="L5" s="2714"/>
      <c r="M5" s="2715"/>
      <c r="N5" s="2715"/>
      <c r="O5" s="2715"/>
      <c r="P5" s="3669"/>
      <c r="Q5" s="3670"/>
      <c r="R5" s="3679"/>
      <c r="S5" s="3680"/>
      <c r="T5" s="3679"/>
      <c r="U5" s="3680"/>
      <c r="V5" s="3655"/>
      <c r="W5" s="3655"/>
      <c r="X5" s="1354"/>
      <c r="Y5" s="3679"/>
      <c r="Z5" s="3680"/>
      <c r="AA5" s="3661"/>
      <c r="AB5" s="3661"/>
      <c r="AC5" s="3661"/>
    </row>
    <row r="6" spans="1:29" ht="15.75" thickBot="1">
      <c r="A6" s="360"/>
      <c r="B6" s="361"/>
      <c r="C6" s="3683" t="s">
        <v>1919</v>
      </c>
      <c r="D6" s="3684"/>
      <c r="E6" s="3686" t="str">
        <f>土地案例!G4</f>
        <v xml:space="preserve"> 窦店镇</v>
      </c>
      <c r="F6" s="3687"/>
      <c r="G6" s="3683" t="str">
        <f>土地案例!G6</f>
        <v xml:space="preserve"> 房山区城关街道前、后朱各庄村</v>
      </c>
      <c r="H6" s="3684"/>
      <c r="I6" s="3683" t="str">
        <f>土地案例!G8</f>
        <v xml:space="preserve"> 房山区窦店镇</v>
      </c>
      <c r="J6" s="3684"/>
      <c r="K6" s="559" t="s">
        <v>1678</v>
      </c>
      <c r="L6" s="2714"/>
      <c r="M6" s="2715"/>
      <c r="N6" s="2715"/>
      <c r="O6" s="2715"/>
      <c r="P6" s="3671"/>
      <c r="Q6" s="3672"/>
      <c r="R6" s="3679"/>
      <c r="S6" s="3680"/>
      <c r="T6" s="3688"/>
      <c r="U6" s="3689"/>
      <c r="V6" s="3655"/>
      <c r="W6" s="3655"/>
      <c r="X6" s="1354"/>
      <c r="Y6" s="3688"/>
      <c r="Z6" s="3689"/>
      <c r="AA6" s="3662"/>
      <c r="AB6" s="3662"/>
      <c r="AC6" s="3662"/>
    </row>
    <row r="7" spans="1:29" s="108" customFormat="1" ht="15.75" thickBot="1">
      <c r="A7" s="362" t="s">
        <v>1679</v>
      </c>
      <c r="B7" s="363"/>
      <c r="C7" s="364">
        <f>'数据-取费表'!B2</f>
        <v>45195</v>
      </c>
      <c r="D7" s="365">
        <v>100</v>
      </c>
      <c r="E7" s="366">
        <f>土地案例!AD4</f>
        <v>44963.000497685185</v>
      </c>
      <c r="F7" s="367">
        <f>SUMIF(65:65,YEAR(E7)&amp;"-"&amp;INT((MONTH(E7)+2)/3),66:66)</f>
        <v>99.800000000000011</v>
      </c>
      <c r="G7" s="1973">
        <f>土地案例!AD6</f>
        <v>44433.000497685185</v>
      </c>
      <c r="H7" s="365">
        <f>SUMIF(65:65,YEAR(G7)&amp;"-"&amp;INT((MONTH(G7)+2)/3),66:66)</f>
        <v>99.200000000000045</v>
      </c>
      <c r="I7" s="1973">
        <f>土地案例!AD8</f>
        <v>44172.000497685185</v>
      </c>
      <c r="J7" s="365">
        <f>SUMIF(65:65,YEAR(I7)&amp;"-"&amp;INT((MONTH(I7)+2)/3),66:66)</f>
        <v>98.900000000000063</v>
      </c>
      <c r="K7" s="560"/>
      <c r="L7" s="2716"/>
      <c r="M7" s="2717"/>
      <c r="N7" s="2717"/>
      <c r="O7" s="2717"/>
      <c r="P7" s="3653" t="s">
        <v>1680</v>
      </c>
      <c r="Q7" s="3685"/>
      <c r="R7" s="701" t="s">
        <v>14</v>
      </c>
      <c r="S7" s="702">
        <f t="shared" ref="S7:S15" si="0">F7</f>
        <v>99.800000000000011</v>
      </c>
      <c r="T7" s="701" t="s">
        <v>14</v>
      </c>
      <c r="U7" s="702">
        <f t="shared" ref="U7:U15" si="1">H7</f>
        <v>99.200000000000045</v>
      </c>
      <c r="V7" s="701" t="s">
        <v>14</v>
      </c>
      <c r="W7" s="702">
        <f t="shared" ref="W7:W15" si="2">J7</f>
        <v>98.900000000000063</v>
      </c>
      <c r="X7" s="703"/>
      <c r="Y7" s="3653" t="s">
        <v>1680</v>
      </c>
      <c r="Z7" s="3654"/>
      <c r="AA7" s="704">
        <f>D7/F7</f>
        <v>1.002004008016032</v>
      </c>
      <c r="AB7" s="704">
        <f>D7/H7</f>
        <v>1.0080645161290318</v>
      </c>
      <c r="AC7" s="704">
        <f>D7/J7</f>
        <v>1.0111223458038416</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6"/>
      <c r="M8" s="2717"/>
      <c r="N8" s="2717"/>
      <c r="O8" s="2717"/>
      <c r="P8" s="3653" t="s">
        <v>1683</v>
      </c>
      <c r="Q8" s="3654"/>
      <c r="R8" s="701" t="s">
        <v>14</v>
      </c>
      <c r="S8" s="702">
        <f t="shared" si="0"/>
        <v>100</v>
      </c>
      <c r="T8" s="701" t="s">
        <v>14</v>
      </c>
      <c r="U8" s="702">
        <f t="shared" si="1"/>
        <v>100</v>
      </c>
      <c r="V8" s="701" t="s">
        <v>14</v>
      </c>
      <c r="W8" s="702">
        <f t="shared" si="2"/>
        <v>100</v>
      </c>
      <c r="X8" s="703"/>
      <c r="Y8" s="3653" t="s">
        <v>1683</v>
      </c>
      <c r="Z8" s="3654"/>
      <c r="AA8" s="704">
        <f t="shared" ref="AA8:AA40" si="3">D8/F8</f>
        <v>1</v>
      </c>
      <c r="AB8" s="704">
        <f t="shared" ref="AB8:AB40" si="4">D8/H8</f>
        <v>1</v>
      </c>
      <c r="AC8" s="704">
        <f t="shared" ref="AC8:AC40" si="5">D8/J8</f>
        <v>1</v>
      </c>
    </row>
    <row r="9" spans="1:29" s="108" customFormat="1">
      <c r="A9" s="369" t="s">
        <v>1684</v>
      </c>
      <c r="B9" s="63" t="s">
        <v>1685</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6"/>
      <c r="M9" s="2717"/>
      <c r="N9" s="2717"/>
      <c r="O9" s="2771"/>
      <c r="P9" s="3651" t="s">
        <v>1686</v>
      </c>
      <c r="Q9" s="1342"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8"/>
      <c r="M10" s="2719"/>
      <c r="N10" s="2719"/>
      <c r="O10" s="2772"/>
      <c r="P10" s="3651"/>
      <c r="Q10" s="1342" t="str">
        <f t="shared" si="6"/>
        <v>土地使用年限（年）</v>
      </c>
      <c r="R10" s="701" t="s">
        <v>14</v>
      </c>
      <c r="S10" s="702">
        <f t="shared" si="0"/>
        <v>107</v>
      </c>
      <c r="T10" s="701" t="s">
        <v>14</v>
      </c>
      <c r="U10" s="702">
        <f t="shared" si="1"/>
        <v>107</v>
      </c>
      <c r="V10" s="701" t="s">
        <v>14</v>
      </c>
      <c r="W10" s="702">
        <f t="shared" si="2"/>
        <v>107</v>
      </c>
      <c r="X10" s="703"/>
      <c r="Y10" s="3624"/>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f>'数据-汇总表'!I4</f>
        <v>0.52</v>
      </c>
      <c r="D11" s="127">
        <v>100</v>
      </c>
      <c r="E11" s="380">
        <f>土地案例!L4</f>
        <v>1.5</v>
      </c>
      <c r="F11" s="127">
        <f>LOOKUP(E11,75:75,76:76)-LOOKUP(C11,75:75,76:76)+100</f>
        <v>120</v>
      </c>
      <c r="G11" s="381">
        <f>土地案例!L6</f>
        <v>1</v>
      </c>
      <c r="H11" s="127">
        <f>LOOKUP(G11,75:75,76:76)-LOOKUP(C11,75:75,76:76)+100</f>
        <v>110</v>
      </c>
      <c r="I11" s="380">
        <f>土地案例!L8</f>
        <v>1.2</v>
      </c>
      <c r="J11" s="127">
        <f>LOOKUP(I11,75:75,76:76)-LOOKUP(C11,75:75,76:76)+100</f>
        <v>110</v>
      </c>
      <c r="K11" s="621">
        <v>10</v>
      </c>
      <c r="L11" s="2720"/>
      <c r="M11" s="2715"/>
      <c r="N11" s="2715"/>
      <c r="O11" s="2773"/>
      <c r="P11" s="3651"/>
      <c r="Q11" s="1342" t="str">
        <f t="shared" si="6"/>
        <v>容积率</v>
      </c>
      <c r="R11" s="701" t="s">
        <v>14</v>
      </c>
      <c r="S11" s="702">
        <f t="shared" si="0"/>
        <v>120</v>
      </c>
      <c r="T11" s="701" t="s">
        <v>14</v>
      </c>
      <c r="U11" s="702">
        <f t="shared" si="1"/>
        <v>110</v>
      </c>
      <c r="V11" s="701" t="s">
        <v>14</v>
      </c>
      <c r="W11" s="702">
        <f t="shared" si="2"/>
        <v>110</v>
      </c>
      <c r="X11" s="703"/>
      <c r="Y11" s="3624"/>
      <c r="Z11" s="52" t="str">
        <f t="shared" si="7"/>
        <v>容积率</v>
      </c>
      <c r="AA11" s="704">
        <f t="shared" si="3"/>
        <v>0.83333333333333337</v>
      </c>
      <c r="AB11" s="704">
        <f t="shared" si="4"/>
        <v>0.90909090909090906</v>
      </c>
      <c r="AC11" s="704">
        <f t="shared" si="5"/>
        <v>0.90909090909090906</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51"/>
      <c r="Q12" s="1342">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51"/>
      <c r="Q13" s="1342">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51"/>
      <c r="Q14" s="1342">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15">
      <c r="A15" s="391" t="s">
        <v>1690</v>
      </c>
      <c r="B15" s="577" t="s">
        <v>1920</v>
      </c>
      <c r="C15" s="1970">
        <f>估价对象房地状况!G15</f>
        <v>0</v>
      </c>
      <c r="D15" s="392">
        <v>100</v>
      </c>
      <c r="E15" s="393"/>
      <c r="F15" s="392">
        <f>SUMIF(83:83,E16,84:84)-SUMIF(83:83,C16,84:84)+100</f>
        <v>105</v>
      </c>
      <c r="G15" s="393"/>
      <c r="H15" s="392">
        <f>SUMIF(83:83,G16,84:84)-SUMIF(83:83,C16,84:84)+100</f>
        <v>100</v>
      </c>
      <c r="I15" s="395"/>
      <c r="J15" s="392">
        <f>SUMIF(83:83,I16,84:84)-SUMIF(83:83,C16,84:84)+100</f>
        <v>105</v>
      </c>
      <c r="K15" s="621">
        <v>5</v>
      </c>
      <c r="L15" s="2721"/>
      <c r="M15" s="2715"/>
      <c r="N15" s="2715"/>
      <c r="O15" s="2773"/>
      <c r="P15" s="3656" t="s">
        <v>1691</v>
      </c>
      <c r="Q15" s="1351" t="str">
        <f t="shared" si="6"/>
        <v>产业集聚程度</v>
      </c>
      <c r="R15" s="705" t="s">
        <v>14</v>
      </c>
      <c r="S15" s="706">
        <f t="shared" si="0"/>
        <v>105</v>
      </c>
      <c r="T15" s="705" t="s">
        <v>14</v>
      </c>
      <c r="U15" s="706">
        <f t="shared" si="1"/>
        <v>100</v>
      </c>
      <c r="V15" s="705" t="s">
        <v>14</v>
      </c>
      <c r="W15" s="706">
        <f t="shared" si="2"/>
        <v>105</v>
      </c>
      <c r="X15" s="1354"/>
      <c r="Y15" s="3656" t="s">
        <v>1691</v>
      </c>
      <c r="Z15" s="1355" t="str">
        <f t="shared" si="7"/>
        <v>产业集聚程度</v>
      </c>
      <c r="AA15" s="1352">
        <f t="shared" si="3"/>
        <v>0.95238095238095233</v>
      </c>
      <c r="AB15" s="1352">
        <f t="shared" si="4"/>
        <v>1</v>
      </c>
      <c r="AC15" s="1352">
        <f t="shared" si="5"/>
        <v>0.95238095238095233</v>
      </c>
    </row>
    <row r="16" spans="1:29" ht="15">
      <c r="A16" s="379"/>
      <c r="B16" s="578"/>
      <c r="C16" s="398" t="s">
        <v>3378</v>
      </c>
      <c r="D16" s="399"/>
      <c r="E16" s="1903" t="s">
        <v>3377</v>
      </c>
      <c r="F16" s="399"/>
      <c r="G16" s="1903" t="s">
        <v>3378</v>
      </c>
      <c r="H16" s="401"/>
      <c r="I16" s="1903" t="s">
        <v>3377</v>
      </c>
      <c r="J16" s="399"/>
      <c r="K16" s="620"/>
      <c r="L16" s="2721"/>
      <c r="M16" s="2715"/>
      <c r="N16" s="2715"/>
      <c r="O16" s="2773"/>
      <c r="P16" s="3657"/>
      <c r="Q16" s="1351"/>
      <c r="R16" s="705"/>
      <c r="S16" s="706"/>
      <c r="T16" s="705"/>
      <c r="U16" s="706"/>
      <c r="V16" s="705"/>
      <c r="W16" s="706"/>
      <c r="X16" s="1354"/>
      <c r="Y16" s="3657"/>
      <c r="Z16" s="1355"/>
      <c r="AA16" s="1352">
        <v>1</v>
      </c>
      <c r="AB16" s="1352">
        <v>1</v>
      </c>
      <c r="AC16" s="1352">
        <v>1</v>
      </c>
    </row>
    <row r="17" spans="1:29" ht="15">
      <c r="A17" s="379"/>
      <c r="B17" s="579" t="s">
        <v>1833</v>
      </c>
      <c r="C17" s="1899">
        <f>估价对象房地状况!G16</f>
        <v>0</v>
      </c>
      <c r="D17" s="401">
        <v>100</v>
      </c>
      <c r="E17" s="403"/>
      <c r="F17" s="406">
        <f>SUMIF(85:85,E18,86:86)-SUMIF(85:85,C18,86:86)+100</f>
        <v>100</v>
      </c>
      <c r="G17" s="403"/>
      <c r="H17" s="406">
        <f>SUMIF(85:85,G18,86:86)-SUMIF(85:85,C18,86:86)+100</f>
        <v>100</v>
      </c>
      <c r="I17" s="403"/>
      <c r="J17" s="401">
        <f>SUMIF(85:85,I18,86:86)-SUMIF(85:85,C18,86:86)+100</f>
        <v>100</v>
      </c>
      <c r="K17" s="621">
        <v>3</v>
      </c>
      <c r="L17" s="2721"/>
      <c r="M17" s="2715"/>
      <c r="N17" s="2715"/>
      <c r="O17" s="2773"/>
      <c r="P17" s="3657"/>
      <c r="Q17" s="1351" t="str">
        <f>B17</f>
        <v>交通便捷度</v>
      </c>
      <c r="R17" s="705" t="s">
        <v>14</v>
      </c>
      <c r="S17" s="706">
        <f>F17</f>
        <v>100</v>
      </c>
      <c r="T17" s="705" t="s">
        <v>14</v>
      </c>
      <c r="U17" s="706">
        <f>H17</f>
        <v>100</v>
      </c>
      <c r="V17" s="705" t="s">
        <v>14</v>
      </c>
      <c r="W17" s="706">
        <f>J17</f>
        <v>100</v>
      </c>
      <c r="X17" s="1354"/>
      <c r="Y17" s="3657"/>
      <c r="Z17" s="1355" t="str">
        <f>Q17</f>
        <v>交通便捷度</v>
      </c>
      <c r="AA17" s="1352">
        <f t="shared" si="3"/>
        <v>1</v>
      </c>
      <c r="AB17" s="1352">
        <f t="shared" si="4"/>
        <v>1</v>
      </c>
      <c r="AC17" s="1352">
        <f t="shared" si="5"/>
        <v>1</v>
      </c>
    </row>
    <row r="18" spans="1:29" ht="15">
      <c r="A18" s="379"/>
      <c r="B18" s="580"/>
      <c r="C18" s="398" t="s">
        <v>3378</v>
      </c>
      <c r="D18" s="399"/>
      <c r="E18" s="398" t="s">
        <v>3378</v>
      </c>
      <c r="F18" s="399"/>
      <c r="G18" s="398" t="s">
        <v>3378</v>
      </c>
      <c r="H18" s="399"/>
      <c r="I18" s="398" t="s">
        <v>3378</v>
      </c>
      <c r="J18" s="399"/>
      <c r="K18" s="620"/>
      <c r="L18" s="2721"/>
      <c r="M18" s="2715"/>
      <c r="N18" s="2715"/>
      <c r="O18" s="2773"/>
      <c r="P18" s="3657"/>
      <c r="Q18" s="1351"/>
      <c r="R18" s="705"/>
      <c r="S18" s="706"/>
      <c r="T18" s="705"/>
      <c r="U18" s="706"/>
      <c r="V18" s="705"/>
      <c r="W18" s="706"/>
      <c r="X18" s="1354"/>
      <c r="Y18" s="3657"/>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103</v>
      </c>
      <c r="K19" s="621">
        <v>3</v>
      </c>
      <c r="L19" s="2721"/>
      <c r="M19" s="2715"/>
      <c r="N19" s="2715"/>
      <c r="O19" s="2773"/>
      <c r="P19" s="3657"/>
      <c r="Q19" s="1351" t="str">
        <f t="shared" ref="Q19:Q33" si="8">B19</f>
        <v>区域土地利用方向</v>
      </c>
      <c r="R19" s="705" t="s">
        <v>14</v>
      </c>
      <c r="S19" s="706">
        <f>F19</f>
        <v>100</v>
      </c>
      <c r="T19" s="705" t="s">
        <v>14</v>
      </c>
      <c r="U19" s="706">
        <f>H19</f>
        <v>100</v>
      </c>
      <c r="V19" s="705" t="s">
        <v>14</v>
      </c>
      <c r="W19" s="706">
        <f>J19</f>
        <v>103</v>
      </c>
      <c r="X19" s="1354"/>
      <c r="Y19" s="3657"/>
      <c r="Z19" s="1355" t="str">
        <f>Q19</f>
        <v>区域土地利用方向</v>
      </c>
      <c r="AA19" s="1352">
        <f t="shared" si="3"/>
        <v>1</v>
      </c>
      <c r="AB19" s="1352">
        <f t="shared" si="4"/>
        <v>1</v>
      </c>
      <c r="AC19" s="1352">
        <f t="shared" si="5"/>
        <v>0.970873786407767</v>
      </c>
    </row>
    <row r="20" spans="1:29" ht="15">
      <c r="A20" s="358"/>
      <c r="B20" s="580"/>
      <c r="C20" s="398" t="s">
        <v>3377</v>
      </c>
      <c r="D20" s="399"/>
      <c r="E20" s="398" t="s">
        <v>3377</v>
      </c>
      <c r="F20" s="399"/>
      <c r="G20" s="398" t="s">
        <v>3377</v>
      </c>
      <c r="H20" s="399"/>
      <c r="I20" s="398" t="s">
        <v>3605</v>
      </c>
      <c r="J20" s="399"/>
      <c r="K20" s="740"/>
      <c r="L20" s="2721"/>
      <c r="M20" s="2715"/>
      <c r="N20" s="2715"/>
      <c r="O20" s="2773"/>
      <c r="P20" s="3657"/>
      <c r="Q20" s="1351"/>
      <c r="R20" s="705"/>
      <c r="S20" s="706"/>
      <c r="T20" s="705"/>
      <c r="U20" s="706"/>
      <c r="V20" s="705"/>
      <c r="W20" s="706"/>
      <c r="X20" s="1354"/>
      <c r="Y20" s="3657"/>
      <c r="Z20" s="1355"/>
      <c r="AA20" s="1352"/>
      <c r="AB20" s="1352"/>
      <c r="AC20" s="1352"/>
    </row>
    <row r="21" spans="1:29" ht="15">
      <c r="A21" s="358"/>
      <c r="B21" s="579" t="s">
        <v>1921</v>
      </c>
      <c r="C21" s="1899">
        <f>估价对象房地状况!G18</f>
        <v>0</v>
      </c>
      <c r="D21" s="401">
        <v>100</v>
      </c>
      <c r="E21" s="403"/>
      <c r="F21" s="401">
        <f>SUMIF(89:89,E22,90:90)-SUMIF(89:89,C22,90:90)+100</f>
        <v>100</v>
      </c>
      <c r="G21" s="403"/>
      <c r="H21" s="401">
        <f>SUMIF(89:89,G22,90:90)-SUMIF(89:89,C22,90:90)+100</f>
        <v>100</v>
      </c>
      <c r="I21" s="403"/>
      <c r="J21" s="401">
        <f>SUMIF(89:89,I22,90:90)-SUMIF(89:89,C22,90:90)+100</f>
        <v>100</v>
      </c>
      <c r="K21" s="621">
        <v>2</v>
      </c>
      <c r="L21" s="2721"/>
      <c r="M21" s="2715"/>
      <c r="N21" s="2715"/>
      <c r="O21" s="2773"/>
      <c r="P21" s="3657"/>
      <c r="Q21" s="1351" t="str">
        <f t="shared" si="8"/>
        <v>环境状况</v>
      </c>
      <c r="R21" s="705" t="s">
        <v>14</v>
      </c>
      <c r="S21" s="706">
        <f>F21</f>
        <v>100</v>
      </c>
      <c r="T21" s="705" t="s">
        <v>14</v>
      </c>
      <c r="U21" s="706">
        <f>H21</f>
        <v>100</v>
      </c>
      <c r="V21" s="705" t="s">
        <v>14</v>
      </c>
      <c r="W21" s="706">
        <f>J21</f>
        <v>100</v>
      </c>
      <c r="X21" s="1354"/>
      <c r="Y21" s="3657"/>
      <c r="Z21" s="1355" t="str">
        <f>Q21</f>
        <v>环境状况</v>
      </c>
      <c r="AA21" s="1352">
        <f t="shared" si="3"/>
        <v>1</v>
      </c>
      <c r="AB21" s="1352">
        <f t="shared" si="4"/>
        <v>1</v>
      </c>
      <c r="AC21" s="1352">
        <f t="shared" si="5"/>
        <v>1</v>
      </c>
    </row>
    <row r="22" spans="1:29" ht="15">
      <c r="A22" s="358"/>
      <c r="B22" s="580"/>
      <c r="C22" s="398" t="s">
        <v>3378</v>
      </c>
      <c r="D22" s="399"/>
      <c r="E22" s="398" t="s">
        <v>3378</v>
      </c>
      <c r="F22" s="399"/>
      <c r="G22" s="398" t="s">
        <v>3378</v>
      </c>
      <c r="H22" s="399"/>
      <c r="I22" s="398" t="s">
        <v>3378</v>
      </c>
      <c r="J22" s="399"/>
      <c r="K22" s="620"/>
      <c r="L22" s="2721"/>
      <c r="M22" s="2715"/>
      <c r="N22" s="2715"/>
      <c r="O22" s="2773"/>
      <c r="P22" s="3657"/>
      <c r="Q22" s="1351"/>
      <c r="R22" s="705"/>
      <c r="S22" s="706"/>
      <c r="T22" s="705"/>
      <c r="U22" s="706"/>
      <c r="V22" s="705"/>
      <c r="W22" s="706"/>
      <c r="X22" s="1354"/>
      <c r="Y22" s="3657"/>
      <c r="Z22" s="1355"/>
      <c r="AA22" s="1352">
        <v>1</v>
      </c>
      <c r="AB22" s="1352">
        <v>1</v>
      </c>
      <c r="AC22" s="1352">
        <v>1</v>
      </c>
    </row>
    <row r="23" spans="1:29" s="108" customFormat="1" ht="15">
      <c r="A23" s="597"/>
      <c r="B23" s="581" t="s">
        <v>1778</v>
      </c>
      <c r="C23" s="1899">
        <f>估价对象房地状况!G19</f>
        <v>0</v>
      </c>
      <c r="D23" s="401">
        <v>100</v>
      </c>
      <c r="E23" s="403"/>
      <c r="F23" s="401">
        <f>SUMIF(91:91,E24,92:92)-SUMIF(91:91,C24,92:92)+100</f>
        <v>102</v>
      </c>
      <c r="G23" s="403"/>
      <c r="H23" s="401">
        <f>SUMIF(91:91,G24,92:92)-SUMIF(91:91,C24,92:92)+100</f>
        <v>100</v>
      </c>
      <c r="I23" s="403"/>
      <c r="J23" s="401">
        <f>SUMIF(91:91,I24,92:92)-SUMIF(91:91,C24,92:92)+100</f>
        <v>102</v>
      </c>
      <c r="K23" s="621">
        <v>2</v>
      </c>
      <c r="L23" s="2716"/>
      <c r="M23" s="2717"/>
      <c r="N23" s="2717"/>
      <c r="O23" s="2771"/>
      <c r="P23" s="3657"/>
      <c r="Q23" s="1342" t="str">
        <f t="shared" si="8"/>
        <v>公共配套设施</v>
      </c>
      <c r="R23" s="701" t="s">
        <v>14</v>
      </c>
      <c r="S23" s="702">
        <f>F23</f>
        <v>102</v>
      </c>
      <c r="T23" s="701" t="s">
        <v>14</v>
      </c>
      <c r="U23" s="702">
        <f>H23</f>
        <v>100</v>
      </c>
      <c r="V23" s="701" t="s">
        <v>14</v>
      </c>
      <c r="W23" s="702">
        <f>J23</f>
        <v>102</v>
      </c>
      <c r="X23" s="703"/>
      <c r="Y23" s="3657"/>
      <c r="Z23" s="52" t="str">
        <f>Q23</f>
        <v>公共配套设施</v>
      </c>
      <c r="AA23" s="1352">
        <f>D23/F23</f>
        <v>0.98039215686274506</v>
      </c>
      <c r="AB23" s="1352">
        <f>D23/H23</f>
        <v>1</v>
      </c>
      <c r="AC23" s="1352">
        <f>D23/J23</f>
        <v>0.98039215686274506</v>
      </c>
    </row>
    <row r="24" spans="1:29" s="108" customFormat="1" ht="15">
      <c r="A24" s="597"/>
      <c r="B24" s="580"/>
      <c r="C24" s="1977" t="s">
        <v>3379</v>
      </c>
      <c r="D24" s="399"/>
      <c r="E24" s="1977" t="s">
        <v>3378</v>
      </c>
      <c r="F24" s="399"/>
      <c r="G24" s="1977" t="s">
        <v>3379</v>
      </c>
      <c r="H24" s="399"/>
      <c r="I24" s="1977" t="s">
        <v>3378</v>
      </c>
      <c r="J24" s="399"/>
      <c r="K24" s="620"/>
      <c r="L24" s="2716"/>
      <c r="M24" s="2717"/>
      <c r="N24" s="2717"/>
      <c r="O24" s="2771"/>
      <c r="P24" s="3657"/>
      <c r="Q24" s="1342"/>
      <c r="R24" s="701"/>
      <c r="S24" s="702"/>
      <c r="T24" s="701"/>
      <c r="U24" s="702"/>
      <c r="V24" s="701"/>
      <c r="W24" s="702"/>
      <c r="X24" s="703"/>
      <c r="Y24" s="3657"/>
      <c r="Z24" s="52"/>
      <c r="AA24" s="704">
        <v>1</v>
      </c>
      <c r="AB24" s="704">
        <v>1</v>
      </c>
      <c r="AC24" s="704">
        <v>1</v>
      </c>
    </row>
    <row r="25" spans="1:29" s="108" customFormat="1" ht="15">
      <c r="A25" s="597"/>
      <c r="B25" s="581" t="s">
        <v>1779</v>
      </c>
      <c r="C25" s="1899">
        <f>估价对象房地状况!G20</f>
        <v>0</v>
      </c>
      <c r="D25" s="401">
        <v>100</v>
      </c>
      <c r="E25" s="403"/>
      <c r="F25" s="401">
        <f>SUMIF(93:93,E26,94:94)-SUMIF(93:93,C26,94:94)+100</f>
        <v>100</v>
      </c>
      <c r="G25" s="403"/>
      <c r="H25" s="401">
        <f>SUMIF(93:93,G26,94:94)-SUMIF(93:93,C26,94:94)+100</f>
        <v>100</v>
      </c>
      <c r="I25" s="403"/>
      <c r="J25" s="401">
        <f>SUMIF(93:93,I26,94:94)-SUMIF(93:93,C26,94:94)+100</f>
        <v>100</v>
      </c>
      <c r="K25" s="621">
        <v>1</v>
      </c>
      <c r="L25" s="2716"/>
      <c r="M25" s="2717"/>
      <c r="N25" s="2717"/>
      <c r="O25" s="2771"/>
      <c r="P25" s="3657"/>
      <c r="Q25" s="1342" t="str">
        <f t="shared" ref="Q25" si="9">B25</f>
        <v>基础设施水平</v>
      </c>
      <c r="R25" s="701" t="s">
        <v>14</v>
      </c>
      <c r="S25" s="702">
        <f>F25</f>
        <v>100</v>
      </c>
      <c r="T25" s="701" t="s">
        <v>14</v>
      </c>
      <c r="U25" s="702">
        <f>H25</f>
        <v>100</v>
      </c>
      <c r="V25" s="701" t="s">
        <v>14</v>
      </c>
      <c r="W25" s="702">
        <f>J25</f>
        <v>100</v>
      </c>
      <c r="X25" s="703"/>
      <c r="Y25" s="3657"/>
      <c r="Z25" s="52" t="str">
        <f>Q25</f>
        <v>基础设施水平</v>
      </c>
      <c r="AA25" s="1352">
        <f>D25/F25</f>
        <v>1</v>
      </c>
      <c r="AB25" s="1352">
        <f>D25/H25</f>
        <v>1</v>
      </c>
      <c r="AC25" s="1352">
        <f>D25/J25</f>
        <v>1</v>
      </c>
    </row>
    <row r="26" spans="1:29" s="108" customFormat="1" ht="15">
      <c r="A26" s="597"/>
      <c r="B26" s="580"/>
      <c r="C26" s="1977" t="s">
        <v>3602</v>
      </c>
      <c r="D26" s="399"/>
      <c r="E26" s="1977" t="s">
        <v>3602</v>
      </c>
      <c r="F26" s="399"/>
      <c r="G26" s="1977" t="s">
        <v>3602</v>
      </c>
      <c r="H26" s="399"/>
      <c r="I26" s="1977" t="s">
        <v>3602</v>
      </c>
      <c r="J26" s="399"/>
      <c r="K26" s="620"/>
      <c r="L26" s="2716"/>
      <c r="M26" s="2717"/>
      <c r="N26" s="2717"/>
      <c r="O26" s="2771"/>
      <c r="P26" s="3657"/>
      <c r="Q26" s="1342"/>
      <c r="R26" s="701"/>
      <c r="S26" s="702"/>
      <c r="T26" s="701"/>
      <c r="U26" s="702"/>
      <c r="V26" s="701"/>
      <c r="W26" s="702"/>
      <c r="X26" s="703"/>
      <c r="Y26" s="365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57"/>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57"/>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57"/>
      <c r="Q28" s="1351" t="str">
        <f t="shared" si="8"/>
        <v>毗邻道路的类型与等级</v>
      </c>
      <c r="R28" s="705" t="s">
        <v>14</v>
      </c>
      <c r="S28" s="706">
        <f t="shared" si="10"/>
        <v>100</v>
      </c>
      <c r="T28" s="705" t="s">
        <v>14</v>
      </c>
      <c r="U28" s="706">
        <f t="shared" si="11"/>
        <v>100</v>
      </c>
      <c r="V28" s="705" t="s">
        <v>14</v>
      </c>
      <c r="W28" s="706">
        <f t="shared" si="12"/>
        <v>100</v>
      </c>
      <c r="X28" s="1354"/>
      <c r="Y28" s="3657"/>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57"/>
      <c r="Q29" s="1351"/>
      <c r="R29" s="705"/>
      <c r="S29" s="706"/>
      <c r="T29" s="705"/>
      <c r="U29" s="706"/>
      <c r="V29" s="705"/>
      <c r="W29" s="706"/>
      <c r="X29" s="1354"/>
      <c r="Y29" s="3657"/>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57"/>
      <c r="Q30" s="1351" t="str">
        <f t="shared" si="8"/>
        <v>土地级别</v>
      </c>
      <c r="R30" s="705" t="s">
        <v>14</v>
      </c>
      <c r="S30" s="706">
        <f t="shared" si="10"/>
        <v>100</v>
      </c>
      <c r="T30" s="705" t="s">
        <v>14</v>
      </c>
      <c r="U30" s="706">
        <f t="shared" si="11"/>
        <v>100</v>
      </c>
      <c r="V30" s="705" t="s">
        <v>14</v>
      </c>
      <c r="W30" s="706">
        <f t="shared" si="12"/>
        <v>100</v>
      </c>
      <c r="X30" s="1354"/>
      <c r="Y30" s="3657"/>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57"/>
      <c r="Q31" s="1351">
        <f t="shared" si="8"/>
        <v>111</v>
      </c>
      <c r="R31" s="705" t="s">
        <v>14</v>
      </c>
      <c r="S31" s="706">
        <f t="shared" si="10"/>
        <v>100</v>
      </c>
      <c r="T31" s="705" t="s">
        <v>14</v>
      </c>
      <c r="U31" s="706">
        <f t="shared" si="11"/>
        <v>100</v>
      </c>
      <c r="V31" s="705" t="s">
        <v>14</v>
      </c>
      <c r="W31" s="706">
        <f t="shared" si="12"/>
        <v>100</v>
      </c>
      <c r="X31" s="1354"/>
      <c r="Y31" s="3657"/>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658" t="s">
        <v>1696</v>
      </c>
      <c r="Q32" s="1351">
        <f t="shared" si="8"/>
        <v>111</v>
      </c>
      <c r="R32" s="705" t="s">
        <v>14</v>
      </c>
      <c r="S32" s="706">
        <f t="shared" si="10"/>
        <v>100</v>
      </c>
      <c r="T32" s="705" t="s">
        <v>14</v>
      </c>
      <c r="U32" s="706">
        <f t="shared" si="11"/>
        <v>100</v>
      </c>
      <c r="V32" s="705" t="s">
        <v>14</v>
      </c>
      <c r="W32" s="706">
        <f t="shared" si="12"/>
        <v>100</v>
      </c>
      <c r="X32" s="1354"/>
      <c r="Y32" s="3659"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59"/>
      <c r="Q33" s="1351">
        <f t="shared" si="8"/>
        <v>111</v>
      </c>
      <c r="R33" s="708" t="s">
        <v>14</v>
      </c>
      <c r="S33" s="709">
        <f t="shared" si="10"/>
        <v>100</v>
      </c>
      <c r="T33" s="708" t="s">
        <v>14</v>
      </c>
      <c r="U33" s="709">
        <f t="shared" si="11"/>
        <v>100</v>
      </c>
      <c r="V33" s="708" t="s">
        <v>14</v>
      </c>
      <c r="W33" s="709">
        <f t="shared" si="12"/>
        <v>100</v>
      </c>
      <c r="X33" s="710"/>
      <c r="Y33" s="3659"/>
      <c r="Z33" s="711">
        <f t="shared" si="13"/>
        <v>111</v>
      </c>
      <c r="AA33" s="1352">
        <f t="shared" si="3"/>
        <v>1</v>
      </c>
      <c r="AB33" s="1352">
        <f t="shared" si="4"/>
        <v>1</v>
      </c>
      <c r="AC33" s="1352">
        <f t="shared" si="5"/>
        <v>1</v>
      </c>
    </row>
    <row r="34" spans="1:31" ht="15">
      <c r="A34" s="391" t="s">
        <v>1694</v>
      </c>
      <c r="B34" s="407" t="s">
        <v>1874</v>
      </c>
      <c r="C34" s="627">
        <f>'数据-汇总表'!D3</f>
        <v>52503.79</v>
      </c>
      <c r="D34" s="418">
        <v>100</v>
      </c>
      <c r="E34" s="627">
        <f>土地案例!I4</f>
        <v>101126.72</v>
      </c>
      <c r="F34" s="418">
        <f>LOOKUP(E34,108:108,109:109)-LOOKUP(C34,108:108,109:109)+100</f>
        <v>98</v>
      </c>
      <c r="G34" s="627">
        <f>土地案例!I6</f>
        <v>60631.73</v>
      </c>
      <c r="H34" s="418">
        <f>LOOKUP(G34,108:108,109:109)-LOOKUP(C34,108:108,109:109)+100</f>
        <v>100</v>
      </c>
      <c r="I34" s="479">
        <f>土地案例!I8</f>
        <v>47600.14</v>
      </c>
      <c r="J34" s="418">
        <f>LOOKUP(I34,108:108,109:109)-LOOKUP(C34,108:108,109:109)+100</f>
        <v>102</v>
      </c>
      <c r="K34" s="562"/>
      <c r="L34" s="2721"/>
      <c r="M34" s="2715"/>
      <c r="N34" s="2715"/>
      <c r="O34" s="2773"/>
      <c r="P34" s="3659"/>
      <c r="Q34" s="1351" t="str">
        <f>B34</f>
        <v>宗地面积</v>
      </c>
      <c r="R34" s="705" t="s">
        <v>14</v>
      </c>
      <c r="S34" s="706">
        <f t="shared" si="10"/>
        <v>98</v>
      </c>
      <c r="T34" s="705" t="s">
        <v>14</v>
      </c>
      <c r="U34" s="706">
        <f t="shared" si="11"/>
        <v>100</v>
      </c>
      <c r="V34" s="705" t="s">
        <v>14</v>
      </c>
      <c r="W34" s="706">
        <f t="shared" si="12"/>
        <v>102</v>
      </c>
      <c r="X34" s="1354"/>
      <c r="Y34" s="3659"/>
      <c r="Z34" s="1355" t="str">
        <f t="shared" si="13"/>
        <v>宗地面积</v>
      </c>
      <c r="AA34" s="1352">
        <f t="shared" si="3"/>
        <v>1.0204081632653061</v>
      </c>
      <c r="AB34" s="1352">
        <f t="shared" si="4"/>
        <v>1</v>
      </c>
      <c r="AC34" s="1352">
        <f t="shared" si="5"/>
        <v>0.98039215686274506</v>
      </c>
    </row>
    <row r="35" spans="1:31" ht="15">
      <c r="A35" s="423"/>
      <c r="B35" s="375" t="s">
        <v>1875</v>
      </c>
      <c r="C35" s="1905" t="s">
        <v>3609</v>
      </c>
      <c r="D35" s="386">
        <v>100</v>
      </c>
      <c r="E35" s="1905" t="s">
        <v>3609</v>
      </c>
      <c r="F35" s="386">
        <f>SUMIF(110:110,E35,111:111)-SUMIF(110:110,C35,111:111)+100</f>
        <v>100</v>
      </c>
      <c r="G35" s="1905" t="s">
        <v>3609</v>
      </c>
      <c r="H35" s="386">
        <f>SUMIF(110:110,G35,111:111)-SUMIF(110:110,C35,111:111)+100</f>
        <v>100</v>
      </c>
      <c r="I35" s="1905" t="s">
        <v>3607</v>
      </c>
      <c r="J35" s="386">
        <f>SUMIF(110:110,I35,111:111)-SUMIF(110:110,C35,111:111)+100</f>
        <v>103</v>
      </c>
      <c r="K35" s="561">
        <v>3</v>
      </c>
      <c r="L35" s="2721"/>
      <c r="M35" s="2715"/>
      <c r="N35" s="2715"/>
      <c r="O35" s="2773"/>
      <c r="P35" s="3659"/>
      <c r="Q35" s="1351" t="str">
        <f t="shared" ref="Q35:Q40" si="14">B35</f>
        <v>宗地形状</v>
      </c>
      <c r="R35" s="705" t="s">
        <v>14</v>
      </c>
      <c r="S35" s="706">
        <f t="shared" si="10"/>
        <v>100</v>
      </c>
      <c r="T35" s="705" t="s">
        <v>14</v>
      </c>
      <c r="U35" s="706">
        <f t="shared" si="11"/>
        <v>100</v>
      </c>
      <c r="V35" s="705" t="s">
        <v>14</v>
      </c>
      <c r="W35" s="706">
        <f t="shared" si="12"/>
        <v>103</v>
      </c>
      <c r="X35" s="1354"/>
      <c r="Y35" s="3659"/>
      <c r="Z35" s="1355" t="str">
        <f t="shared" si="13"/>
        <v>宗地形状</v>
      </c>
      <c r="AA35" s="1352">
        <f t="shared" si="3"/>
        <v>1</v>
      </c>
      <c r="AB35" s="1352">
        <f t="shared" si="4"/>
        <v>1</v>
      </c>
      <c r="AC35" s="1352">
        <f t="shared" si="5"/>
        <v>0.970873786407767</v>
      </c>
    </row>
    <row r="36" spans="1:31" s="108" customFormat="1" ht="15">
      <c r="A36" s="424"/>
      <c r="B36" s="375" t="s">
        <v>1877</v>
      </c>
      <c r="C36" s="1979" t="s">
        <v>3405</v>
      </c>
      <c r="D36" s="127">
        <v>100</v>
      </c>
      <c r="E36" s="1979" t="s">
        <v>3604</v>
      </c>
      <c r="F36" s="386">
        <f>SUMIF(112:112,E36,113:113)-SUMIF(112:112,C36,113:113)+100</f>
        <v>98.5</v>
      </c>
      <c r="G36" s="1979" t="s">
        <v>3604</v>
      </c>
      <c r="H36" s="386">
        <f>SUMIF(112:112,G36,113:113)-SUMIF(112:112,C36,113:113)+100</f>
        <v>98.5</v>
      </c>
      <c r="I36" s="1979" t="s">
        <v>3604</v>
      </c>
      <c r="J36" s="386">
        <f>SUMIF(112:112,I36,113:113)-SUMIF(112:112,C36,113:113)+100</f>
        <v>98.5</v>
      </c>
      <c r="K36" s="561">
        <v>0.5</v>
      </c>
      <c r="L36" s="2716"/>
      <c r="M36" s="2717"/>
      <c r="N36" s="2717"/>
      <c r="O36" s="2771"/>
      <c r="P36" s="3659"/>
      <c r="Q36" s="1351" t="str">
        <f t="shared" si="14"/>
        <v>宗地开发程度</v>
      </c>
      <c r="R36" s="701" t="s">
        <v>14</v>
      </c>
      <c r="S36" s="702">
        <f t="shared" si="10"/>
        <v>98.5</v>
      </c>
      <c r="T36" s="701" t="s">
        <v>14</v>
      </c>
      <c r="U36" s="702">
        <f t="shared" si="11"/>
        <v>98.5</v>
      </c>
      <c r="V36" s="701" t="s">
        <v>14</v>
      </c>
      <c r="W36" s="702">
        <f t="shared" si="12"/>
        <v>98.5</v>
      </c>
      <c r="X36" s="703"/>
      <c r="Y36" s="3659"/>
      <c r="Z36" s="52" t="str">
        <f t="shared" si="13"/>
        <v>宗地开发程度</v>
      </c>
      <c r="AA36" s="704">
        <f t="shared" si="3"/>
        <v>1.015228426395939</v>
      </c>
      <c r="AB36" s="704">
        <f t="shared" si="4"/>
        <v>1.015228426395939</v>
      </c>
      <c r="AC36" s="704">
        <f t="shared" si="5"/>
        <v>1.015228426395939</v>
      </c>
    </row>
    <row r="37" spans="1:31" ht="15">
      <c r="A37" s="423"/>
      <c r="B37" s="375" t="s">
        <v>1878</v>
      </c>
      <c r="C37" s="1905" t="s">
        <v>3377</v>
      </c>
      <c r="D37" s="386">
        <v>100</v>
      </c>
      <c r="E37" s="1905" t="s">
        <v>3377</v>
      </c>
      <c r="F37" s="386">
        <f>SUMIF(114:114,E37,115:115)-SUMIF(114:114,C37,115:115)+100</f>
        <v>100</v>
      </c>
      <c r="G37" s="1905" t="s">
        <v>3377</v>
      </c>
      <c r="H37" s="386">
        <f>SUMIF(114:114,G37,115:115)-SUMIF(114:114,C37,115:115)+100</f>
        <v>100</v>
      </c>
      <c r="I37" s="1905" t="s">
        <v>3377</v>
      </c>
      <c r="J37" s="386">
        <f>SUMIF(114:114,I37,115:115)-SUMIF(114:114,C37,115:115)+100</f>
        <v>100</v>
      </c>
      <c r="K37" s="561">
        <v>2</v>
      </c>
      <c r="L37" s="2721"/>
      <c r="M37" s="2715"/>
      <c r="N37" s="2715"/>
      <c r="O37" s="2773"/>
      <c r="P37" s="3659" t="s">
        <v>1696</v>
      </c>
      <c r="Q37" s="1351" t="str">
        <f t="shared" si="14"/>
        <v>工程地质条件</v>
      </c>
      <c r="R37" s="705" t="s">
        <v>14</v>
      </c>
      <c r="S37" s="706">
        <f t="shared" si="10"/>
        <v>100</v>
      </c>
      <c r="T37" s="705" t="s">
        <v>14</v>
      </c>
      <c r="U37" s="706">
        <f t="shared" si="11"/>
        <v>100</v>
      </c>
      <c r="V37" s="705" t="s">
        <v>14</v>
      </c>
      <c r="W37" s="706">
        <f t="shared" si="12"/>
        <v>100</v>
      </c>
      <c r="X37" s="1354"/>
      <c r="Y37" s="3659"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59"/>
      <c r="Q38" s="1351">
        <f t="shared" si="14"/>
        <v>111</v>
      </c>
      <c r="R38" s="705" t="s">
        <v>14</v>
      </c>
      <c r="S38" s="706">
        <f t="shared" si="10"/>
        <v>100</v>
      </c>
      <c r="T38" s="705" t="s">
        <v>14</v>
      </c>
      <c r="U38" s="706">
        <f t="shared" si="11"/>
        <v>100</v>
      </c>
      <c r="V38" s="705" t="s">
        <v>14</v>
      </c>
      <c r="W38" s="706">
        <f t="shared" si="12"/>
        <v>100</v>
      </c>
      <c r="X38" s="1354"/>
      <c r="Y38" s="3659"/>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59"/>
      <c r="Q39" s="1351">
        <f t="shared" si="14"/>
        <v>111</v>
      </c>
      <c r="R39" s="705" t="s">
        <v>14</v>
      </c>
      <c r="S39" s="706">
        <f t="shared" si="10"/>
        <v>100</v>
      </c>
      <c r="T39" s="705" t="s">
        <v>14</v>
      </c>
      <c r="U39" s="706">
        <f t="shared" si="11"/>
        <v>100</v>
      </c>
      <c r="V39" s="705" t="s">
        <v>14</v>
      </c>
      <c r="W39" s="706">
        <f t="shared" si="12"/>
        <v>100</v>
      </c>
      <c r="X39" s="1354"/>
      <c r="Y39" s="3659"/>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59"/>
      <c r="Q40" s="1351">
        <f t="shared" si="14"/>
        <v>111</v>
      </c>
      <c r="R40" s="708" t="s">
        <v>14</v>
      </c>
      <c r="S40" s="709">
        <f t="shared" si="10"/>
        <v>100</v>
      </c>
      <c r="T40" s="708" t="s">
        <v>14</v>
      </c>
      <c r="U40" s="709">
        <f t="shared" si="11"/>
        <v>100</v>
      </c>
      <c r="V40" s="708" t="s">
        <v>14</v>
      </c>
      <c r="W40" s="709">
        <f t="shared" si="12"/>
        <v>100</v>
      </c>
      <c r="X40" s="710"/>
      <c r="Y40" s="3659"/>
      <c r="Z40" s="711">
        <f t="shared" si="13"/>
        <v>111</v>
      </c>
      <c r="AA40" s="1352">
        <f t="shared" si="3"/>
        <v>1</v>
      </c>
      <c r="AB40" s="1352">
        <f t="shared" si="4"/>
        <v>1</v>
      </c>
      <c r="AC40" s="1352">
        <f t="shared" si="5"/>
        <v>1</v>
      </c>
    </row>
    <row r="41" spans="1:31" ht="15">
      <c r="A41" s="430" t="s">
        <v>1844</v>
      </c>
      <c r="B41" s="1981" t="s">
        <v>3619</v>
      </c>
      <c r="C41" s="630" t="s">
        <v>0</v>
      </c>
      <c r="D41" s="432"/>
      <c r="E41" s="433">
        <f>土地案例!BG4</f>
        <v>3214</v>
      </c>
      <c r="F41" s="434"/>
      <c r="G41" s="435">
        <f>土地案例!BG6</f>
        <v>2324</v>
      </c>
      <c r="H41" s="436"/>
      <c r="I41" s="433">
        <f>土地案例!BG8</f>
        <v>3392</v>
      </c>
      <c r="J41" s="436"/>
      <c r="K41" s="714"/>
      <c r="L41" s="2723"/>
      <c r="M41" s="2715"/>
      <c r="N41" s="2715"/>
      <c r="O41" s="2724"/>
      <c r="P41" s="3651" t="str">
        <f>A41</f>
        <v>成交单价</v>
      </c>
      <c r="Q41" s="3651"/>
      <c r="R41" s="3655">
        <f>E41</f>
        <v>3214</v>
      </c>
      <c r="S41" s="3655"/>
      <c r="T41" s="3655">
        <f>G41</f>
        <v>2324</v>
      </c>
      <c r="U41" s="3655"/>
      <c r="V41" s="3655">
        <f>I41</f>
        <v>3392</v>
      </c>
      <c r="W41" s="3655"/>
      <c r="X41" s="690"/>
      <c r="Y41" s="712"/>
      <c r="Z41" s="690"/>
      <c r="AA41" s="690"/>
      <c r="AB41" s="690"/>
      <c r="AC41" s="690"/>
    </row>
    <row r="42" spans="1:31" ht="15.75" thickBot="1">
      <c r="A42" s="437" t="s">
        <v>1793</v>
      </c>
      <c r="B42" s="631"/>
      <c r="C42" s="440">
        <f>R43</f>
        <v>2255</v>
      </c>
      <c r="D42" s="2316" t="s">
        <v>3620</v>
      </c>
      <c r="E42" s="440">
        <f>R42</f>
        <v>2426</v>
      </c>
      <c r="F42" s="2317">
        <v>0.25</v>
      </c>
      <c r="G42" s="439">
        <f>T42</f>
        <v>2021</v>
      </c>
      <c r="H42" s="2317">
        <v>0.5</v>
      </c>
      <c r="I42" s="440">
        <f>V42</f>
        <v>2553</v>
      </c>
      <c r="J42" s="2317">
        <v>0.25</v>
      </c>
      <c r="K42" s="2319">
        <f>F42+H42+J42</f>
        <v>1</v>
      </c>
      <c r="L42" s="2723"/>
      <c r="M42" s="2715"/>
      <c r="N42" s="2715"/>
      <c r="O42" s="2724"/>
      <c r="P42" s="3651" t="str">
        <f>A42</f>
        <v>比较价值（元/平方米）</v>
      </c>
      <c r="Q42" s="3651"/>
      <c r="R42" s="3652">
        <f>ROUND(PRODUCT(R41,AA7:AA40),0)</f>
        <v>2426</v>
      </c>
      <c r="S42" s="3652"/>
      <c r="T42" s="3652">
        <f>ROUND(PRODUCT(T41,AB7:AB40),0)</f>
        <v>2021</v>
      </c>
      <c r="U42" s="3652"/>
      <c r="V42" s="3652">
        <f>ROUND(PRODUCT(V41,AC7:AC40),0)</f>
        <v>2553</v>
      </c>
      <c r="W42" s="3652"/>
      <c r="X42" s="690"/>
      <c r="Y42" s="690"/>
      <c r="Z42" s="690"/>
      <c r="AA42" s="690"/>
      <c r="AB42" s="690"/>
      <c r="AC42" s="690"/>
    </row>
    <row r="43" spans="1:31" ht="15.75" thickBot="1">
      <c r="A43" s="441" t="s">
        <v>1794</v>
      </c>
      <c r="B43" s="442"/>
      <c r="C43" s="443">
        <f>R43</f>
        <v>2255</v>
      </c>
      <c r="D43" s="443"/>
      <c r="E43" s="443"/>
      <c r="F43" s="443"/>
      <c r="G43" s="443"/>
      <c r="H43" s="443"/>
      <c r="I43" s="443"/>
      <c r="J43" s="443"/>
      <c r="K43" s="715"/>
      <c r="L43" s="2723"/>
      <c r="M43" s="2715"/>
      <c r="N43" s="2715"/>
      <c r="O43" s="2724"/>
      <c r="P43" s="3648" t="str">
        <f>A43</f>
        <v>估价对象XX用房的比较价值（楼面单价，元/平方米）</v>
      </c>
      <c r="Q43" s="3649"/>
      <c r="R43" s="3650">
        <f>ROUND(IF(D42="简单平均",AVERAGE(R42:W42),R42*F42+T42*H42+V42*J42),0)</f>
        <v>2255</v>
      </c>
      <c r="S43" s="3650"/>
      <c r="T43" s="3650"/>
      <c r="U43" s="3650"/>
      <c r="V43" s="3650"/>
      <c r="W43" s="3650"/>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f>IF(E41&lt;E42,E42/E41-1,E41/E42-1)</f>
        <v>0.32481450948062651</v>
      </c>
      <c r="F46" s="449" t="str">
        <f>IF(OR(E46&gt;=0.3,E46&lt;=-0.3),"超过30%","")</f>
        <v>超过30%</v>
      </c>
      <c r="G46" s="448">
        <f>IF(G41&lt;G42,G42/G41-1,G41/G42-1)</f>
        <v>0.14992577931716977</v>
      </c>
      <c r="H46" s="449" t="str">
        <f>IF(OR(G46&gt;=0.3,G46&lt;=-0.3),"超过30%","")</f>
        <v/>
      </c>
      <c r="I46" s="448">
        <f>IF(I41&lt;I42,I42/I41-1,I41/I42-1)</f>
        <v>0.32863298080689396</v>
      </c>
      <c r="J46" s="449" t="str">
        <f>IF(OR(I46&gt;=0.3,I46&lt;=-0.3),"超过30%","")</f>
        <v>超过30%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f>IF(E42&lt;G42,G42/E42-1,E42/G42-1)</f>
        <v>0.20039584364176144</v>
      </c>
      <c r="F47" s="449" t="str">
        <f>IF(OR(E47&gt;=0.2,E47&lt;=-0.2),"超过20%","")</f>
        <v>超过20%</v>
      </c>
      <c r="G47" s="448">
        <f>IF(G42&lt;I42,I42/G42-1,G42/I42-1)</f>
        <v>0.26323602177140026</v>
      </c>
      <c r="H47" s="449" t="str">
        <f>IF(OR(G47&gt;=0.2,G47&lt;=-0.2),"超过20%","")</f>
        <v>超过20%</v>
      </c>
      <c r="I47" s="448">
        <f>IF(I42&lt;E42,E42/I42-1,I42/E42-1)</f>
        <v>5.2349546578730477E-2</v>
      </c>
      <c r="J47" s="449"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f>IF(E41&lt;G41,G41/E41-1,E41/G41-1)</f>
        <v>0.38296041308089501</v>
      </c>
      <c r="F48" s="449" t="str">
        <f>IF(OR(E48&gt;=0.3,E48&lt;=-0.3),"超过30%","")</f>
        <v>超过30%</v>
      </c>
      <c r="G48" s="448">
        <f>IF(G41&lt;I41,I41/G41-1,G41/I41-1)</f>
        <v>0.45955249569707401</v>
      </c>
      <c r="H48" s="449" t="str">
        <f>IF(OR(G48&gt;=0.3,G48&lt;=-0.3),"超过30%","")</f>
        <v>超过30%</v>
      </c>
      <c r="I48" s="448">
        <f>IF(I41&lt;E41,E41/I41-1,I41/E41-1)</f>
        <v>5.5382700684505348E-2</v>
      </c>
      <c r="J48" s="449"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63" t="s">
        <v>1887</v>
      </c>
      <c r="H50" s="3675"/>
      <c r="I50" s="1355" t="s">
        <v>1922</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f>C43</f>
        <v>2255</v>
      </c>
      <c r="C51" s="638">
        <v>1</v>
      </c>
      <c r="D51" s="944">
        <v>1</v>
      </c>
      <c r="E51" s="638">
        <f>'数据-汇总表'!E8+'数据-汇总表'!E9</f>
        <v>27113.21</v>
      </c>
      <c r="F51" s="639">
        <f t="shared" ref="F51:F60" si="15">ROUND(B51*E51/10000,0)</f>
        <v>6114</v>
      </c>
      <c r="G51" s="3676"/>
      <c r="H51" s="3651"/>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f>ROUND($C$43*C52*D52,0)</f>
        <v>0</v>
      </c>
      <c r="C52" s="171">
        <f t="shared" ref="C52:C60" si="16">IF($C$50="北京市系数",I52,J52)</f>
        <v>0</v>
      </c>
      <c r="D52" s="945">
        <v>0.25</v>
      </c>
      <c r="E52" s="642"/>
      <c r="F52" s="639">
        <f t="shared" si="15"/>
        <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f t="shared" ref="B53:B60" si="17">ROUND($C$43*C53*D53,0)</f>
        <v>0</v>
      </c>
      <c r="C53" s="171">
        <f t="shared" si="16"/>
        <v>0</v>
      </c>
      <c r="D53" s="945">
        <v>0.25</v>
      </c>
      <c r="E53" s="642"/>
      <c r="F53" s="639">
        <f t="shared" si="15"/>
        <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f t="shared" si="17"/>
        <v>0</v>
      </c>
      <c r="C54" s="171">
        <f t="shared" si="16"/>
        <v>0</v>
      </c>
      <c r="D54" s="945">
        <v>0.25</v>
      </c>
      <c r="E54" s="642"/>
      <c r="F54" s="639">
        <f t="shared" si="15"/>
        <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f t="shared" si="17"/>
        <v>0</v>
      </c>
      <c r="C56" s="171">
        <f t="shared" si="16"/>
        <v>0</v>
      </c>
      <c r="D56" s="945">
        <v>0.25</v>
      </c>
      <c r="E56" s="217">
        <f>'数据-汇总表'!E11</f>
        <v>0</v>
      </c>
      <c r="F56" s="639">
        <f t="shared" si="15"/>
        <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f t="shared" si="17"/>
        <v>0</v>
      </c>
      <c r="C57" s="171">
        <f t="shared" si="16"/>
        <v>0</v>
      </c>
      <c r="D57" s="945">
        <v>0.25</v>
      </c>
      <c r="E57" s="217">
        <f>'数据-汇总表'!E12</f>
        <v>0</v>
      </c>
      <c r="F57" s="639">
        <f t="shared" si="15"/>
        <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f t="shared" si="17"/>
        <v>0</v>
      </c>
      <c r="C58" s="171">
        <f t="shared" si="16"/>
        <v>0</v>
      </c>
      <c r="D58" s="945">
        <v>0.25</v>
      </c>
      <c r="E58" s="217">
        <f>'数据-汇总表'!E13</f>
        <v>0</v>
      </c>
      <c r="F58" s="639">
        <f t="shared" si="15"/>
        <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f t="shared" si="17"/>
        <v>0</v>
      </c>
      <c r="C59" s="171">
        <f t="shared" si="16"/>
        <v>0</v>
      </c>
      <c r="D59" s="945">
        <v>0.25</v>
      </c>
      <c r="E59" s="217">
        <f>'数据-汇总表'!E14</f>
        <v>0</v>
      </c>
      <c r="F59" s="639">
        <f t="shared" si="15"/>
        <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f t="shared" si="17"/>
        <v>0</v>
      </c>
      <c r="C60" s="171">
        <f t="shared" si="16"/>
        <v>0</v>
      </c>
      <c r="D60" s="945">
        <v>0.25</v>
      </c>
      <c r="E60" s="217">
        <f>'数据-汇总表'!E15</f>
        <v>0</v>
      </c>
      <c r="F60" s="639">
        <f t="shared" si="15"/>
        <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52503.79</v>
      </c>
      <c r="F61" s="645">
        <f>IF(B41="楼面地价",SUM(F51:F60),ROUND(C43*E61/10000,0))</f>
        <v>11840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f>C66-0.1</f>
        <v>99.9</v>
      </c>
      <c r="E66" s="544">
        <f t="shared" ref="E66:O66" si="20">D66-0.1</f>
        <v>99.800000000000011</v>
      </c>
      <c r="F66" s="544">
        <f t="shared" si="20"/>
        <v>99.700000000000017</v>
      </c>
      <c r="G66" s="544">
        <f t="shared" si="20"/>
        <v>99.600000000000023</v>
      </c>
      <c r="H66" s="544">
        <f t="shared" si="20"/>
        <v>99.500000000000028</v>
      </c>
      <c r="I66" s="544">
        <f t="shared" si="20"/>
        <v>99.400000000000034</v>
      </c>
      <c r="J66" s="544">
        <f t="shared" si="20"/>
        <v>99.30000000000004</v>
      </c>
      <c r="K66" s="544">
        <f t="shared" si="20"/>
        <v>99.200000000000045</v>
      </c>
      <c r="L66" s="544">
        <f t="shared" si="20"/>
        <v>99.100000000000051</v>
      </c>
      <c r="M66" s="544">
        <f t="shared" si="20"/>
        <v>99.000000000000057</v>
      </c>
      <c r="N66" s="544">
        <f t="shared" si="20"/>
        <v>98.900000000000063</v>
      </c>
      <c r="O66" s="544">
        <f t="shared" si="20"/>
        <v>98.800000000000068</v>
      </c>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3449" t="s">
        <v>3601</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0（含）-0.5</v>
      </c>
      <c r="D74" s="496" t="str">
        <f t="shared" ref="D74:L74" si="21">D75&amp;"（含）"&amp;"-"&amp;E75</f>
        <v>0.5（含）-1</v>
      </c>
      <c r="E74" s="496" t="str">
        <f t="shared" si="21"/>
        <v>1（含）-1.5</v>
      </c>
      <c r="F74" s="496" t="str">
        <f t="shared" si="21"/>
        <v>1.5（含）-2</v>
      </c>
      <c r="G74" s="496" t="str">
        <f t="shared" si="21"/>
        <v>2（含）-2.5</v>
      </c>
      <c r="H74" s="496" t="str">
        <f t="shared" si="21"/>
        <v>2.5（含）-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f>C75+0.5</f>
        <v>0.5</v>
      </c>
      <c r="E75" s="498">
        <f t="shared" ref="E75:H75" si="22">D75+0.5</f>
        <v>1</v>
      </c>
      <c r="F75" s="498">
        <f t="shared" si="22"/>
        <v>1.5</v>
      </c>
      <c r="G75" s="498">
        <f t="shared" si="22"/>
        <v>2</v>
      </c>
      <c r="H75" s="498">
        <f t="shared" si="22"/>
        <v>2.5</v>
      </c>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110</v>
      </c>
      <c r="E76" s="493">
        <f t="shared" ref="E76:M76" si="23">IF($B$41="单位面积地价",D76+$K11,D76-$K11)</f>
        <v>120</v>
      </c>
      <c r="F76" s="493">
        <f t="shared" si="23"/>
        <v>130</v>
      </c>
      <c r="G76" s="493">
        <f t="shared" si="23"/>
        <v>140</v>
      </c>
      <c r="H76" s="493">
        <f t="shared" si="23"/>
        <v>150</v>
      </c>
      <c r="I76" s="493">
        <f t="shared" si="23"/>
        <v>160</v>
      </c>
      <c r="J76" s="493">
        <f t="shared" si="23"/>
        <v>170</v>
      </c>
      <c r="K76" s="493">
        <f t="shared" si="23"/>
        <v>180</v>
      </c>
      <c r="L76" s="493">
        <f t="shared" si="23"/>
        <v>190</v>
      </c>
      <c r="M76" s="493">
        <f t="shared" si="23"/>
        <v>200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95</v>
      </c>
      <c r="E84" s="493">
        <f>D84-$K15</f>
        <v>90</v>
      </c>
      <c r="F84" s="493">
        <f>E84-$K15</f>
        <v>85</v>
      </c>
      <c r="G84" s="493">
        <f>F84-$K15</f>
        <v>80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97</v>
      </c>
      <c r="E86" s="493">
        <f>D86-$K17</f>
        <v>94</v>
      </c>
      <c r="F86" s="493">
        <f>E86-$K17</f>
        <v>91</v>
      </c>
      <c r="G86" s="493">
        <f>F86-$K17</f>
        <v>88</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97</v>
      </c>
      <c r="E88" s="493">
        <f>D88-$K19</f>
        <v>94</v>
      </c>
      <c r="F88" s="493">
        <f>E88-$K19</f>
        <v>91</v>
      </c>
      <c r="G88" s="493">
        <f>F88-$K19</f>
        <v>88</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4">C96-$K27</f>
        <v>100</v>
      </c>
      <c r="E96" s="493">
        <f t="shared" si="24"/>
        <v>100</v>
      </c>
      <c r="F96" s="493">
        <f t="shared" si="24"/>
        <v>100</v>
      </c>
      <c r="G96" s="493">
        <f t="shared" si="24"/>
        <v>100</v>
      </c>
      <c r="H96" s="493">
        <f t="shared" si="24"/>
        <v>100</v>
      </c>
      <c r="I96" s="493">
        <f t="shared" si="24"/>
        <v>100</v>
      </c>
      <c r="J96" s="493">
        <f t="shared" si="24"/>
        <v>100</v>
      </c>
      <c r="K96" s="493">
        <f t="shared" si="24"/>
        <v>100</v>
      </c>
      <c r="L96" s="493">
        <f t="shared" si="24"/>
        <v>100</v>
      </c>
      <c r="M96" s="493">
        <f t="shared" si="24"/>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5">C98-$K28</f>
        <v>100</v>
      </c>
      <c r="E98" s="493">
        <f t="shared" si="25"/>
        <v>100</v>
      </c>
      <c r="F98" s="493">
        <f t="shared" si="25"/>
        <v>100</v>
      </c>
      <c r="G98" s="493">
        <f t="shared" si="25"/>
        <v>100</v>
      </c>
      <c r="H98" s="493">
        <f t="shared" si="25"/>
        <v>100</v>
      </c>
      <c r="I98" s="493">
        <f t="shared" si="25"/>
        <v>100</v>
      </c>
      <c r="J98" s="493">
        <f t="shared" si="25"/>
        <v>100</v>
      </c>
      <c r="K98" s="493">
        <f t="shared" si="25"/>
        <v>100</v>
      </c>
      <c r="L98" s="493">
        <f t="shared" si="25"/>
        <v>100</v>
      </c>
      <c r="M98" s="493">
        <f t="shared" si="25"/>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6">C100-$K30</f>
        <v>100</v>
      </c>
      <c r="E100" s="493">
        <f t="shared" si="26"/>
        <v>100</v>
      </c>
      <c r="F100" s="493">
        <f t="shared" si="26"/>
        <v>100</v>
      </c>
      <c r="G100" s="493">
        <f t="shared" si="26"/>
        <v>100</v>
      </c>
      <c r="H100" s="493">
        <f t="shared" si="26"/>
        <v>100</v>
      </c>
      <c r="I100" s="493">
        <f t="shared" si="26"/>
        <v>100</v>
      </c>
      <c r="J100" s="493">
        <f t="shared" si="26"/>
        <v>100</v>
      </c>
      <c r="K100" s="493">
        <f t="shared" si="26"/>
        <v>100</v>
      </c>
      <c r="L100" s="493">
        <f t="shared" si="26"/>
        <v>100</v>
      </c>
      <c r="M100" s="493">
        <f t="shared" si="26"/>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1694</v>
      </c>
      <c r="B107" s="477" t="s">
        <v>1913</v>
      </c>
      <c r="C107" s="478" t="str">
        <f t="shared" ref="C107:L107" si="27">C108&amp;"(含)"&amp;"-"&amp;D108</f>
        <v>0(含)-50000</v>
      </c>
      <c r="D107" s="478" t="str">
        <f t="shared" si="27"/>
        <v>50000(含)-100000</v>
      </c>
      <c r="E107" s="478" t="str">
        <f t="shared" si="27"/>
        <v>100000(含)-150000</v>
      </c>
      <c r="F107" s="478" t="str">
        <f t="shared" si="27"/>
        <v>150000(含)-200000</v>
      </c>
      <c r="G107" s="478" t="str">
        <f t="shared" si="27"/>
        <v>200000(含)-300000</v>
      </c>
      <c r="H107" s="478" t="str">
        <f t="shared" si="27"/>
        <v>300000(含)-</v>
      </c>
      <c r="I107" s="478" t="str">
        <f t="shared" si="27"/>
        <v>(含)-</v>
      </c>
      <c r="J107" s="478" t="str">
        <f t="shared" si="27"/>
        <v>(含)-</v>
      </c>
      <c r="K107" s="1332" t="str">
        <f t="shared" si="27"/>
        <v>(含)-</v>
      </c>
      <c r="L107" s="1332" t="str">
        <f t="shared" si="27"/>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50000</v>
      </c>
      <c r="E108" s="544">
        <v>100000</v>
      </c>
      <c r="F108" s="544">
        <v>150000</v>
      </c>
      <c r="G108" s="544">
        <v>200000</v>
      </c>
      <c r="H108" s="544">
        <v>300000</v>
      </c>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100</v>
      </c>
      <c r="D109" s="540">
        <f>C109-2</f>
        <v>98</v>
      </c>
      <c r="E109" s="540">
        <f t="shared" ref="E109:H109" si="28">D109-2</f>
        <v>96</v>
      </c>
      <c r="F109" s="540">
        <f t="shared" si="28"/>
        <v>94</v>
      </c>
      <c r="G109" s="540">
        <f t="shared" si="28"/>
        <v>92</v>
      </c>
      <c r="H109" s="540">
        <f t="shared" si="28"/>
        <v>90</v>
      </c>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3451" t="s">
        <v>3608</v>
      </c>
      <c r="D110" s="3451" t="s">
        <v>3610</v>
      </c>
      <c r="E110" s="3451" t="s">
        <v>3611</v>
      </c>
      <c r="F110" s="3451" t="s">
        <v>3612</v>
      </c>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9">C111-$K35</f>
        <v>97</v>
      </c>
      <c r="E111" s="493">
        <f t="shared" si="29"/>
        <v>94</v>
      </c>
      <c r="F111" s="493">
        <f t="shared" si="29"/>
        <v>91</v>
      </c>
      <c r="G111" s="493">
        <f t="shared" si="29"/>
        <v>88</v>
      </c>
      <c r="H111" s="493">
        <f t="shared" si="29"/>
        <v>85</v>
      </c>
      <c r="I111" s="493">
        <f t="shared" si="29"/>
        <v>82</v>
      </c>
      <c r="J111" s="493">
        <f t="shared" si="29"/>
        <v>79</v>
      </c>
      <c r="K111" s="493">
        <f t="shared" si="29"/>
        <v>76</v>
      </c>
      <c r="L111" s="493">
        <f t="shared" si="29"/>
        <v>73</v>
      </c>
      <c r="M111" s="494">
        <f t="shared" si="29"/>
        <v>70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t="s">
        <v>3602</v>
      </c>
      <c r="D112" s="503" t="s">
        <v>3405</v>
      </c>
      <c r="E112" s="503" t="s">
        <v>3425</v>
      </c>
      <c r="F112" s="503" t="s">
        <v>3603</v>
      </c>
      <c r="G112" s="503" t="s">
        <v>3604</v>
      </c>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30">C113-$K36</f>
        <v>99.5</v>
      </c>
      <c r="E113" s="493">
        <f t="shared" si="30"/>
        <v>99</v>
      </c>
      <c r="F113" s="493">
        <f t="shared" si="30"/>
        <v>98.5</v>
      </c>
      <c r="G113" s="493">
        <f t="shared" si="30"/>
        <v>98</v>
      </c>
      <c r="H113" s="493">
        <f t="shared" si="30"/>
        <v>97.5</v>
      </c>
      <c r="I113" s="493">
        <f t="shared" si="30"/>
        <v>97</v>
      </c>
      <c r="J113" s="493">
        <f t="shared" si="30"/>
        <v>96.5</v>
      </c>
      <c r="K113" s="493">
        <f t="shared" si="30"/>
        <v>96</v>
      </c>
      <c r="L113" s="493">
        <f t="shared" si="30"/>
        <v>95.5</v>
      </c>
      <c r="M113" s="494">
        <f t="shared" si="30"/>
        <v>95</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t="s">
        <v>3605</v>
      </c>
      <c r="D114" s="503" t="s">
        <v>3377</v>
      </c>
      <c r="E114" s="532" t="s">
        <v>3378</v>
      </c>
      <c r="F114" s="532" t="s">
        <v>3379</v>
      </c>
      <c r="G114" s="532" t="s">
        <v>3606</v>
      </c>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31">C115-$K37</f>
        <v>98</v>
      </c>
      <c r="E115" s="493">
        <f t="shared" si="31"/>
        <v>96</v>
      </c>
      <c r="F115" s="493">
        <f t="shared" si="31"/>
        <v>94</v>
      </c>
      <c r="G115" s="493">
        <f t="shared" si="31"/>
        <v>92</v>
      </c>
      <c r="H115" s="493">
        <f t="shared" si="31"/>
        <v>90</v>
      </c>
      <c r="I115" s="493">
        <f t="shared" si="31"/>
        <v>88</v>
      </c>
      <c r="J115" s="493">
        <f t="shared" si="31"/>
        <v>86</v>
      </c>
      <c r="K115" s="493">
        <f t="shared" si="31"/>
        <v>84</v>
      </c>
      <c r="L115" s="493">
        <f t="shared" si="31"/>
        <v>82</v>
      </c>
      <c r="M115" s="494">
        <f t="shared" si="31"/>
        <v>80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66" priority="18" stopIfTrue="1" operator="containsText" text="超过">
      <formula>NOT(ISERROR(SEARCH("超过",F46)))</formula>
    </cfRule>
  </conditionalFormatting>
  <conditionalFormatting sqref="J48">
    <cfRule type="containsText" dxfId="165" priority="17" stopIfTrue="1" operator="containsText" text="超过">
      <formula>NOT(ISERROR(SEARCH("超过",J48)))</formula>
    </cfRule>
  </conditionalFormatting>
  <conditionalFormatting sqref="H48">
    <cfRule type="containsText" dxfId="164" priority="16" stopIfTrue="1" operator="containsText" text="超过">
      <formula>NOT(ISERROR(SEARCH("超过",H48)))</formula>
    </cfRule>
  </conditionalFormatting>
  <conditionalFormatting sqref="F48">
    <cfRule type="containsText" dxfId="163" priority="15" stopIfTrue="1" operator="containsText" text="超过">
      <formula>NOT(ISERROR(SEARCH("超过",F48)))</formula>
    </cfRule>
  </conditionalFormatting>
  <conditionalFormatting sqref="F47 H47 J47">
    <cfRule type="containsText" dxfId="162" priority="14" stopIfTrue="1" operator="containsText" text="超过">
      <formula>NOT(ISERROR(SEARCH("超过",F47)))</formula>
    </cfRule>
  </conditionalFormatting>
  <conditionalFormatting sqref="E46">
    <cfRule type="expression" dxfId="161" priority="13" stopIfTrue="1">
      <formula>$F$46="超过30%"</formula>
    </cfRule>
  </conditionalFormatting>
  <conditionalFormatting sqref="G48">
    <cfRule type="expression" dxfId="160" priority="12" stopIfTrue="1">
      <formula>$H$48="超过30%"</formula>
    </cfRule>
  </conditionalFormatting>
  <conditionalFormatting sqref="E48">
    <cfRule type="expression" dxfId="159" priority="10" stopIfTrue="1">
      <formula>$F$48="超过30%"</formula>
    </cfRule>
  </conditionalFormatting>
  <conditionalFormatting sqref="G46">
    <cfRule type="expression" dxfId="158" priority="9" stopIfTrue="1">
      <formula>$H$46="超过30%"</formula>
    </cfRule>
  </conditionalFormatting>
  <conditionalFormatting sqref="G47">
    <cfRule type="expression" dxfId="157" priority="8" stopIfTrue="1">
      <formula>$H$47="超过20%"</formula>
    </cfRule>
  </conditionalFormatting>
  <conditionalFormatting sqref="I46">
    <cfRule type="expression" dxfId="156" priority="7" stopIfTrue="1">
      <formula>$J$46="超过30%"</formula>
    </cfRule>
  </conditionalFormatting>
  <conditionalFormatting sqref="I47">
    <cfRule type="expression" dxfId="155" priority="6" stopIfTrue="1">
      <formula>$J$47="超过20%"</formula>
    </cfRule>
  </conditionalFormatting>
  <conditionalFormatting sqref="I48">
    <cfRule type="expression" dxfId="154" priority="5" stopIfTrue="1">
      <formula>$J$48="超过30%"</formula>
    </cfRule>
  </conditionalFormatting>
  <conditionalFormatting sqref="E47">
    <cfRule type="expression" dxfId="153" priority="53" stopIfTrue="1">
      <formula>#REF!+$F$47="超过20%"</formula>
    </cfRule>
  </conditionalFormatting>
  <conditionalFormatting sqref="F42">
    <cfRule type="expression" dxfId="152" priority="4">
      <formula>$D$42="简单平均"</formula>
    </cfRule>
  </conditionalFormatting>
  <conditionalFormatting sqref="H42">
    <cfRule type="expression" dxfId="151" priority="3">
      <formula>$D$42="简单平均"</formula>
    </cfRule>
  </conditionalFormatting>
  <conditionalFormatting sqref="J42">
    <cfRule type="expression" dxfId="150" priority="2">
      <formula>$D$42="简单平均"</formula>
    </cfRule>
  </conditionalFormatting>
  <conditionalFormatting sqref="F7:F40 H7:H40 J7:J40">
    <cfRule type="cellIs" dxfId="14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北京市东流水路7号院1号楼房地产抵押价值预评估</v>
      </c>
      <c r="C37" s="3465"/>
      <c r="D37" s="3465"/>
      <c r="E37" s="3465"/>
      <c r="F37" s="3465"/>
      <c r="G37" s="3465"/>
      <c r="H37" s="3465"/>
      <c r="I37" s="3465"/>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6"/>
  <sheetViews>
    <sheetView workbookViewId="0">
      <pane xSplit="6" ySplit="1" topLeftCell="AM2" activePane="bottomRight" state="frozen"/>
      <selection pane="topRight" activeCell="G1" sqref="G1"/>
      <selection pane="bottomLeft" activeCell="A2" sqref="A2"/>
      <selection pane="bottomRight" activeCell="AS36" sqref="AS36"/>
    </sheetView>
  </sheetViews>
  <sheetFormatPr defaultRowHeight="13.5"/>
  <cols>
    <col min="1" max="1" width="20" style="3458" customWidth="1"/>
    <col min="2" max="6" width="20" style="3458" hidden="1" customWidth="1"/>
    <col min="7" max="7" width="20" style="3458" customWidth="1"/>
    <col min="8" max="8" width="14" style="3458" customWidth="1"/>
    <col min="9" max="9" width="15.875" style="3458" customWidth="1"/>
    <col min="10" max="10" width="16.75" style="3458" customWidth="1"/>
    <col min="11" max="11" width="13.375" style="3458" customWidth="1"/>
    <col min="12" max="12" width="12.375" style="3458" customWidth="1"/>
    <col min="13" max="13" width="12.125" style="3458" customWidth="1"/>
    <col min="14" max="14" width="20" style="3458" customWidth="1"/>
    <col min="15" max="20" width="10.75" style="3458" customWidth="1"/>
    <col min="21" max="21" width="14.5" style="3458" customWidth="1"/>
    <col min="22" max="22" width="13" style="3458" customWidth="1"/>
    <col min="23" max="26" width="20" style="3458" customWidth="1"/>
    <col min="27" max="30" width="17.375" style="3458" customWidth="1"/>
    <col min="31" max="45" width="20" style="3458" customWidth="1"/>
    <col min="46" max="48" width="20" style="3458" hidden="1" customWidth="1"/>
    <col min="49" max="49" width="14.5" style="3458" customWidth="1"/>
    <col min="50" max="56" width="20" style="3458" hidden="1" customWidth="1"/>
    <col min="57" max="57" width="13.5" style="3458" hidden="1" customWidth="1"/>
    <col min="58" max="58" width="13.125" style="3458" customWidth="1"/>
    <col min="59" max="16384" width="9" style="3458"/>
  </cols>
  <sheetData>
    <row r="1" spans="1:60">
      <c r="A1" s="3458" t="s">
        <v>3435</v>
      </c>
      <c r="B1" s="3458" t="s">
        <v>3436</v>
      </c>
      <c r="C1" s="3458" t="s">
        <v>3437</v>
      </c>
      <c r="D1" s="3458" t="s">
        <v>3438</v>
      </c>
      <c r="E1" s="3458" t="s">
        <v>3439</v>
      </c>
      <c r="F1" s="3458" t="s">
        <v>3440</v>
      </c>
      <c r="G1" s="3458" t="s">
        <v>3441</v>
      </c>
      <c r="H1" s="3458" t="s">
        <v>3442</v>
      </c>
      <c r="I1" s="3458" t="s">
        <v>3443</v>
      </c>
      <c r="J1" s="3458" t="s">
        <v>3444</v>
      </c>
      <c r="K1" s="3458" t="s">
        <v>3445</v>
      </c>
      <c r="L1" s="3458" t="s">
        <v>3446</v>
      </c>
      <c r="M1" s="3458" t="s">
        <v>3447</v>
      </c>
      <c r="N1" s="3458" t="s">
        <v>3448</v>
      </c>
      <c r="O1" s="3458" t="s">
        <v>3449</v>
      </c>
      <c r="P1" s="3458" t="s">
        <v>3450</v>
      </c>
      <c r="Q1" s="3458" t="s">
        <v>3451</v>
      </c>
      <c r="R1" s="3458" t="s">
        <v>3452</v>
      </c>
      <c r="S1" s="3458" t="s">
        <v>3453</v>
      </c>
      <c r="T1" s="3458" t="s">
        <v>3454</v>
      </c>
      <c r="U1" s="3458" t="s">
        <v>3455</v>
      </c>
      <c r="V1" s="3458" t="s">
        <v>3456</v>
      </c>
      <c r="W1" s="3458" t="s">
        <v>3457</v>
      </c>
      <c r="X1" s="3458" t="s">
        <v>3458</v>
      </c>
      <c r="Y1" s="3458" t="s">
        <v>3459</v>
      </c>
      <c r="Z1" s="3458" t="s">
        <v>3460</v>
      </c>
      <c r="AA1" s="3458" t="s">
        <v>3461</v>
      </c>
      <c r="AB1" s="3458" t="s">
        <v>3462</v>
      </c>
      <c r="AC1" s="3458" t="s">
        <v>3463</v>
      </c>
      <c r="AD1" s="3458" t="s">
        <v>3464</v>
      </c>
      <c r="AE1" s="3458" t="s">
        <v>3465</v>
      </c>
      <c r="AF1" s="3458" t="s">
        <v>3466</v>
      </c>
      <c r="AG1" s="3458" t="s">
        <v>3467</v>
      </c>
      <c r="AH1" s="3458" t="s">
        <v>3468</v>
      </c>
      <c r="AI1" s="3458" t="s">
        <v>3469</v>
      </c>
      <c r="AJ1" s="3458" t="s">
        <v>3470</v>
      </c>
      <c r="AK1" s="3458" t="s">
        <v>3471</v>
      </c>
      <c r="AL1" s="3458" t="s">
        <v>3472</v>
      </c>
      <c r="AM1" s="3458" t="s">
        <v>3473</v>
      </c>
      <c r="AN1" s="3458" t="s">
        <v>3474</v>
      </c>
      <c r="AO1" s="3458" t="s">
        <v>3475</v>
      </c>
      <c r="AP1" s="3458" t="s">
        <v>3476</v>
      </c>
      <c r="AQ1" s="3458" t="s">
        <v>3477</v>
      </c>
      <c r="AR1" s="3458" t="s">
        <v>3478</v>
      </c>
      <c r="AS1" s="3458" t="s">
        <v>3479</v>
      </c>
      <c r="AT1" s="3458" t="s">
        <v>3480</v>
      </c>
      <c r="AU1" s="3458" t="s">
        <v>3481</v>
      </c>
      <c r="AV1" s="3458" t="s">
        <v>3482</v>
      </c>
      <c r="AW1" s="3458" t="s">
        <v>3483</v>
      </c>
      <c r="AX1" s="3458" t="s">
        <v>3484</v>
      </c>
      <c r="AY1" s="3458" t="s">
        <v>3485</v>
      </c>
      <c r="AZ1" s="3458" t="s">
        <v>3486</v>
      </c>
      <c r="BA1" s="3458" t="s">
        <v>3487</v>
      </c>
      <c r="BB1" s="3458" t="s">
        <v>3488</v>
      </c>
      <c r="BC1" s="3458" t="s">
        <v>3489</v>
      </c>
      <c r="BD1" s="3458" t="s">
        <v>3490</v>
      </c>
      <c r="BE1" s="3458" t="s">
        <v>3491</v>
      </c>
      <c r="BF1" s="3458" t="s">
        <v>3492</v>
      </c>
      <c r="BG1" s="3458">
        <f>常用公式!C18</f>
        <v>1.4649000000000001</v>
      </c>
      <c r="BH1" s="3806" t="s">
        <v>3618</v>
      </c>
    </row>
    <row r="2" spans="1:60">
      <c r="A2" s="3458" t="s">
        <v>3493</v>
      </c>
      <c r="B2" s="3458" t="s">
        <v>3392</v>
      </c>
      <c r="C2" s="3458" t="s">
        <v>3494</v>
      </c>
      <c r="D2" s="3458" t="s">
        <v>3495</v>
      </c>
      <c r="E2" s="3458" t="s">
        <v>3496</v>
      </c>
      <c r="F2" s="3458" t="s">
        <v>3497</v>
      </c>
      <c r="G2" s="3458" t="s">
        <v>3498</v>
      </c>
      <c r="H2" s="3458" t="s">
        <v>3499</v>
      </c>
      <c r="I2" s="3458">
        <v>43253.49</v>
      </c>
      <c r="J2" s="3458">
        <v>64880</v>
      </c>
      <c r="K2" s="3458">
        <v>1.5</v>
      </c>
      <c r="L2" s="3458">
        <v>1.5</v>
      </c>
      <c r="M2" s="3458" t="s">
        <v>3500</v>
      </c>
      <c r="N2" s="3458" t="s">
        <v>3501</v>
      </c>
      <c r="O2" s="3458" t="s">
        <v>3502</v>
      </c>
      <c r="P2" s="3458" t="s">
        <v>3503</v>
      </c>
      <c r="Q2" s="3458" t="s">
        <v>3504</v>
      </c>
      <c r="R2" s="3458" t="s">
        <v>3504</v>
      </c>
      <c r="S2" s="3458" t="s">
        <v>3504</v>
      </c>
      <c r="T2" s="3458" t="s">
        <v>3504</v>
      </c>
      <c r="U2" s="3458" t="s">
        <v>3504</v>
      </c>
      <c r="V2" s="3458" t="s">
        <v>3504</v>
      </c>
      <c r="W2" s="3458" t="s">
        <v>3504</v>
      </c>
      <c r="X2" s="3458" t="s">
        <v>3504</v>
      </c>
      <c r="Y2" s="3458">
        <v>0</v>
      </c>
      <c r="Z2" s="3458">
        <v>0</v>
      </c>
      <c r="AA2" s="3459">
        <v>45057.000497685185</v>
      </c>
      <c r="AB2" s="3459">
        <v>45078.000497685185</v>
      </c>
      <c r="AC2" s="3459">
        <v>45092.000497685185</v>
      </c>
      <c r="AD2" s="3459">
        <v>45092.000497685185</v>
      </c>
      <c r="AE2" s="3458" t="s">
        <v>3505</v>
      </c>
      <c r="AF2" s="3458" t="s">
        <v>3506</v>
      </c>
      <c r="AG2" s="3458" t="s">
        <v>3507</v>
      </c>
      <c r="AH2" s="3458" t="s">
        <v>3504</v>
      </c>
      <c r="AI2" s="3458" t="s">
        <v>3504</v>
      </c>
      <c r="AJ2" s="3458">
        <v>8609.58</v>
      </c>
      <c r="AK2" s="3458">
        <v>1722</v>
      </c>
      <c r="AL2" s="3458" t="s">
        <v>3508</v>
      </c>
      <c r="AM2" s="3458">
        <v>8609.58</v>
      </c>
      <c r="AN2" s="3458">
        <v>1990.49</v>
      </c>
      <c r="AO2" s="3458">
        <v>1990.49</v>
      </c>
      <c r="AP2" s="3458">
        <v>132.69999999999999</v>
      </c>
      <c r="AQ2" s="3458">
        <v>132.69999999999999</v>
      </c>
      <c r="AR2" s="3458">
        <v>1327</v>
      </c>
      <c r="AS2" s="3458">
        <v>1327</v>
      </c>
      <c r="AT2" s="3458" t="s">
        <v>3504</v>
      </c>
      <c r="AU2" s="3458" t="s">
        <v>3504</v>
      </c>
      <c r="AV2" s="3458">
        <v>0</v>
      </c>
      <c r="AW2" s="3458" t="s">
        <v>3509</v>
      </c>
      <c r="AX2" s="3458" t="s">
        <v>3503</v>
      </c>
      <c r="AY2" s="3458" t="s">
        <v>3504</v>
      </c>
      <c r="AZ2" s="3458" t="s">
        <v>3503</v>
      </c>
      <c r="BA2" s="3458" t="s">
        <v>3504</v>
      </c>
      <c r="BB2" s="3458" t="s">
        <v>3504</v>
      </c>
      <c r="BC2" s="3458" t="s">
        <v>3504</v>
      </c>
      <c r="BD2" s="3458" t="s">
        <v>3504</v>
      </c>
      <c r="BE2" s="3458" t="s">
        <v>3510</v>
      </c>
    </row>
    <row r="3" spans="1:60">
      <c r="A3" s="3458" t="s">
        <v>3511</v>
      </c>
      <c r="B3" s="3458" t="s">
        <v>3392</v>
      </c>
      <c r="C3" s="3458" t="s">
        <v>3512</v>
      </c>
      <c r="D3" s="3458" t="s">
        <v>3495</v>
      </c>
      <c r="E3" s="3458" t="s">
        <v>3496</v>
      </c>
      <c r="F3" s="3458" t="s">
        <v>3513</v>
      </c>
      <c r="G3" s="3458" t="s">
        <v>3514</v>
      </c>
      <c r="H3" s="3458" t="s">
        <v>3499</v>
      </c>
      <c r="I3" s="3458">
        <v>66934.31</v>
      </c>
      <c r="J3" s="3458">
        <v>80321</v>
      </c>
      <c r="K3" s="3458" t="s">
        <v>3515</v>
      </c>
      <c r="L3" s="3458">
        <v>1.2</v>
      </c>
      <c r="M3" s="3458" t="s">
        <v>3500</v>
      </c>
      <c r="N3" s="3458" t="s">
        <v>3516</v>
      </c>
      <c r="O3" s="3458" t="s">
        <v>3502</v>
      </c>
      <c r="P3" s="3458" t="s">
        <v>3503</v>
      </c>
      <c r="Q3" s="3458" t="s">
        <v>3504</v>
      </c>
      <c r="R3" s="3458" t="s">
        <v>3504</v>
      </c>
      <c r="S3" s="3458" t="s">
        <v>3504</v>
      </c>
      <c r="T3" s="3458" t="s">
        <v>3504</v>
      </c>
      <c r="U3" s="3458" t="s">
        <v>3504</v>
      </c>
      <c r="V3" s="3458" t="s">
        <v>3504</v>
      </c>
      <c r="W3" s="3458" t="s">
        <v>3504</v>
      </c>
      <c r="X3" s="3458" t="s">
        <v>3504</v>
      </c>
      <c r="Y3" s="3458">
        <v>0</v>
      </c>
      <c r="Z3" s="3458">
        <v>0</v>
      </c>
      <c r="AA3" s="3459">
        <v>44998.000497685185</v>
      </c>
      <c r="AB3" s="3459">
        <v>45019.000497685185</v>
      </c>
      <c r="AC3" s="3459">
        <v>45033.000497685185</v>
      </c>
      <c r="AD3" s="3459">
        <v>45033.000497685185</v>
      </c>
      <c r="AE3" s="3458" t="s">
        <v>3517</v>
      </c>
      <c r="AF3" s="3458" t="s">
        <v>3506</v>
      </c>
      <c r="AG3" s="3458" t="s">
        <v>3518</v>
      </c>
      <c r="AH3" s="3458" t="s">
        <v>3519</v>
      </c>
      <c r="AI3" s="3458" t="s">
        <v>3520</v>
      </c>
      <c r="AJ3" s="3458">
        <v>15060.05</v>
      </c>
      <c r="AK3" s="3458">
        <v>3012</v>
      </c>
      <c r="AL3" s="3458" t="s">
        <v>3521</v>
      </c>
      <c r="AM3" s="3458">
        <v>15060.05</v>
      </c>
      <c r="AN3" s="3458">
        <v>2249.9699999999998</v>
      </c>
      <c r="AO3" s="3458">
        <v>2249.9699999999998</v>
      </c>
      <c r="AP3" s="3458">
        <v>150</v>
      </c>
      <c r="AQ3" s="3458">
        <v>150</v>
      </c>
      <c r="AR3" s="3458">
        <v>1875</v>
      </c>
      <c r="AS3" s="3458">
        <v>1875</v>
      </c>
      <c r="AT3" s="3458" t="s">
        <v>3504</v>
      </c>
      <c r="AU3" s="3458" t="s">
        <v>3504</v>
      </c>
      <c r="AV3" s="3458">
        <v>0</v>
      </c>
      <c r="AW3" s="3458" t="s">
        <v>3509</v>
      </c>
      <c r="AX3" s="3458" t="s">
        <v>3503</v>
      </c>
      <c r="AY3" s="3458" t="s">
        <v>3504</v>
      </c>
      <c r="AZ3" s="3458" t="s">
        <v>3503</v>
      </c>
      <c r="BA3" s="3458" t="s">
        <v>3504</v>
      </c>
      <c r="BB3" s="3458" t="s">
        <v>3504</v>
      </c>
      <c r="BC3" s="3458" t="s">
        <v>3504</v>
      </c>
      <c r="BD3" s="3458" t="s">
        <v>3504</v>
      </c>
      <c r="BE3" s="3458" t="s">
        <v>3510</v>
      </c>
    </row>
    <row r="4" spans="1:60" s="3460" customFormat="1">
      <c r="A4" s="3460" t="s">
        <v>3522</v>
      </c>
      <c r="B4" s="3460" t="s">
        <v>3392</v>
      </c>
      <c r="C4" s="3460" t="s">
        <v>3523</v>
      </c>
      <c r="D4" s="3460" t="s">
        <v>3495</v>
      </c>
      <c r="E4" s="3460" t="s">
        <v>3496</v>
      </c>
      <c r="F4" s="3460" t="s">
        <v>3513</v>
      </c>
      <c r="G4" s="3460" t="s">
        <v>3524</v>
      </c>
      <c r="H4" s="3460" t="s">
        <v>3499</v>
      </c>
      <c r="I4" s="3460">
        <v>101126.72</v>
      </c>
      <c r="J4" s="3460">
        <v>151690</v>
      </c>
      <c r="K4" s="3460">
        <v>1.5</v>
      </c>
      <c r="L4" s="3460">
        <v>1.5</v>
      </c>
      <c r="M4" s="3460" t="s">
        <v>3500</v>
      </c>
      <c r="N4" s="3460" t="s">
        <v>3525</v>
      </c>
      <c r="O4" s="3460" t="s">
        <v>3502</v>
      </c>
      <c r="P4" s="3460" t="s">
        <v>3503</v>
      </c>
      <c r="Q4" s="3460" t="s">
        <v>3504</v>
      </c>
      <c r="R4" s="3460" t="s">
        <v>3504</v>
      </c>
      <c r="S4" s="3460" t="s">
        <v>3504</v>
      </c>
      <c r="T4" s="3460" t="s">
        <v>3504</v>
      </c>
      <c r="U4" s="3460" t="s">
        <v>3504</v>
      </c>
      <c r="V4" s="3460" t="s">
        <v>3504</v>
      </c>
      <c r="W4" s="3460" t="s">
        <v>3504</v>
      </c>
      <c r="X4" s="3460" t="s">
        <v>3504</v>
      </c>
      <c r="Y4" s="3460">
        <v>0</v>
      </c>
      <c r="Z4" s="3460">
        <v>0</v>
      </c>
      <c r="AA4" s="3461">
        <v>44925.000497685185</v>
      </c>
      <c r="AB4" s="3461">
        <v>44945.000497685185</v>
      </c>
      <c r="AC4" s="3461">
        <v>44963.000497685185</v>
      </c>
      <c r="AD4" s="3461">
        <v>44963.000497685185</v>
      </c>
      <c r="AE4" s="3460" t="s">
        <v>3526</v>
      </c>
      <c r="AF4" s="3460" t="s">
        <v>3506</v>
      </c>
      <c r="AG4" s="3460" t="s">
        <v>3518</v>
      </c>
      <c r="AH4" s="3460" t="s">
        <v>3519</v>
      </c>
      <c r="AI4" s="3460" t="s">
        <v>3520</v>
      </c>
      <c r="AJ4" s="3460">
        <v>22186.85</v>
      </c>
      <c r="AK4" s="3460">
        <v>4400</v>
      </c>
      <c r="AL4" s="3460" t="s">
        <v>3527</v>
      </c>
      <c r="AM4" s="3460">
        <v>22186.85</v>
      </c>
      <c r="AN4" s="3460">
        <v>2193.96</v>
      </c>
      <c r="AO4" s="3460">
        <v>2193.96</v>
      </c>
      <c r="AP4" s="3460">
        <v>146.26</v>
      </c>
      <c r="AQ4" s="3460">
        <v>146.26</v>
      </c>
      <c r="AR4" s="3460">
        <v>1463</v>
      </c>
      <c r="AS4" s="3460">
        <v>1463</v>
      </c>
      <c r="AT4" s="3460" t="s">
        <v>3504</v>
      </c>
      <c r="AU4" s="3460" t="s">
        <v>3504</v>
      </c>
      <c r="AV4" s="3460">
        <v>0</v>
      </c>
      <c r="AW4" s="3460" t="s">
        <v>3509</v>
      </c>
      <c r="AX4" s="3460" t="s">
        <v>3503</v>
      </c>
      <c r="AY4" s="3460" t="s">
        <v>3504</v>
      </c>
      <c r="AZ4" s="3460" t="s">
        <v>3503</v>
      </c>
      <c r="BA4" s="3460" t="s">
        <v>3504</v>
      </c>
      <c r="BB4" s="3460" t="s">
        <v>3504</v>
      </c>
      <c r="BC4" s="3460" t="s">
        <v>3504</v>
      </c>
      <c r="BD4" s="3460" t="s">
        <v>3504</v>
      </c>
      <c r="BE4" s="3460" t="s">
        <v>3510</v>
      </c>
      <c r="BG4" s="3460">
        <f>ROUND(AO4*$BG$1,0)</f>
        <v>3214</v>
      </c>
    </row>
    <row r="5" spans="1:60">
      <c r="A5" s="3458" t="s">
        <v>3528</v>
      </c>
      <c r="B5" s="3458" t="s">
        <v>3392</v>
      </c>
      <c r="C5" s="3458" t="s">
        <v>3529</v>
      </c>
      <c r="D5" s="3458" t="s">
        <v>3495</v>
      </c>
      <c r="E5" s="3458" t="s">
        <v>3496</v>
      </c>
      <c r="F5" s="3458" t="s">
        <v>3530</v>
      </c>
      <c r="G5" s="3458" t="s">
        <v>3531</v>
      </c>
      <c r="H5" s="3458" t="s">
        <v>3499</v>
      </c>
      <c r="I5" s="3458">
        <v>62970.8</v>
      </c>
      <c r="J5" s="3458">
        <v>75565</v>
      </c>
      <c r="K5" s="3458">
        <v>1.2</v>
      </c>
      <c r="L5" s="3458">
        <v>1.2</v>
      </c>
      <c r="M5" s="3458" t="s">
        <v>3500</v>
      </c>
      <c r="N5" s="3458" t="s">
        <v>3501</v>
      </c>
      <c r="O5" s="3458" t="s">
        <v>3502</v>
      </c>
      <c r="P5" s="3458" t="s">
        <v>3503</v>
      </c>
      <c r="Q5" s="3458" t="s">
        <v>3504</v>
      </c>
      <c r="R5" s="3458" t="s">
        <v>3504</v>
      </c>
      <c r="S5" s="3458" t="s">
        <v>3504</v>
      </c>
      <c r="T5" s="3458" t="s">
        <v>3504</v>
      </c>
      <c r="U5" s="3458" t="s">
        <v>3504</v>
      </c>
      <c r="V5" s="3458" t="s">
        <v>3504</v>
      </c>
      <c r="W5" s="3458" t="s">
        <v>3504</v>
      </c>
      <c r="X5" s="3458" t="s">
        <v>3504</v>
      </c>
      <c r="Y5" s="3458">
        <v>0</v>
      </c>
      <c r="Z5" s="3458">
        <v>0</v>
      </c>
      <c r="AA5" s="3459">
        <v>44902.000497685185</v>
      </c>
      <c r="AB5" s="3459">
        <v>44922.000497685185</v>
      </c>
      <c r="AC5" s="3459">
        <v>44937.000497685185</v>
      </c>
      <c r="AD5" s="3459">
        <v>44937.000497685185</v>
      </c>
      <c r="AE5" s="3458" t="s">
        <v>3532</v>
      </c>
      <c r="AF5" s="3458" t="s">
        <v>3506</v>
      </c>
      <c r="AG5" s="3458" t="s">
        <v>3533</v>
      </c>
      <c r="AH5" s="3458" t="s">
        <v>3534</v>
      </c>
      <c r="AI5" s="3458" t="s">
        <v>3535</v>
      </c>
      <c r="AJ5" s="3458">
        <v>11607.61</v>
      </c>
      <c r="AK5" s="3458">
        <v>2267</v>
      </c>
      <c r="AL5" s="3458" t="s">
        <v>3536</v>
      </c>
      <c r="AM5" s="3458">
        <v>11607.61</v>
      </c>
      <c r="AN5" s="3458">
        <v>1843.33</v>
      </c>
      <c r="AO5" s="3458">
        <v>1843.33</v>
      </c>
      <c r="AP5" s="3458">
        <v>122.89</v>
      </c>
      <c r="AQ5" s="3458">
        <v>122.89</v>
      </c>
      <c r="AR5" s="3458">
        <v>1536</v>
      </c>
      <c r="AS5" s="3458">
        <v>1536</v>
      </c>
      <c r="AT5" s="3458" t="s">
        <v>3504</v>
      </c>
      <c r="AU5" s="3458" t="s">
        <v>3504</v>
      </c>
      <c r="AV5" s="3458">
        <v>0</v>
      </c>
      <c r="AW5" s="3458" t="s">
        <v>3509</v>
      </c>
      <c r="AX5" s="3458" t="s">
        <v>3503</v>
      </c>
      <c r="AY5" s="3458" t="s">
        <v>3504</v>
      </c>
      <c r="AZ5" s="3458" t="s">
        <v>3503</v>
      </c>
      <c r="BA5" s="3458" t="s">
        <v>3504</v>
      </c>
      <c r="BB5" s="3458" t="s">
        <v>3504</v>
      </c>
      <c r="BC5" s="3458" t="s">
        <v>3504</v>
      </c>
      <c r="BD5" s="3458" t="s">
        <v>3504</v>
      </c>
      <c r="BE5" s="3458" t="s">
        <v>3510</v>
      </c>
    </row>
    <row r="6" spans="1:60" s="3460" customFormat="1">
      <c r="A6" s="3460" t="s">
        <v>3537</v>
      </c>
      <c r="B6" s="3460" t="s">
        <v>3392</v>
      </c>
      <c r="C6" s="3460" t="s">
        <v>3538</v>
      </c>
      <c r="D6" s="3460" t="s">
        <v>3495</v>
      </c>
      <c r="E6" s="3460" t="s">
        <v>3496</v>
      </c>
      <c r="F6" s="3460" t="s">
        <v>3539</v>
      </c>
      <c r="G6" s="3460" t="s">
        <v>3540</v>
      </c>
      <c r="H6" s="3460" t="s">
        <v>3499</v>
      </c>
      <c r="I6" s="3460">
        <v>60631.73</v>
      </c>
      <c r="J6" s="3460">
        <v>60631</v>
      </c>
      <c r="K6" s="3460" t="s">
        <v>3541</v>
      </c>
      <c r="L6" s="3460">
        <v>1</v>
      </c>
      <c r="M6" s="3460" t="s">
        <v>3500</v>
      </c>
      <c r="N6" s="3460" t="s">
        <v>3525</v>
      </c>
      <c r="O6" s="3460" t="s">
        <v>3502</v>
      </c>
      <c r="P6" s="3460" t="s">
        <v>3503</v>
      </c>
      <c r="Q6" s="3460">
        <v>0.4</v>
      </c>
      <c r="R6" s="3460" t="s">
        <v>3542</v>
      </c>
      <c r="S6" s="3460" t="s">
        <v>3504</v>
      </c>
      <c r="T6" s="3460" t="s">
        <v>3504</v>
      </c>
      <c r="U6" s="3460" t="s">
        <v>3504</v>
      </c>
      <c r="V6" s="3460" t="s">
        <v>3504</v>
      </c>
      <c r="W6" s="3460" t="s">
        <v>3504</v>
      </c>
      <c r="X6" s="3460" t="s">
        <v>3504</v>
      </c>
      <c r="Y6" s="3460">
        <v>0</v>
      </c>
      <c r="Z6" s="3460">
        <v>0</v>
      </c>
      <c r="AA6" s="3461">
        <v>44399.000497685185</v>
      </c>
      <c r="AB6" s="3461">
        <v>44419.000497685185</v>
      </c>
      <c r="AC6" s="3461">
        <v>44433.000497685185</v>
      </c>
      <c r="AD6" s="3461">
        <v>44433.000497685185</v>
      </c>
      <c r="AE6" s="3460" t="s">
        <v>3543</v>
      </c>
      <c r="AF6" s="3460" t="s">
        <v>3506</v>
      </c>
      <c r="AG6" s="3460" t="s">
        <v>3544</v>
      </c>
      <c r="AH6" s="3460" t="s">
        <v>3504</v>
      </c>
      <c r="AI6" s="3460" t="s">
        <v>3504</v>
      </c>
      <c r="AJ6" s="3460">
        <v>9621.02</v>
      </c>
      <c r="AK6" s="3460">
        <v>1925</v>
      </c>
      <c r="AL6" s="3460" t="s">
        <v>633</v>
      </c>
      <c r="AM6" s="3460">
        <v>9621.02</v>
      </c>
      <c r="AN6" s="3460">
        <v>1586.79</v>
      </c>
      <c r="AO6" s="3460">
        <v>1586.79</v>
      </c>
      <c r="AP6" s="3460">
        <v>105.79</v>
      </c>
      <c r="AQ6" s="3460">
        <v>105.79</v>
      </c>
      <c r="AR6" s="3460">
        <v>1587</v>
      </c>
      <c r="AS6" s="3460">
        <v>1587</v>
      </c>
      <c r="AT6" s="3460" t="s">
        <v>3504</v>
      </c>
      <c r="AU6" s="3460" t="s">
        <v>3504</v>
      </c>
      <c r="AV6" s="3460">
        <v>0</v>
      </c>
      <c r="AW6" s="3460" t="s">
        <v>3509</v>
      </c>
      <c r="AX6" s="3460" t="s">
        <v>3503</v>
      </c>
      <c r="AY6" s="3460" t="s">
        <v>3504</v>
      </c>
      <c r="AZ6" s="3460" t="s">
        <v>3503</v>
      </c>
      <c r="BA6" s="3460" t="s">
        <v>3504</v>
      </c>
      <c r="BB6" s="3460" t="s">
        <v>3504</v>
      </c>
      <c r="BC6" s="3460" t="s">
        <v>3504</v>
      </c>
      <c r="BD6" s="3460" t="s">
        <v>3504</v>
      </c>
      <c r="BE6" s="3460" t="s">
        <v>3545</v>
      </c>
      <c r="BG6" s="3460">
        <f>ROUND(AO6*$BG$1,0)</f>
        <v>2324</v>
      </c>
    </row>
    <row r="7" spans="1:60">
      <c r="A7" s="3458" t="s">
        <v>3546</v>
      </c>
      <c r="B7" s="3458" t="s">
        <v>3392</v>
      </c>
      <c r="C7" s="3458" t="s">
        <v>3547</v>
      </c>
      <c r="D7" s="3458" t="s">
        <v>3495</v>
      </c>
      <c r="E7" s="3458" t="s">
        <v>3496</v>
      </c>
      <c r="F7" s="3458" t="s">
        <v>3504</v>
      </c>
      <c r="G7" s="3458" t="s">
        <v>3548</v>
      </c>
      <c r="H7" s="3458" t="s">
        <v>3499</v>
      </c>
      <c r="I7" s="3458">
        <v>63922.57</v>
      </c>
      <c r="J7" s="3458">
        <v>102276</v>
      </c>
      <c r="K7" s="3458" t="s">
        <v>3549</v>
      </c>
      <c r="L7" s="3458">
        <v>1.6</v>
      </c>
      <c r="M7" s="3458" t="s">
        <v>3500</v>
      </c>
      <c r="N7" s="3458" t="s">
        <v>3550</v>
      </c>
      <c r="O7" s="3458" t="s">
        <v>3502</v>
      </c>
      <c r="P7" s="3458" t="s">
        <v>3503</v>
      </c>
      <c r="Q7" s="3458" t="s">
        <v>3504</v>
      </c>
      <c r="R7" s="3458" t="s">
        <v>3504</v>
      </c>
      <c r="S7" s="3458" t="s">
        <v>3504</v>
      </c>
      <c r="T7" s="3458" t="s">
        <v>3504</v>
      </c>
      <c r="U7" s="3458" t="s">
        <v>3551</v>
      </c>
      <c r="V7" s="3458" t="s">
        <v>3504</v>
      </c>
      <c r="W7" s="3458">
        <v>0</v>
      </c>
      <c r="X7" s="3458">
        <v>0</v>
      </c>
      <c r="Y7" s="3458">
        <v>0</v>
      </c>
      <c r="Z7" s="3458">
        <v>0</v>
      </c>
      <c r="AA7" s="3459">
        <v>44155.000497685185</v>
      </c>
      <c r="AB7" s="3459">
        <v>44175.000497685185</v>
      </c>
      <c r="AC7" s="3459">
        <v>44189.000497685185</v>
      </c>
      <c r="AD7" s="3459">
        <v>44189.000497685185</v>
      </c>
      <c r="AE7" s="3458" t="s">
        <v>3552</v>
      </c>
      <c r="AF7" s="3458" t="s">
        <v>3506</v>
      </c>
      <c r="AG7" s="3458" t="s">
        <v>3553</v>
      </c>
      <c r="AH7" s="3458" t="s">
        <v>3504</v>
      </c>
      <c r="AI7" s="3458" t="s">
        <v>3504</v>
      </c>
      <c r="AJ7" s="3458">
        <v>13766.35</v>
      </c>
      <c r="AK7" s="3458">
        <v>2755</v>
      </c>
      <c r="AL7" s="3458" t="s">
        <v>633</v>
      </c>
      <c r="AM7" s="3458">
        <v>13766.35</v>
      </c>
      <c r="AN7" s="3458">
        <v>2153.59</v>
      </c>
      <c r="AO7" s="3458">
        <v>2153.59</v>
      </c>
      <c r="AP7" s="3458">
        <v>143.57</v>
      </c>
      <c r="AQ7" s="3458">
        <v>143.57</v>
      </c>
      <c r="AR7" s="3458">
        <v>1346</v>
      </c>
      <c r="AS7" s="3458">
        <v>1346</v>
      </c>
      <c r="AT7" s="3458" t="s">
        <v>3504</v>
      </c>
      <c r="AU7" s="3458" t="s">
        <v>3504</v>
      </c>
      <c r="AV7" s="3458">
        <v>0</v>
      </c>
      <c r="AW7" s="3458" t="s">
        <v>3509</v>
      </c>
      <c r="AX7" s="3458" t="s">
        <v>3503</v>
      </c>
      <c r="AY7" s="3458" t="s">
        <v>3504</v>
      </c>
      <c r="AZ7" s="3458" t="s">
        <v>3503</v>
      </c>
      <c r="BA7" s="3458" t="s">
        <v>3504</v>
      </c>
      <c r="BB7" s="3458" t="s">
        <v>3504</v>
      </c>
      <c r="BC7" s="3458" t="s">
        <v>3504</v>
      </c>
      <c r="BD7" s="3458" t="s">
        <v>3504</v>
      </c>
      <c r="BE7" s="3458" t="s">
        <v>3545</v>
      </c>
    </row>
    <row r="8" spans="1:60" s="3460" customFormat="1">
      <c r="A8" s="3460" t="s">
        <v>3554</v>
      </c>
      <c r="B8" s="3460" t="s">
        <v>3392</v>
      </c>
      <c r="C8" s="3460" t="s">
        <v>3555</v>
      </c>
      <c r="D8" s="3460" t="s">
        <v>3495</v>
      </c>
      <c r="E8" s="3460" t="s">
        <v>3496</v>
      </c>
      <c r="F8" s="3460" t="s">
        <v>3504</v>
      </c>
      <c r="G8" s="3460" t="s">
        <v>3556</v>
      </c>
      <c r="H8" s="3460" t="s">
        <v>3499</v>
      </c>
      <c r="I8" s="3460">
        <v>47600.14</v>
      </c>
      <c r="J8" s="3460">
        <v>57120.17</v>
      </c>
      <c r="K8" s="3460" t="s">
        <v>3557</v>
      </c>
      <c r="L8" s="3460">
        <v>1.2</v>
      </c>
      <c r="M8" s="3460" t="s">
        <v>3500</v>
      </c>
      <c r="N8" s="3460" t="s">
        <v>3525</v>
      </c>
      <c r="O8" s="3460" t="s">
        <v>3502</v>
      </c>
      <c r="P8" s="3460" t="s">
        <v>3503</v>
      </c>
      <c r="Q8" s="3460" t="s">
        <v>3558</v>
      </c>
      <c r="R8" s="3460" t="s">
        <v>3559</v>
      </c>
      <c r="S8" s="3460" t="s">
        <v>3504</v>
      </c>
      <c r="T8" s="3460" t="s">
        <v>3504</v>
      </c>
      <c r="U8" s="3460" t="s">
        <v>3504</v>
      </c>
      <c r="V8" s="3460" t="s">
        <v>3504</v>
      </c>
      <c r="W8" s="3460">
        <v>0</v>
      </c>
      <c r="X8" s="3460">
        <v>0</v>
      </c>
      <c r="Y8" s="3460">
        <v>0</v>
      </c>
      <c r="Z8" s="3460">
        <v>0</v>
      </c>
      <c r="AA8" s="3461">
        <v>44139.000497685185</v>
      </c>
      <c r="AB8" s="3461">
        <v>44159.000497685185</v>
      </c>
      <c r="AC8" s="3461">
        <v>44172.000497685185</v>
      </c>
      <c r="AD8" s="3461">
        <v>44172.000497685185</v>
      </c>
      <c r="AE8" s="3460" t="s">
        <v>3560</v>
      </c>
      <c r="AF8" s="3460" t="s">
        <v>3506</v>
      </c>
      <c r="AG8" s="3460" t="s">
        <v>3518</v>
      </c>
      <c r="AH8" s="3460" t="s">
        <v>3504</v>
      </c>
      <c r="AI8" s="3460" t="s">
        <v>3504</v>
      </c>
      <c r="AJ8" s="3460">
        <v>11020.35</v>
      </c>
      <c r="AK8" s="3460">
        <v>2210</v>
      </c>
      <c r="AL8" s="3460" t="s">
        <v>633</v>
      </c>
      <c r="AM8" s="3460">
        <v>11020.35</v>
      </c>
      <c r="AN8" s="3460">
        <v>2315.19</v>
      </c>
      <c r="AO8" s="3460">
        <v>2315.19</v>
      </c>
      <c r="AP8" s="3460">
        <v>154.35</v>
      </c>
      <c r="AQ8" s="3460">
        <v>154.35</v>
      </c>
      <c r="AR8" s="3460">
        <v>1929</v>
      </c>
      <c r="AS8" s="3460">
        <v>1929</v>
      </c>
      <c r="AT8" s="3460" t="s">
        <v>3504</v>
      </c>
      <c r="AU8" s="3460" t="s">
        <v>3504</v>
      </c>
      <c r="AV8" s="3460">
        <v>0</v>
      </c>
      <c r="AW8" s="3460" t="s">
        <v>3509</v>
      </c>
      <c r="AX8" s="3460" t="s">
        <v>3503</v>
      </c>
      <c r="AY8" s="3460" t="s">
        <v>3504</v>
      </c>
      <c r="AZ8" s="3460" t="s">
        <v>3503</v>
      </c>
      <c r="BA8" s="3460" t="s">
        <v>3504</v>
      </c>
      <c r="BB8" s="3460" t="s">
        <v>3504</v>
      </c>
      <c r="BC8" s="3460" t="s">
        <v>3504</v>
      </c>
      <c r="BD8" s="3460" t="s">
        <v>3504</v>
      </c>
      <c r="BE8" s="3460" t="s">
        <v>3545</v>
      </c>
      <c r="BG8" s="3460">
        <f>ROUND(AO8*$BG$1,0)</f>
        <v>3392</v>
      </c>
    </row>
    <row r="9" spans="1:60">
      <c r="A9" s="3458" t="s">
        <v>3561</v>
      </c>
      <c r="B9" s="3458" t="s">
        <v>3392</v>
      </c>
      <c r="C9" s="3458" t="s">
        <v>3562</v>
      </c>
      <c r="D9" s="3458" t="s">
        <v>3495</v>
      </c>
      <c r="E9" s="3458" t="s">
        <v>3496</v>
      </c>
      <c r="F9" s="3458" t="s">
        <v>3504</v>
      </c>
      <c r="G9" s="3458" t="s">
        <v>3563</v>
      </c>
      <c r="H9" s="3458" t="s">
        <v>3499</v>
      </c>
      <c r="I9" s="3458">
        <v>65233.04</v>
      </c>
      <c r="J9" s="3458">
        <v>96104</v>
      </c>
      <c r="K9" s="3458" t="s">
        <v>3549</v>
      </c>
      <c r="L9" s="3458">
        <v>1.6</v>
      </c>
      <c r="M9" s="3458" t="s">
        <v>3500</v>
      </c>
      <c r="N9" s="3458" t="s">
        <v>3564</v>
      </c>
      <c r="O9" s="3458" t="s">
        <v>3502</v>
      </c>
      <c r="P9" s="3458" t="s">
        <v>3503</v>
      </c>
      <c r="Q9" s="3458" t="s">
        <v>3504</v>
      </c>
      <c r="R9" s="3458" t="s">
        <v>3504</v>
      </c>
      <c r="S9" s="3458" t="s">
        <v>3504</v>
      </c>
      <c r="T9" s="3458" t="s">
        <v>3504</v>
      </c>
      <c r="U9" s="3458" t="s">
        <v>3551</v>
      </c>
      <c r="V9" s="3458" t="s">
        <v>3504</v>
      </c>
      <c r="W9" s="3458">
        <v>0</v>
      </c>
      <c r="X9" s="3458">
        <v>0</v>
      </c>
      <c r="Y9" s="3458">
        <v>0</v>
      </c>
      <c r="Z9" s="3458">
        <v>0</v>
      </c>
      <c r="AA9" s="3459">
        <v>43621.000497685185</v>
      </c>
      <c r="AB9" s="3459">
        <v>43641.000497685185</v>
      </c>
      <c r="AC9" s="3459">
        <v>43664.000497685185</v>
      </c>
      <c r="AD9" s="3459">
        <v>43664.000497685185</v>
      </c>
      <c r="AE9" s="3458" t="s">
        <v>3565</v>
      </c>
      <c r="AF9" s="3458" t="s">
        <v>3506</v>
      </c>
      <c r="AG9" s="3458" t="s">
        <v>3553</v>
      </c>
      <c r="AH9" s="3458" t="s">
        <v>3566</v>
      </c>
      <c r="AI9" s="3458" t="s">
        <v>3520</v>
      </c>
      <c r="AJ9" s="3458">
        <v>12877.94</v>
      </c>
      <c r="AK9" s="3458">
        <v>3900</v>
      </c>
      <c r="AL9" s="3458" t="s">
        <v>633</v>
      </c>
      <c r="AM9" s="3458">
        <v>12877.94</v>
      </c>
      <c r="AN9" s="3458">
        <v>1974.14</v>
      </c>
      <c r="AO9" s="3458">
        <v>1974.14</v>
      </c>
      <c r="AP9" s="3458">
        <v>131.61000000000001</v>
      </c>
      <c r="AQ9" s="3458">
        <v>131.61000000000001</v>
      </c>
      <c r="AR9" s="3458">
        <v>1340</v>
      </c>
      <c r="AS9" s="3458">
        <v>1340</v>
      </c>
      <c r="AT9" s="3458" t="s">
        <v>3504</v>
      </c>
      <c r="AU9" s="3458" t="s">
        <v>3504</v>
      </c>
      <c r="AV9" s="3458">
        <v>0</v>
      </c>
      <c r="AW9" s="3458" t="s">
        <v>3509</v>
      </c>
      <c r="AX9" s="3458" t="s">
        <v>3503</v>
      </c>
      <c r="AY9" s="3458" t="s">
        <v>3504</v>
      </c>
      <c r="AZ9" s="3458" t="s">
        <v>3503</v>
      </c>
      <c r="BA9" s="3458" t="s">
        <v>3504</v>
      </c>
      <c r="BB9" s="3458" t="s">
        <v>3504</v>
      </c>
      <c r="BC9" s="3458" t="s">
        <v>3504</v>
      </c>
      <c r="BD9" s="3458" t="s">
        <v>3504</v>
      </c>
      <c r="BE9" s="3458" t="s">
        <v>3545</v>
      </c>
    </row>
    <row r="10" spans="1:60">
      <c r="A10" s="3458" t="s">
        <v>3567</v>
      </c>
      <c r="B10" s="3458" t="s">
        <v>3392</v>
      </c>
      <c r="C10" s="3458" t="s">
        <v>3568</v>
      </c>
      <c r="D10" s="3458" t="s">
        <v>3495</v>
      </c>
      <c r="E10" s="3458" t="s">
        <v>3496</v>
      </c>
      <c r="F10" s="3458" t="s">
        <v>3504</v>
      </c>
      <c r="G10" s="3458" t="s">
        <v>3569</v>
      </c>
      <c r="H10" s="3458" t="s">
        <v>3499</v>
      </c>
      <c r="I10" s="3458">
        <v>20000</v>
      </c>
      <c r="J10" s="3458">
        <v>24000</v>
      </c>
      <c r="K10" s="3458">
        <v>1.2</v>
      </c>
      <c r="L10" s="3458">
        <v>1.2</v>
      </c>
      <c r="M10" s="3458" t="s">
        <v>3500</v>
      </c>
      <c r="N10" s="3458" t="s">
        <v>3570</v>
      </c>
      <c r="O10" s="3458" t="s">
        <v>3502</v>
      </c>
      <c r="P10" s="3458" t="s">
        <v>3503</v>
      </c>
      <c r="Q10" s="3458" t="s">
        <v>3504</v>
      </c>
      <c r="R10" s="3458" t="s">
        <v>3504</v>
      </c>
      <c r="S10" s="3458" t="s">
        <v>3504</v>
      </c>
      <c r="T10" s="3458" t="s">
        <v>3504</v>
      </c>
      <c r="U10" s="3458" t="s">
        <v>3504</v>
      </c>
      <c r="V10" s="3458" t="s">
        <v>3504</v>
      </c>
      <c r="W10" s="3458">
        <v>0</v>
      </c>
      <c r="X10" s="3458">
        <v>0</v>
      </c>
      <c r="Y10" s="3458">
        <v>0</v>
      </c>
      <c r="Z10" s="3458">
        <v>0</v>
      </c>
      <c r="AA10" s="3459">
        <v>43431.000497685185</v>
      </c>
      <c r="AB10" s="3459">
        <v>43451.000497685185</v>
      </c>
      <c r="AC10" s="3459">
        <v>43476.000497685185</v>
      </c>
      <c r="AD10" s="3459">
        <v>43476.000497685185</v>
      </c>
      <c r="AE10" s="3458" t="s">
        <v>3571</v>
      </c>
      <c r="AF10" s="3458" t="s">
        <v>3506</v>
      </c>
      <c r="AG10" s="3458" t="s">
        <v>3572</v>
      </c>
      <c r="AH10" s="3458" t="s">
        <v>3504</v>
      </c>
      <c r="AI10" s="3458" t="s">
        <v>3504</v>
      </c>
      <c r="AJ10" s="3458">
        <v>3271.5</v>
      </c>
      <c r="AK10" s="3458">
        <v>654</v>
      </c>
      <c r="AL10" s="3458" t="s">
        <v>633</v>
      </c>
      <c r="AM10" s="3458">
        <v>3271.5</v>
      </c>
      <c r="AN10" s="3458">
        <v>1635.75</v>
      </c>
      <c r="AO10" s="3458">
        <v>1635.75</v>
      </c>
      <c r="AP10" s="3458">
        <v>109.05</v>
      </c>
      <c r="AQ10" s="3458">
        <v>109.05</v>
      </c>
      <c r="AR10" s="3458">
        <v>1363</v>
      </c>
      <c r="AS10" s="3458">
        <v>1363</v>
      </c>
      <c r="AT10" s="3458" t="s">
        <v>3504</v>
      </c>
      <c r="AU10" s="3458" t="s">
        <v>3504</v>
      </c>
      <c r="AV10" s="3458">
        <v>0</v>
      </c>
      <c r="AW10" s="3458" t="s">
        <v>3509</v>
      </c>
      <c r="AX10" s="3458" t="s">
        <v>3503</v>
      </c>
      <c r="AY10" s="3458" t="s">
        <v>3504</v>
      </c>
      <c r="AZ10" s="3458" t="s">
        <v>3503</v>
      </c>
      <c r="BA10" s="3458" t="s">
        <v>3504</v>
      </c>
      <c r="BB10" s="3458" t="s">
        <v>3504</v>
      </c>
      <c r="BC10" s="3458" t="s">
        <v>3504</v>
      </c>
      <c r="BD10" s="3458" t="s">
        <v>3504</v>
      </c>
      <c r="BE10" s="3458" t="s">
        <v>3545</v>
      </c>
    </row>
    <row r="11" spans="1:60">
      <c r="A11" s="3458" t="s">
        <v>3573</v>
      </c>
      <c r="B11" s="3458" t="s">
        <v>3392</v>
      </c>
      <c r="C11" s="3458" t="s">
        <v>3574</v>
      </c>
      <c r="D11" s="3458" t="s">
        <v>3495</v>
      </c>
      <c r="E11" s="3458" t="s">
        <v>3496</v>
      </c>
      <c r="F11" s="3458" t="s">
        <v>3504</v>
      </c>
      <c r="G11" s="3458" t="s">
        <v>3569</v>
      </c>
      <c r="H11" s="3458" t="s">
        <v>3499</v>
      </c>
      <c r="I11" s="3458">
        <v>38375</v>
      </c>
      <c r="J11" s="3458">
        <v>46050</v>
      </c>
      <c r="K11" s="3458">
        <v>1.2</v>
      </c>
      <c r="L11" s="3458">
        <v>1.2</v>
      </c>
      <c r="M11" s="3458" t="s">
        <v>3500</v>
      </c>
      <c r="N11" s="3458" t="s">
        <v>3570</v>
      </c>
      <c r="O11" s="3458" t="s">
        <v>3502</v>
      </c>
      <c r="P11" s="3458" t="s">
        <v>3503</v>
      </c>
      <c r="Q11" s="3458" t="s">
        <v>3504</v>
      </c>
      <c r="R11" s="3458" t="s">
        <v>3504</v>
      </c>
      <c r="S11" s="3458" t="s">
        <v>3504</v>
      </c>
      <c r="T11" s="3458" t="s">
        <v>3504</v>
      </c>
      <c r="U11" s="3458" t="s">
        <v>3504</v>
      </c>
      <c r="V11" s="3458" t="s">
        <v>3504</v>
      </c>
      <c r="W11" s="3458">
        <v>0</v>
      </c>
      <c r="X11" s="3458">
        <v>0</v>
      </c>
      <c r="Y11" s="3458">
        <v>0</v>
      </c>
      <c r="Z11" s="3458">
        <v>0</v>
      </c>
      <c r="AA11" s="3459">
        <v>43431.000497685185</v>
      </c>
      <c r="AB11" s="3459">
        <v>43451.000497685185</v>
      </c>
      <c r="AC11" s="3459">
        <v>43469.000497685185</v>
      </c>
      <c r="AD11" s="3459">
        <v>43469.000497685185</v>
      </c>
      <c r="AE11" s="3458" t="s">
        <v>3575</v>
      </c>
      <c r="AF11" s="3458" t="s">
        <v>3506</v>
      </c>
      <c r="AG11" s="3458" t="s">
        <v>3576</v>
      </c>
      <c r="AH11" s="3458" t="s">
        <v>3504</v>
      </c>
      <c r="AI11" s="3458" t="s">
        <v>3504</v>
      </c>
      <c r="AJ11" s="3458">
        <v>10703.66</v>
      </c>
      <c r="AK11" s="3458">
        <v>2141</v>
      </c>
      <c r="AL11" s="3458" t="s">
        <v>633</v>
      </c>
      <c r="AM11" s="3458">
        <v>10703.66</v>
      </c>
      <c r="AN11" s="3458">
        <v>2789.22</v>
      </c>
      <c r="AO11" s="3458">
        <v>2789.22</v>
      </c>
      <c r="AP11" s="3458">
        <v>185.95</v>
      </c>
      <c r="AQ11" s="3458">
        <v>185.95</v>
      </c>
      <c r="AR11" s="3458">
        <v>2324</v>
      </c>
      <c r="AS11" s="3458">
        <v>2324</v>
      </c>
      <c r="AT11" s="3458" t="s">
        <v>3504</v>
      </c>
      <c r="AU11" s="3458" t="s">
        <v>3504</v>
      </c>
      <c r="AV11" s="3458">
        <v>0</v>
      </c>
      <c r="AW11" s="3458" t="s">
        <v>3509</v>
      </c>
      <c r="AX11" s="3458" t="s">
        <v>3503</v>
      </c>
      <c r="AY11" s="3458" t="s">
        <v>3504</v>
      </c>
      <c r="AZ11" s="3458" t="s">
        <v>3503</v>
      </c>
      <c r="BA11" s="3458" t="s">
        <v>3504</v>
      </c>
      <c r="BB11" s="3458" t="s">
        <v>3504</v>
      </c>
      <c r="BC11" s="3458" t="s">
        <v>3504</v>
      </c>
      <c r="BD11" s="3458" t="s">
        <v>3504</v>
      </c>
      <c r="BE11" s="3458" t="s">
        <v>3545</v>
      </c>
    </row>
    <row r="12" spans="1:60">
      <c r="A12" s="3458" t="s">
        <v>3577</v>
      </c>
      <c r="B12" s="3458" t="s">
        <v>3392</v>
      </c>
      <c r="C12" s="3458" t="s">
        <v>3578</v>
      </c>
      <c r="D12" s="3458" t="s">
        <v>3495</v>
      </c>
      <c r="E12" s="3458" t="s">
        <v>3496</v>
      </c>
      <c r="F12" s="3458" t="s">
        <v>3504</v>
      </c>
      <c r="G12" s="3458" t="s">
        <v>3556</v>
      </c>
      <c r="H12" s="3458" t="s">
        <v>3499</v>
      </c>
      <c r="I12" s="3458">
        <v>55333.599999999999</v>
      </c>
      <c r="J12" s="3458">
        <v>66400</v>
      </c>
      <c r="K12" s="3458" t="s">
        <v>3557</v>
      </c>
      <c r="L12" s="3458">
        <v>1.2</v>
      </c>
      <c r="M12" s="3458" t="s">
        <v>3500</v>
      </c>
      <c r="N12" s="3458" t="s">
        <v>3570</v>
      </c>
      <c r="O12" s="3458" t="s">
        <v>3502</v>
      </c>
      <c r="P12" s="3458" t="s">
        <v>3503</v>
      </c>
      <c r="Q12" s="3458" t="s">
        <v>3504</v>
      </c>
      <c r="R12" s="3458" t="s">
        <v>3504</v>
      </c>
      <c r="S12" s="3458" t="s">
        <v>3504</v>
      </c>
      <c r="T12" s="3458" t="s">
        <v>3504</v>
      </c>
      <c r="U12" s="3458" t="s">
        <v>3504</v>
      </c>
      <c r="V12" s="3458" t="s">
        <v>3504</v>
      </c>
      <c r="W12" s="3458">
        <v>0</v>
      </c>
      <c r="X12" s="3458">
        <v>0</v>
      </c>
      <c r="Y12" s="3458">
        <v>0</v>
      </c>
      <c r="Z12" s="3458">
        <v>0</v>
      </c>
      <c r="AA12" s="3459">
        <v>42786.000497685185</v>
      </c>
      <c r="AB12" s="3459">
        <v>42807.000497685185</v>
      </c>
      <c r="AC12" s="3459">
        <v>42817.000497685185</v>
      </c>
      <c r="AD12" s="3459">
        <v>42817.000497685185</v>
      </c>
      <c r="AE12" s="3458" t="s">
        <v>3579</v>
      </c>
      <c r="AF12" s="3458" t="s">
        <v>3506</v>
      </c>
      <c r="AG12" s="3458" t="s">
        <v>3580</v>
      </c>
      <c r="AH12" s="3458" t="s">
        <v>3504</v>
      </c>
      <c r="AI12" s="3458" t="s">
        <v>3504</v>
      </c>
      <c r="AJ12" s="3458">
        <v>9634</v>
      </c>
      <c r="AK12" s="3458">
        <v>2000</v>
      </c>
      <c r="AL12" s="3458" t="s">
        <v>633</v>
      </c>
      <c r="AM12" s="3458">
        <v>9634</v>
      </c>
      <c r="AN12" s="3458">
        <v>1741.07</v>
      </c>
      <c r="AO12" s="3458">
        <v>1741.07</v>
      </c>
      <c r="AP12" s="3458">
        <v>116.07</v>
      </c>
      <c r="AQ12" s="3458">
        <v>116.07</v>
      </c>
      <c r="AR12" s="3458">
        <v>1451</v>
      </c>
      <c r="AS12" s="3458">
        <v>1451</v>
      </c>
      <c r="AT12" s="3458" t="s">
        <v>3504</v>
      </c>
      <c r="AU12" s="3458" t="s">
        <v>3504</v>
      </c>
      <c r="AV12" s="3458">
        <v>0</v>
      </c>
      <c r="AW12" s="3458" t="s">
        <v>3581</v>
      </c>
      <c r="AX12" s="3458" t="s">
        <v>3503</v>
      </c>
      <c r="AY12" s="3458" t="s">
        <v>3504</v>
      </c>
      <c r="AZ12" s="3458" t="s">
        <v>3503</v>
      </c>
      <c r="BA12" s="3458" t="s">
        <v>3504</v>
      </c>
      <c r="BB12" s="3458" t="s">
        <v>3504</v>
      </c>
      <c r="BC12" s="3458" t="s">
        <v>3504</v>
      </c>
      <c r="BD12" s="3458" t="s">
        <v>3504</v>
      </c>
      <c r="BE12" s="3458" t="s">
        <v>3545</v>
      </c>
    </row>
    <row r="13" spans="1:60">
      <c r="A13" s="3458" t="s">
        <v>3582</v>
      </c>
      <c r="B13" s="3458" t="s">
        <v>3392</v>
      </c>
      <c r="C13" s="3458" t="s">
        <v>3583</v>
      </c>
      <c r="D13" s="3458" t="s">
        <v>3495</v>
      </c>
      <c r="E13" s="3458" t="s">
        <v>3496</v>
      </c>
      <c r="F13" s="3458" t="s">
        <v>3504</v>
      </c>
      <c r="G13" s="3458" t="s">
        <v>3584</v>
      </c>
      <c r="H13" s="3458" t="s">
        <v>3499</v>
      </c>
      <c r="I13" s="3458">
        <v>57769</v>
      </c>
      <c r="J13" s="3458">
        <v>57769</v>
      </c>
      <c r="K13" s="3458" t="s">
        <v>3541</v>
      </c>
      <c r="L13" s="3458">
        <v>1</v>
      </c>
      <c r="M13" s="3458" t="s">
        <v>3500</v>
      </c>
      <c r="N13" s="3458" t="s">
        <v>3525</v>
      </c>
      <c r="O13" s="3458" t="s">
        <v>3502</v>
      </c>
      <c r="P13" s="3458" t="s">
        <v>3503</v>
      </c>
      <c r="Q13" s="3458" t="s">
        <v>3504</v>
      </c>
      <c r="R13" s="3458" t="s">
        <v>3504</v>
      </c>
      <c r="S13" s="3458" t="s">
        <v>3504</v>
      </c>
      <c r="T13" s="3458" t="s">
        <v>3504</v>
      </c>
      <c r="U13" s="3458" t="s">
        <v>3504</v>
      </c>
      <c r="V13" s="3458" t="s">
        <v>3504</v>
      </c>
      <c r="W13" s="3458">
        <v>0</v>
      </c>
      <c r="X13" s="3458">
        <v>0</v>
      </c>
      <c r="Y13" s="3458">
        <v>0</v>
      </c>
      <c r="Z13" s="3458">
        <v>0</v>
      </c>
      <c r="AA13" s="3459">
        <v>42667.000497685185</v>
      </c>
      <c r="AB13" s="3459">
        <v>42688.000497685185</v>
      </c>
      <c r="AC13" s="3459">
        <v>42698.000497685185</v>
      </c>
      <c r="AD13" s="3459">
        <v>42698.000497685185</v>
      </c>
      <c r="AE13" s="3458" t="s">
        <v>3585</v>
      </c>
      <c r="AF13" s="3458" t="s">
        <v>3506</v>
      </c>
      <c r="AG13" s="3458" t="s">
        <v>3586</v>
      </c>
      <c r="AH13" s="3458" t="s">
        <v>3504</v>
      </c>
      <c r="AI13" s="3458" t="s">
        <v>3504</v>
      </c>
      <c r="AJ13" s="3458">
        <v>7505</v>
      </c>
      <c r="AK13" s="3458">
        <v>1510</v>
      </c>
      <c r="AL13" s="3458" t="s">
        <v>633</v>
      </c>
      <c r="AM13" s="3458">
        <v>7505</v>
      </c>
      <c r="AN13" s="3458">
        <v>1299.1300000000001</v>
      </c>
      <c r="AO13" s="3458">
        <v>1299.1300000000001</v>
      </c>
      <c r="AP13" s="3458">
        <v>86.61</v>
      </c>
      <c r="AQ13" s="3458">
        <v>86.61</v>
      </c>
      <c r="AR13" s="3458">
        <v>1299</v>
      </c>
      <c r="AS13" s="3458">
        <v>1299</v>
      </c>
      <c r="AT13" s="3458" t="s">
        <v>3504</v>
      </c>
      <c r="AU13" s="3458" t="s">
        <v>3504</v>
      </c>
      <c r="AV13" s="3458">
        <v>0</v>
      </c>
      <c r="AW13" s="3458" t="s">
        <v>3581</v>
      </c>
      <c r="AX13" s="3458" t="s">
        <v>3503</v>
      </c>
      <c r="AY13" s="3458" t="s">
        <v>3504</v>
      </c>
      <c r="AZ13" s="3458" t="s">
        <v>3503</v>
      </c>
      <c r="BA13" s="3458" t="s">
        <v>3504</v>
      </c>
      <c r="BB13" s="3458" t="s">
        <v>3504</v>
      </c>
      <c r="BC13" s="3458" t="s">
        <v>3504</v>
      </c>
      <c r="BD13" s="3458" t="s">
        <v>3504</v>
      </c>
      <c r="BE13" s="3458" t="s">
        <v>3545</v>
      </c>
    </row>
    <row r="14" spans="1:60">
      <c r="A14" s="3458" t="s">
        <v>3587</v>
      </c>
      <c r="B14" s="3458" t="s">
        <v>3392</v>
      </c>
      <c r="C14" s="3458" t="s">
        <v>3588</v>
      </c>
      <c r="D14" s="3458" t="s">
        <v>3495</v>
      </c>
      <c r="E14" s="3458" t="s">
        <v>3496</v>
      </c>
      <c r="F14" s="3458" t="s">
        <v>3504</v>
      </c>
      <c r="G14" s="3458" t="s">
        <v>3589</v>
      </c>
      <c r="H14" s="3458" t="s">
        <v>3499</v>
      </c>
      <c r="I14" s="3458">
        <v>32779.72</v>
      </c>
      <c r="J14" s="3458">
        <v>39335.660000000003</v>
      </c>
      <c r="K14" s="3458" t="s">
        <v>3557</v>
      </c>
      <c r="L14" s="3458">
        <v>1.2</v>
      </c>
      <c r="M14" s="3458" t="s">
        <v>3500</v>
      </c>
      <c r="N14" s="3458" t="s">
        <v>3525</v>
      </c>
      <c r="O14" s="3458" t="s">
        <v>3502</v>
      </c>
      <c r="P14" s="3458" t="s">
        <v>3503</v>
      </c>
      <c r="Q14" s="3458" t="s">
        <v>3504</v>
      </c>
      <c r="R14" s="3458" t="s">
        <v>3504</v>
      </c>
      <c r="S14" s="3458" t="s">
        <v>3504</v>
      </c>
      <c r="T14" s="3458" t="s">
        <v>3504</v>
      </c>
      <c r="U14" s="3458" t="s">
        <v>3504</v>
      </c>
      <c r="V14" s="3458" t="s">
        <v>3504</v>
      </c>
      <c r="W14" s="3458">
        <v>0</v>
      </c>
      <c r="X14" s="3458">
        <v>0</v>
      </c>
      <c r="Y14" s="3458">
        <v>0</v>
      </c>
      <c r="Z14" s="3458">
        <v>0</v>
      </c>
      <c r="AA14" s="3459">
        <v>42667.000497685185</v>
      </c>
      <c r="AB14" s="3459">
        <v>42688.000497685185</v>
      </c>
      <c r="AC14" s="3459">
        <v>42698.000497685185</v>
      </c>
      <c r="AD14" s="3459">
        <v>42698.000497685185</v>
      </c>
      <c r="AE14" s="3458" t="s">
        <v>3590</v>
      </c>
      <c r="AF14" s="3458" t="s">
        <v>3506</v>
      </c>
      <c r="AG14" s="3458" t="s">
        <v>3591</v>
      </c>
      <c r="AH14" s="3458" t="s">
        <v>3504</v>
      </c>
      <c r="AI14" s="3458" t="s">
        <v>3504</v>
      </c>
      <c r="AJ14" s="3458">
        <v>4456</v>
      </c>
      <c r="AK14" s="3458">
        <v>900</v>
      </c>
      <c r="AL14" s="3458" t="s">
        <v>633</v>
      </c>
      <c r="AM14" s="3458">
        <v>4456</v>
      </c>
      <c r="AN14" s="3458">
        <v>1359.37</v>
      </c>
      <c r="AO14" s="3458">
        <v>1359.37</v>
      </c>
      <c r="AP14" s="3458">
        <v>90.63</v>
      </c>
      <c r="AQ14" s="3458">
        <v>90.63</v>
      </c>
      <c r="AR14" s="3458">
        <v>1133</v>
      </c>
      <c r="AS14" s="3458">
        <v>1133</v>
      </c>
      <c r="AT14" s="3458" t="s">
        <v>3504</v>
      </c>
      <c r="AU14" s="3458" t="s">
        <v>3504</v>
      </c>
      <c r="AV14" s="3458">
        <v>0</v>
      </c>
      <c r="AW14" s="3458" t="s">
        <v>3581</v>
      </c>
      <c r="AX14" s="3458" t="s">
        <v>3503</v>
      </c>
      <c r="AY14" s="3458" t="s">
        <v>3504</v>
      </c>
      <c r="AZ14" s="3458" t="s">
        <v>3503</v>
      </c>
      <c r="BA14" s="3458" t="s">
        <v>3504</v>
      </c>
      <c r="BB14" s="3458" t="s">
        <v>3504</v>
      </c>
      <c r="BC14" s="3458" t="s">
        <v>3504</v>
      </c>
      <c r="BD14" s="3458" t="s">
        <v>3504</v>
      </c>
      <c r="BE14" s="3458" t="s">
        <v>3545</v>
      </c>
    </row>
    <row r="15" spans="1:60">
      <c r="A15" s="3458" t="s">
        <v>3592</v>
      </c>
      <c r="B15" s="3458" t="s">
        <v>3392</v>
      </c>
      <c r="C15" s="3458" t="s">
        <v>3593</v>
      </c>
      <c r="D15" s="3458" t="s">
        <v>3495</v>
      </c>
      <c r="E15" s="3458" t="s">
        <v>3496</v>
      </c>
      <c r="F15" s="3458" t="s">
        <v>3504</v>
      </c>
      <c r="G15" s="3458" t="s">
        <v>3556</v>
      </c>
      <c r="H15" s="3458" t="s">
        <v>3499</v>
      </c>
      <c r="I15" s="3458">
        <v>31995.71</v>
      </c>
      <c r="J15" s="3458">
        <v>38394.85</v>
      </c>
      <c r="K15" s="3458" t="s">
        <v>3557</v>
      </c>
      <c r="L15" s="3458">
        <v>1.2</v>
      </c>
      <c r="M15" s="3458" t="s">
        <v>3500</v>
      </c>
      <c r="N15" s="3458" t="s">
        <v>3570</v>
      </c>
      <c r="O15" s="3458" t="s">
        <v>3502</v>
      </c>
      <c r="P15" s="3458" t="s">
        <v>3503</v>
      </c>
      <c r="Q15" s="3458" t="s">
        <v>3504</v>
      </c>
      <c r="R15" s="3458" t="s">
        <v>3504</v>
      </c>
      <c r="S15" s="3458" t="s">
        <v>3504</v>
      </c>
      <c r="T15" s="3458" t="s">
        <v>3504</v>
      </c>
      <c r="U15" s="3458" t="s">
        <v>3504</v>
      </c>
      <c r="V15" s="3458" t="s">
        <v>3504</v>
      </c>
      <c r="W15" s="3458">
        <v>0</v>
      </c>
      <c r="X15" s="3458">
        <v>0</v>
      </c>
      <c r="Y15" s="3458">
        <v>0</v>
      </c>
      <c r="Z15" s="3458">
        <v>0</v>
      </c>
      <c r="AA15" s="3459">
        <v>42360.000497685185</v>
      </c>
      <c r="AB15" s="3459">
        <v>42380.000497685185</v>
      </c>
      <c r="AC15" s="3459">
        <v>42397.000497685185</v>
      </c>
      <c r="AD15" s="3459">
        <v>42397.000497685185</v>
      </c>
      <c r="AE15" s="3458" t="s">
        <v>3594</v>
      </c>
      <c r="AF15" s="3458" t="s">
        <v>3506</v>
      </c>
      <c r="AG15" s="3458" t="s">
        <v>3595</v>
      </c>
      <c r="AH15" s="3458" t="s">
        <v>3504</v>
      </c>
      <c r="AI15" s="3458" t="s">
        <v>3504</v>
      </c>
      <c r="AJ15" s="3458">
        <v>4151</v>
      </c>
      <c r="AK15" s="3458">
        <v>900</v>
      </c>
      <c r="AL15" s="3458" t="s">
        <v>633</v>
      </c>
      <c r="AM15" s="3458">
        <v>4151</v>
      </c>
      <c r="AN15" s="3458">
        <v>1297.3599999999999</v>
      </c>
      <c r="AO15" s="3458">
        <v>1297.3599999999999</v>
      </c>
      <c r="AP15" s="3458">
        <v>86.49</v>
      </c>
      <c r="AQ15" s="3458">
        <v>86.49</v>
      </c>
      <c r="AR15" s="3458">
        <v>1081</v>
      </c>
      <c r="AS15" s="3458">
        <v>1081</v>
      </c>
      <c r="AT15" s="3458" t="s">
        <v>3504</v>
      </c>
      <c r="AU15" s="3458" t="s">
        <v>3504</v>
      </c>
      <c r="AV15" s="3458">
        <v>0</v>
      </c>
      <c r="AW15" s="3458" t="s">
        <v>3581</v>
      </c>
      <c r="AX15" s="3458" t="s">
        <v>3503</v>
      </c>
      <c r="AY15" s="3458" t="s">
        <v>3504</v>
      </c>
      <c r="AZ15" s="3458" t="s">
        <v>3503</v>
      </c>
      <c r="BA15" s="3458" t="s">
        <v>3504</v>
      </c>
      <c r="BB15" s="3458" t="s">
        <v>3504</v>
      </c>
      <c r="BC15" s="3458" t="s">
        <v>3504</v>
      </c>
      <c r="BD15" s="3458" t="s">
        <v>3504</v>
      </c>
      <c r="BE15" s="3458" t="s">
        <v>3545</v>
      </c>
    </row>
    <row r="16" spans="1:60">
      <c r="A16" s="3458" t="s">
        <v>3596</v>
      </c>
      <c r="B16" s="3458" t="s">
        <v>3392</v>
      </c>
      <c r="C16" s="3458" t="s">
        <v>3597</v>
      </c>
      <c r="D16" s="3458" t="s">
        <v>3495</v>
      </c>
      <c r="E16" s="3458" t="s">
        <v>3496</v>
      </c>
      <c r="F16" s="3458" t="s">
        <v>3504</v>
      </c>
      <c r="G16" s="3458" t="s">
        <v>3598</v>
      </c>
      <c r="H16" s="3458" t="s">
        <v>3499</v>
      </c>
      <c r="I16" s="3458">
        <v>49749.07</v>
      </c>
      <c r="J16" s="3458">
        <v>49749.07</v>
      </c>
      <c r="K16" s="3458" t="s">
        <v>3541</v>
      </c>
      <c r="L16" s="3458">
        <v>1</v>
      </c>
      <c r="M16" s="3458" t="s">
        <v>3500</v>
      </c>
      <c r="N16" s="3458" t="s">
        <v>3570</v>
      </c>
      <c r="O16" s="3458" t="s">
        <v>3502</v>
      </c>
      <c r="P16" s="3458" t="s">
        <v>3503</v>
      </c>
      <c r="Q16" s="3458" t="s">
        <v>3504</v>
      </c>
      <c r="R16" s="3458" t="s">
        <v>3504</v>
      </c>
      <c r="S16" s="3458" t="s">
        <v>3504</v>
      </c>
      <c r="T16" s="3458" t="s">
        <v>3504</v>
      </c>
      <c r="U16" s="3458" t="s">
        <v>3504</v>
      </c>
      <c r="V16" s="3458" t="s">
        <v>3504</v>
      </c>
      <c r="W16" s="3458">
        <v>0</v>
      </c>
      <c r="X16" s="3458">
        <v>0</v>
      </c>
      <c r="Y16" s="3458">
        <v>0</v>
      </c>
      <c r="Z16" s="3458">
        <v>0</v>
      </c>
      <c r="AA16" s="3459">
        <v>42360.000497685185</v>
      </c>
      <c r="AB16" s="3459">
        <v>42380.000497685185</v>
      </c>
      <c r="AC16" s="3459">
        <v>42394.000497685185</v>
      </c>
      <c r="AD16" s="3459">
        <v>42394.000497685185</v>
      </c>
      <c r="AE16" s="3458" t="s">
        <v>3599</v>
      </c>
      <c r="AF16" s="3458" t="s">
        <v>3506</v>
      </c>
      <c r="AG16" s="3458" t="s">
        <v>3600</v>
      </c>
      <c r="AH16" s="3458" t="s">
        <v>3504</v>
      </c>
      <c r="AI16" s="3458" t="s">
        <v>3504</v>
      </c>
      <c r="AJ16" s="3458">
        <v>6156</v>
      </c>
      <c r="AK16" s="3458">
        <v>1300</v>
      </c>
      <c r="AL16" s="3458" t="s">
        <v>633</v>
      </c>
      <c r="AM16" s="3458">
        <v>6156</v>
      </c>
      <c r="AN16" s="3458">
        <v>1237.4100000000001</v>
      </c>
      <c r="AO16" s="3458">
        <v>1237.4100000000001</v>
      </c>
      <c r="AP16" s="3458">
        <v>82.49</v>
      </c>
      <c r="AQ16" s="3458">
        <v>82.49</v>
      </c>
      <c r="AR16" s="3458">
        <v>1237</v>
      </c>
      <c r="AS16" s="3458">
        <v>1237</v>
      </c>
      <c r="AT16" s="3458" t="s">
        <v>3504</v>
      </c>
      <c r="AU16" s="3458" t="s">
        <v>3504</v>
      </c>
      <c r="AV16" s="3458">
        <v>0</v>
      </c>
      <c r="AW16" s="3458" t="s">
        <v>3581</v>
      </c>
      <c r="AX16" s="3458" t="s">
        <v>3503</v>
      </c>
      <c r="AY16" s="3458" t="s">
        <v>3504</v>
      </c>
      <c r="AZ16" s="3458" t="s">
        <v>3503</v>
      </c>
      <c r="BA16" s="3458" t="s">
        <v>3504</v>
      </c>
      <c r="BB16" s="3458" t="s">
        <v>3504</v>
      </c>
      <c r="BC16" s="3458" t="s">
        <v>3504</v>
      </c>
      <c r="BD16" s="3458" t="s">
        <v>3504</v>
      </c>
      <c r="BE16" s="3458" t="s">
        <v>3545</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2" zoomScaleNormal="70" zoomScaleSheetLayoutView="100" workbookViewId="0">
      <selection activeCell="C51" sqref="C5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12922.829599999999</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4766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56984248.82</v>
      </c>
      <c r="D5" s="211" t="s">
        <v>1469</v>
      </c>
      <c r="E5" s="212" t="s">
        <v>1470</v>
      </c>
      <c r="F5" s="212" t="s">
        <v>1471</v>
      </c>
      <c r="G5" s="213"/>
    </row>
    <row r="6" spans="1:8" s="214" customFormat="1" ht="13.5" customHeight="1">
      <c r="A6" s="778" t="s">
        <v>1472</v>
      </c>
      <c r="B6" s="215" t="s">
        <v>1473</v>
      </c>
      <c r="C6" s="216">
        <f>基准地价修正!C33*基准地价修正!D33</f>
        <v>50298630.82</v>
      </c>
      <c r="D6" s="217"/>
      <c r="E6" s="218"/>
      <c r="F6" s="218"/>
      <c r="G6" s="219"/>
    </row>
    <row r="7" spans="1:8" s="214" customFormat="1" ht="13.5" customHeight="1">
      <c r="A7" s="778" t="s">
        <v>1474</v>
      </c>
      <c r="B7" s="215" t="s">
        <v>1475</v>
      </c>
      <c r="C7" s="220">
        <f>ROUND(C6*F7,0)</f>
        <v>1534108</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5151510</v>
      </c>
      <c r="D8" s="222"/>
      <c r="E8" s="220"/>
      <c r="F8" s="221"/>
      <c r="G8" s="1855" t="s">
        <v>3380</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5151510</v>
      </c>
      <c r="D10" s="845">
        <f ca="1">IF(B1="",'数据-汇总表'!E6,IF(INDIRECT("'数据-取费表'!c"&amp;$G$1)="住宅",INDIRECT("'数据-取费表'!s"&amp;$G$1),INDIRECT("'数据-取费表'!k"&amp;$G$1)+INDIRECT("'数据-取费表'!s"&amp;$G$1)))</f>
        <v>27113.21</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27113.21</v>
      </c>
      <c r="E19" s="211">
        <f>'数据-取费表'!B31</f>
        <v>200</v>
      </c>
      <c r="F19" s="231"/>
      <c r="G19" s="1855" t="s">
        <v>3382</v>
      </c>
    </row>
    <row r="20" spans="1:7" s="214" customFormat="1" ht="13.5" customHeight="1">
      <c r="A20" s="255" t="s">
        <v>1574</v>
      </c>
      <c r="B20" s="210" t="s">
        <v>1575</v>
      </c>
      <c r="C20" s="232">
        <f ca="1">ROUND((C5+C19)*F20,0)</f>
        <v>1139685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1985617</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1965957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19660</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2906197</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2906197</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68029524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63505916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55582081</v>
      </c>
      <c r="D34" s="217"/>
      <c r="E34" s="220"/>
      <c r="F34" s="257"/>
      <c r="G34" s="219"/>
    </row>
    <row r="35" spans="1:7" ht="13.5" customHeight="1">
      <c r="A35" s="780" t="s">
        <v>351</v>
      </c>
      <c r="B35" s="215" t="s">
        <v>1527</v>
      </c>
      <c r="C35" s="220">
        <f ca="1">ROUND(C34*F35,0)</f>
        <v>1667462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5422642</v>
      </c>
      <c r="D37" s="217">
        <f ca="1">D19</f>
        <v>27113.21</v>
      </c>
      <c r="E37" s="249">
        <f>'数据-取费表'!B35</f>
        <v>200</v>
      </c>
      <c r="F37" s="259"/>
      <c r="G37" s="261"/>
    </row>
    <row r="38" spans="1:7" ht="13.5" customHeight="1">
      <c r="A38" s="780" t="s">
        <v>354</v>
      </c>
      <c r="B38" s="215" t="s">
        <v>1533</v>
      </c>
      <c r="C38" s="220">
        <f ca="1">ROUND(C34*F38,0)</f>
        <v>833731</v>
      </c>
      <c r="D38" s="220"/>
      <c r="E38" s="220"/>
      <c r="F38" s="259">
        <f>'数据-取费表'!B36</f>
        <v>1.4999999999999999E-2</v>
      </c>
      <c r="G38" s="219" t="s">
        <v>1528</v>
      </c>
    </row>
    <row r="39" spans="1:7" s="214" customFormat="1" ht="13.5" customHeight="1">
      <c r="A39" s="255" t="s">
        <v>1534</v>
      </c>
      <c r="B39" s="210" t="s">
        <v>1535</v>
      </c>
      <c r="C39" s="232">
        <f ca="1">ROUND(C33*F20,0)</f>
        <v>1270118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1117387</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1095477</v>
      </c>
      <c r="D42" s="238"/>
      <c r="E42" s="238"/>
      <c r="F42" s="239"/>
      <c r="G42" s="3690" t="s">
        <v>1591</v>
      </c>
    </row>
    <row r="43" spans="1:7" ht="13.5" customHeight="1">
      <c r="A43" s="780" t="s">
        <v>347</v>
      </c>
      <c r="B43" s="215" t="s">
        <v>1545</v>
      </c>
      <c r="C43" s="238">
        <f ca="1">ROUND(IF('数据-取费表'!B22&lt;=1,C39*F22*'数据-取费表'!B20/2,C39*(POWER((1+F22),'数据-取费表'!B20/2)-1)),0)</f>
        <v>21910</v>
      </c>
      <c r="D43" s="238"/>
      <c r="E43" s="238"/>
      <c r="F43" s="239"/>
      <c r="G43" s="3691"/>
    </row>
    <row r="44" spans="1:7" ht="13.5" customHeight="1">
      <c r="A44" s="780" t="s">
        <v>348</v>
      </c>
      <c r="B44" s="215" t="s">
        <v>1546</v>
      </c>
      <c r="C44" s="238">
        <f ca="1">ROUND(IF('数据-取费表'!B22&lt;=1,C40*F22*'数据-取费表'!B20/2,C40*(POWER((1+F22),'数据-取费表'!B20/2)-1)),4)</f>
        <v>2.9999999999999997E-4</v>
      </c>
      <c r="D44" s="238"/>
      <c r="E44" s="238"/>
      <c r="F44" s="239"/>
      <c r="G44" s="3692"/>
    </row>
    <row r="45" spans="1:7" s="214" customFormat="1" ht="13.5" customHeight="1">
      <c r="A45" s="255" t="s">
        <v>1547</v>
      </c>
      <c r="B45" s="244" t="s">
        <v>1513</v>
      </c>
      <c r="C45" s="245">
        <f ca="1">C46</f>
        <v>3238802</v>
      </c>
      <c r="D45" s="235">
        <f ca="1">C47</f>
        <v>1E-3</v>
      </c>
      <c r="E45" s="236" t="s">
        <v>1539</v>
      </c>
      <c r="F45" s="246">
        <f ca="1">F27</f>
        <v>0.05</v>
      </c>
      <c r="G45" s="247" t="s">
        <v>1548</v>
      </c>
    </row>
    <row r="46" spans="1:7" s="214" customFormat="1" ht="13.5" customHeight="1">
      <c r="A46" s="780" t="s">
        <v>346</v>
      </c>
      <c r="B46" s="248" t="s">
        <v>1549</v>
      </c>
      <c r="C46" s="249">
        <f ca="1">ROUND((C33+C39)*F27,0)</f>
        <v>3238802</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74632649</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61198772</v>
      </c>
      <c r="D51" s="232"/>
      <c r="E51" s="232"/>
      <c r="F51" s="264"/>
      <c r="G51" s="234" t="s">
        <v>1560</v>
      </c>
    </row>
    <row r="52" spans="1:7" s="208" customFormat="1" ht="16.5" thickBot="1">
      <c r="A52" s="265" t="s">
        <v>1561</v>
      </c>
      <c r="B52" s="266"/>
      <c r="C52" s="267">
        <f ca="1">C31+C51</f>
        <v>129228296</v>
      </c>
      <c r="D52" s="266"/>
      <c r="E52" s="266"/>
      <c r="F52" s="266"/>
      <c r="G52" s="268"/>
    </row>
    <row r="55" spans="1:7" ht="15">
      <c r="B55" s="270" t="s">
        <v>1562</v>
      </c>
      <c r="C55" s="271"/>
    </row>
    <row r="56" spans="1:7">
      <c r="B56" s="273" t="s">
        <v>802</v>
      </c>
      <c r="C56" s="275">
        <f ca="1">1-C57</f>
        <v>0.52600000000000002</v>
      </c>
    </row>
    <row r="57" spans="1:7">
      <c r="B57" s="273" t="s">
        <v>803</v>
      </c>
      <c r="C57" s="274">
        <f ca="1">ROUND(C51/C52,3)</f>
        <v>0.47399999999999998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27113.21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27113.21</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8"/>
      <c r="I19" s="809"/>
      <c r="J19" s="809"/>
      <c r="K19" s="810"/>
    </row>
    <row r="20" spans="1:33" s="803" customFormat="1" ht="13.5" customHeight="1">
      <c r="A20" s="800" t="s">
        <v>361</v>
      </c>
      <c r="B20" s="801" t="s">
        <v>1627</v>
      </c>
      <c r="C20" s="21">
        <f ca="1">ROUND(D20*E20/10000,0)</f>
        <v>515</v>
      </c>
      <c r="D20" s="846">
        <f ca="1">IF(C1="",'数据-汇总表'!E6,IF(INDIRECT("'数据-取费表'!c"&amp;$K$1)="住宅",INDIRECT("'数据-取费表'!s"&amp;$K$1),INDIRECT("'数据-取费表'!k"&amp;$K$1)+INDIRECT("'数据-取费表'!s"&amp;$K$1)))</f>
        <v>27113.21</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22" sqref="D2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38.869999999999997</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f ca="1">ROUND(D2/10000,4)</f>
        <v>15639.2691</v>
      </c>
      <c r="C2" s="1386" t="s">
        <v>879</v>
      </c>
      <c r="D2" s="1470">
        <f ca="1">C40+J29+L46</f>
        <v>156392691</v>
      </c>
      <c r="E2" s="1387" t="s">
        <v>880</v>
      </c>
      <c r="F2" s="1388"/>
      <c r="G2" s="2705"/>
      <c r="H2" s="2694"/>
      <c r="I2" s="2694"/>
      <c r="J2" s="2694"/>
      <c r="K2" s="2695"/>
      <c r="L2" s="2694"/>
      <c r="M2" s="2694"/>
    </row>
    <row r="3" spans="1:37" ht="18" customHeight="1" thickBot="1">
      <c r="A3" s="1389" t="s">
        <v>881</v>
      </c>
      <c r="B3" s="1390">
        <f ca="1">IF(ISERROR(D2/F43),0,ROUND(D2/F43,0))</f>
        <v>5768</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10106866</v>
      </c>
      <c r="D5" s="1363" t="s">
        <v>889</v>
      </c>
      <c r="E5" s="1071"/>
      <c r="F5" s="1072"/>
      <c r="G5" s="1383"/>
      <c r="H5" s="299">
        <v>1</v>
      </c>
      <c r="I5" s="300" t="s">
        <v>888</v>
      </c>
      <c r="J5" s="1070">
        <f ca="1">J6+J10+J12</f>
        <v>0</v>
      </c>
      <c r="K5" s="1363" t="s">
        <v>889</v>
      </c>
      <c r="L5" s="1071"/>
      <c r="M5" s="1072"/>
    </row>
    <row r="6" spans="1:37" ht="18" customHeight="1">
      <c r="A6" s="1069" t="s">
        <v>398</v>
      </c>
      <c r="B6" s="3693" t="s">
        <v>694</v>
      </c>
      <c r="C6" s="1074">
        <f ca="1">ROUND(F6*F8*F7*(1-F9),0)</f>
        <v>10094248</v>
      </c>
      <c r="D6" s="155" t="s">
        <v>2105</v>
      </c>
      <c r="E6" s="302" t="s">
        <v>696</v>
      </c>
      <c r="F6" s="303">
        <f ca="1">INDIRECT("'数据-取费表'!u"&amp;$G$1)</f>
        <v>1.2</v>
      </c>
      <c r="G6" s="1383"/>
      <c r="H6" s="1069" t="s">
        <v>398</v>
      </c>
      <c r="I6" s="3693" t="s">
        <v>694</v>
      </c>
      <c r="J6" s="301">
        <f ca="1">ROUND(M6*M8*M7*(1-M9),0)</f>
        <v>0</v>
      </c>
      <c r="K6" s="1375" t="s">
        <v>2106</v>
      </c>
      <c r="L6" s="302" t="s">
        <v>696</v>
      </c>
      <c r="M6" s="303">
        <f ca="1">INDIRECT("'数据-取费表'!z"&amp;$G$1)</f>
        <v>0</v>
      </c>
    </row>
    <row r="7" spans="1:37" ht="18" customHeight="1">
      <c r="A7" s="1073"/>
      <c r="B7" s="3694"/>
      <c r="C7" s="1075"/>
      <c r="D7" s="307"/>
      <c r="E7" s="1076" t="s">
        <v>697</v>
      </c>
      <c r="F7" s="303">
        <f ca="1">IF(INDIRECT("'数据-取费表'!ah"&amp;$G$1)="",INDIRECT("'数据-取费表'!k"&amp;$G$1),INDIRECT("'数据-取费表'!ah"&amp;$G$1))</f>
        <v>27113.21</v>
      </c>
      <c r="G7" s="1383"/>
      <c r="H7" s="304"/>
      <c r="I7" s="3694"/>
      <c r="J7" s="306"/>
      <c r="K7" s="307"/>
      <c r="L7" s="302" t="s">
        <v>697</v>
      </c>
      <c r="M7" s="303">
        <f ca="1">F7</f>
        <v>27113.21</v>
      </c>
    </row>
    <row r="8" spans="1:37" ht="18" customHeight="1">
      <c r="A8" s="304"/>
      <c r="B8" s="3694"/>
      <c r="C8" s="306"/>
      <c r="D8" s="307"/>
      <c r="E8" s="302" t="s">
        <v>698</v>
      </c>
      <c r="F8" s="303">
        <f ca="1">INDIRECT("'数据-取费表'!ai"&amp;$G$1)</f>
        <v>365</v>
      </c>
      <c r="G8" s="1383"/>
      <c r="H8" s="304"/>
      <c r="I8" s="3694"/>
      <c r="J8" s="306"/>
      <c r="K8" s="307"/>
      <c r="L8" s="302" t="s">
        <v>698</v>
      </c>
      <c r="M8" s="303">
        <f ca="1">INDIRECT("'数据-取费表'!ai"&amp;$G$1)</f>
        <v>365</v>
      </c>
    </row>
    <row r="9" spans="1:37" ht="18" customHeight="1">
      <c r="A9" s="304"/>
      <c r="B9" s="3695"/>
      <c r="C9" s="306"/>
      <c r="D9" s="307"/>
      <c r="E9" s="302" t="s">
        <v>699</v>
      </c>
      <c r="F9" s="312">
        <f ca="1">INDIRECT("'数据-取费表'!w"&amp;$G$1)</f>
        <v>0.15</v>
      </c>
      <c r="G9" s="1383"/>
      <c r="H9" s="304"/>
      <c r="I9" s="3695"/>
      <c r="J9" s="306"/>
      <c r="K9" s="307"/>
      <c r="L9" s="313" t="s">
        <v>699</v>
      </c>
      <c r="M9" s="314">
        <f ca="1">INDIRECT("'数据-取费表'!ab"&amp;$G$1)</f>
        <v>0</v>
      </c>
    </row>
    <row r="10" spans="1:37" ht="18" customHeight="1">
      <c r="A10" s="1069" t="s">
        <v>402</v>
      </c>
      <c r="B10" s="1364" t="s">
        <v>700</v>
      </c>
      <c r="C10" s="316">
        <f ca="1">ROUND(IF(F10="押一",C6/12*F11,IF(F10="押二",C6/12*2*F11,IF(F10="押三",C6/12*3*F11,C11*F11))),0)</f>
        <v>12618</v>
      </c>
      <c r="D10" s="1365" t="s">
        <v>2115</v>
      </c>
      <c r="E10" s="313" t="s">
        <v>701</v>
      </c>
      <c r="F10" s="1116" t="s">
        <v>3383</v>
      </c>
      <c r="G10" s="1383"/>
      <c r="H10" s="1069" t="s">
        <v>402</v>
      </c>
      <c r="I10" s="1364" t="s">
        <v>700</v>
      </c>
      <c r="J10" s="301">
        <f ca="1">ROUND(IF(M10="押一",J6/12*M11,IF(M10="押二",J6/12*2*M11,IF(M10="押三",J6/12*3*M11,J11*M11))),0)</f>
        <v>0</v>
      </c>
      <c r="K10" s="1376" t="s">
        <v>2117</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61198772</v>
      </c>
      <c r="D13" s="1081" t="s">
        <v>705</v>
      </c>
      <c r="E13" s="1081" t="s">
        <v>706</v>
      </c>
      <c r="F13" s="1082">
        <f ca="1">INDIRECT("'数据-取费表'!y"&amp;$G$1)</f>
        <v>0.82</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55582081</v>
      </c>
      <c r="D14" s="1344" t="s">
        <v>708</v>
      </c>
      <c r="E14" s="1341"/>
      <c r="F14" s="319"/>
      <c r="G14" s="1383"/>
      <c r="H14" s="982" t="s">
        <v>398</v>
      </c>
      <c r="I14" s="302" t="s">
        <v>709</v>
      </c>
      <c r="J14" s="21">
        <f ca="1">C29</f>
        <v>74632649</v>
      </c>
      <c r="K14" s="12"/>
      <c r="L14" s="807"/>
      <c r="M14" s="808"/>
    </row>
    <row r="15" spans="1:37" s="1396" customFormat="1" ht="18" customHeight="1" thickBot="1">
      <c r="A15" s="982" t="s">
        <v>399</v>
      </c>
      <c r="B15" s="302" t="s">
        <v>710</v>
      </c>
      <c r="C15" s="21">
        <f ca="1">ROUND(C14*F15,0)</f>
        <v>1667462</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825082</v>
      </c>
      <c r="K16" s="1087" t="s">
        <v>715</v>
      </c>
      <c r="L16" s="1088"/>
      <c r="M16" s="1072"/>
    </row>
    <row r="17" spans="1:37" s="1396" customFormat="1" ht="18" customHeight="1">
      <c r="A17" s="982" t="s">
        <v>681</v>
      </c>
      <c r="B17" s="302" t="s">
        <v>716</v>
      </c>
      <c r="C17" s="21">
        <f ca="1">ROUND(F17*(F43+INDIRECT("'数据-取费表'!S"&amp;$G$1)),0)</f>
        <v>5422642</v>
      </c>
      <c r="D17" s="302" t="s">
        <v>717</v>
      </c>
      <c r="E17" s="302" t="s">
        <v>718</v>
      </c>
      <c r="F17" s="23">
        <f>'数据-取费表'!B35</f>
        <v>200</v>
      </c>
      <c r="G17" s="1395"/>
      <c r="H17" s="982" t="s">
        <v>398</v>
      </c>
      <c r="I17" s="302" t="s">
        <v>719</v>
      </c>
      <c r="J17" s="2315">
        <f ca="1">ROUND(IF(AND(项目基本情况!B11="自然人",项目基本情况!B10="北京市"),J6*M17/(1+'数据-取费表'!C42),J18+J19+J20),0)</f>
        <v>78756</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833731</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63505916</v>
      </c>
      <c r="D19" s="131" t="s">
        <v>726</v>
      </c>
      <c r="E19" s="1359"/>
      <c r="F19" s="23"/>
      <c r="G19" s="1383"/>
      <c r="H19" s="982" t="s">
        <v>399</v>
      </c>
      <c r="I19" s="302" t="s">
        <v>727</v>
      </c>
      <c r="J19" s="21">
        <f ca="1">IF(K19="按租金收入计税",ROUND(J6*M19/(1+'数据-取费表'!C42),0),ROUND(C29*M19*0.7,0))</f>
        <v>0</v>
      </c>
      <c r="K19" s="1369" t="s">
        <v>3332</v>
      </c>
      <c r="L19" s="302" t="s">
        <v>712</v>
      </c>
      <c r="M19" s="322">
        <f>IF(K19="按租金收入计税",'数据-取费表'!B51,'数据-取费表'!B50)</f>
        <v>0.12</v>
      </c>
    </row>
    <row r="20" spans="1:37" s="1396" customFormat="1" ht="18" customHeight="1">
      <c r="A20" s="982" t="s">
        <v>402</v>
      </c>
      <c r="B20" s="302" t="s">
        <v>728</v>
      </c>
      <c r="C20" s="21">
        <f ca="1">ROUND(C19*F20,0)</f>
        <v>1270118</v>
      </c>
      <c r="D20" s="323" t="s">
        <v>729</v>
      </c>
      <c r="E20" s="302" t="s">
        <v>712</v>
      </c>
      <c r="F20" s="322">
        <f>'数据-取费表'!B37</f>
        <v>0.02</v>
      </c>
      <c r="G20" s="1395"/>
      <c r="H20" s="982" t="s">
        <v>680</v>
      </c>
      <c r="I20" s="155" t="s">
        <v>730</v>
      </c>
      <c r="J20" s="22">
        <f ca="1">ROUND(M20*M21,0)</f>
        <v>78756</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52503.79</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ROUND(J14*M22,0)</f>
        <v>746326</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1117387</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-825082</v>
      </c>
      <c r="K25" s="1095" t="s">
        <v>753</v>
      </c>
      <c r="L25" s="1096"/>
      <c r="M25" s="1097"/>
    </row>
    <row r="26" spans="1:37" ht="18" customHeight="1">
      <c r="A26" s="982" t="s">
        <v>397</v>
      </c>
      <c r="B26" s="302" t="s">
        <v>754</v>
      </c>
      <c r="C26" s="21">
        <f ca="1">ROUND((C19+C20)*F26,0)</f>
        <v>3238802</v>
      </c>
      <c r="D26" s="323"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74632649</v>
      </c>
      <c r="D29" s="1092"/>
      <c r="E29" s="1090"/>
      <c r="F29" s="1093"/>
      <c r="G29" s="1395"/>
      <c r="H29" s="334" t="s">
        <v>396</v>
      </c>
      <c r="I29" s="335" t="s">
        <v>768</v>
      </c>
      <c r="J29" s="336">
        <f ca="1">ROUND(J26/(1+F40)^F41,0)</f>
        <v>0</v>
      </c>
      <c r="K29" s="337" t="s">
        <v>769</v>
      </c>
      <c r="L29" s="338"/>
      <c r="M29" s="339">
        <f ca="1">INDIRECT("'数据-取费表'!k"&amp;$G$1)</f>
        <v>27113.21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2700323</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1761130</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2" t="s">
        <v>397</v>
      </c>
      <c r="B32" s="302" t="s">
        <v>723</v>
      </c>
      <c r="C32" s="21">
        <f ca="1">IF(项目基本情况!B11="自然人","——",ROUND(C6*F32/(1+'数据-取费表'!C42),0))</f>
        <v>528746</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1153628</v>
      </c>
      <c r="D33" s="1369" t="s">
        <v>3332</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78756</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52503.79</v>
      </c>
      <c r="G35" s="1383"/>
      <c r="H35" s="2696"/>
      <c r="I35" s="1397"/>
      <c r="J35" s="1398"/>
      <c r="K35" s="2700"/>
      <c r="L35" s="2699"/>
      <c r="M35" s="2699"/>
    </row>
    <row r="36" spans="1:18" ht="18" customHeight="1">
      <c r="A36" s="1102" t="s">
        <v>402</v>
      </c>
      <c r="B36" s="302" t="s">
        <v>738</v>
      </c>
      <c r="C36" s="21">
        <f ca="1">ROUND(C29*F36,0)</f>
        <v>746326</v>
      </c>
      <c r="D36" s="1343"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ROUND(C13*F37,0)</f>
        <v>91798</v>
      </c>
      <c r="D37" s="1343" t="s">
        <v>743</v>
      </c>
      <c r="E37" s="302" t="s">
        <v>744</v>
      </c>
      <c r="F37" s="330">
        <f ca="1">INDIRECT("'数据-取费表'!Al"&amp;$G$1)</f>
        <v>1.5E-3</v>
      </c>
      <c r="G37" s="1383"/>
      <c r="H37" s="2699"/>
      <c r="I37" s="1397"/>
      <c r="J37" s="1398"/>
      <c r="K37" s="2543"/>
      <c r="L37" s="2699"/>
      <c r="M37" s="2699"/>
    </row>
    <row r="38" spans="1:18" ht="18" customHeight="1" thickBot="1">
      <c r="A38" s="1089" t="s">
        <v>684</v>
      </c>
      <c r="B38" s="1090" t="s">
        <v>728</v>
      </c>
      <c r="C38" s="1091">
        <f ca="1">ROUND(C5*F38,0)</f>
        <v>101069</v>
      </c>
      <c r="D38" s="1092" t="s">
        <v>748</v>
      </c>
      <c r="E38" s="1090" t="s">
        <v>744</v>
      </c>
      <c r="F38" s="1086">
        <f ca="1">INDIRECT("'数据-取费表'!Am"&amp;$G$1)</f>
        <v>0.01</v>
      </c>
      <c r="G38" s="1383"/>
      <c r="H38" s="2699"/>
      <c r="I38" s="1397">
        <f ca="1">C30/C5</f>
        <v>0.26717708535959617</v>
      </c>
      <c r="J38" s="1398"/>
      <c r="K38" s="2703"/>
      <c r="L38" s="2699"/>
      <c r="M38" s="2699"/>
    </row>
    <row r="39" spans="1:18" ht="24.6" customHeight="1" thickTop="1">
      <c r="A39" s="1079" t="s">
        <v>394</v>
      </c>
      <c r="B39" s="1094" t="s">
        <v>772</v>
      </c>
      <c r="C39" s="310">
        <f ca="1">C5-C30</f>
        <v>7406543</v>
      </c>
      <c r="D39" s="1095" t="s">
        <v>773</v>
      </c>
      <c r="E39" s="1096"/>
      <c r="F39" s="1097"/>
      <c r="G39" s="1383"/>
      <c r="H39" s="2699"/>
      <c r="I39" s="1397"/>
      <c r="J39" s="1398"/>
      <c r="K39" s="2703"/>
      <c r="L39" s="2699"/>
      <c r="M39" s="2699"/>
    </row>
    <row r="40" spans="1:18" ht="18" customHeight="1">
      <c r="A40" s="299" t="s">
        <v>395</v>
      </c>
      <c r="B40" s="300" t="s">
        <v>774</v>
      </c>
      <c r="C40" s="301">
        <f ca="1">ROUND(C39*(1-((1+F42)/(1+F40))^F41)/(F40-F42),0)</f>
        <v>154597371</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38.869999999999997</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5702</v>
      </c>
      <c r="D43" s="337" t="s">
        <v>777</v>
      </c>
      <c r="E43" s="338" t="s">
        <v>778</v>
      </c>
      <c r="F43" s="339">
        <f ca="1">INDIRECT("'数据-取费表'!k"&amp;$G$1)</f>
        <v>27113.21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3348</v>
      </c>
      <c r="B45" s="1399"/>
      <c r="C45" s="1471">
        <f ca="1">ROUND((C68-C40)/10000,4)</f>
        <v>-16918.761299999998</v>
      </c>
      <c r="D45" s="3431" t="s">
        <v>3349</v>
      </c>
      <c r="E45" s="1399"/>
      <c r="F45" s="1399"/>
      <c r="O45" s="1402" t="s">
        <v>808</v>
      </c>
      <c r="P45" s="1460"/>
      <c r="Q45" s="1460"/>
      <c r="R45" s="1460"/>
    </row>
    <row r="46" spans="1:18" s="1383" customFormat="1" ht="13.5" thickBot="1">
      <c r="A46" s="1403" t="s">
        <v>809</v>
      </c>
      <c r="C46" s="1404">
        <f ca="1">ROUND(C45,0)</f>
        <v>-16919</v>
      </c>
      <c r="D46" s="1405" t="str">
        <f>C2</f>
        <v>万元</v>
      </c>
      <c r="I46" s="1406" t="s">
        <v>810</v>
      </c>
      <c r="J46" s="1407"/>
      <c r="K46" s="1408"/>
      <c r="L46" s="1409">
        <f ca="1">IF(M47="住宅",0,IF(L48&gt;J51,L60,J60))</f>
        <v>1795320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3384</v>
      </c>
      <c r="K47" s="1415" t="s">
        <v>816</v>
      </c>
      <c r="L47" s="1416">
        <f ca="1">INDIRECT("'数据-取费表'!d"&amp;$G$1)</f>
        <v>50</v>
      </c>
      <c r="M47" s="1379" t="str">
        <f>IF(ISNUMBER(FIND("住宅",C1)),"住宅","非住宅")</f>
        <v>非住宅</v>
      </c>
      <c r="O47" s="1417" t="s">
        <v>403</v>
      </c>
      <c r="P47" s="1418" t="s">
        <v>817</v>
      </c>
      <c r="Q47" s="1419">
        <f ca="1">C40+J29</f>
        <v>154597371</v>
      </c>
      <c r="R47" s="1419" t="s">
        <v>818</v>
      </c>
    </row>
    <row r="48" spans="1:18" s="1383" customFormat="1" ht="28.5" thickBot="1">
      <c r="A48" s="1110" t="s">
        <v>438</v>
      </c>
      <c r="B48" s="300" t="s">
        <v>692</v>
      </c>
      <c r="C48" s="1358">
        <f ca="1">C49+C53+C55</f>
        <v>0</v>
      </c>
      <c r="D48" s="1112"/>
      <c r="E48" s="1113"/>
      <c r="F48" s="962"/>
      <c r="G48" s="722"/>
      <c r="H48" s="723"/>
      <c r="I48" s="1420" t="s">
        <v>819</v>
      </c>
      <c r="J48" s="1421" t="s">
        <v>3385</v>
      </c>
      <c r="K48" s="1422" t="s">
        <v>820</v>
      </c>
      <c r="L48" s="1423">
        <f ca="1">INDIRECT("'数据-取费表'!f"&amp;$G$1)</f>
        <v>38.869999999999997</v>
      </c>
      <c r="O48" s="1417" t="s">
        <v>404</v>
      </c>
      <c r="P48" s="1418" t="s">
        <v>821</v>
      </c>
      <c r="Q48" s="1419">
        <f ca="1">J60</f>
        <v>1795320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2015</v>
      </c>
      <c r="K49" s="1422" t="s">
        <v>824</v>
      </c>
      <c r="L49" s="1426"/>
      <c r="O49" s="1427" t="s">
        <v>405</v>
      </c>
      <c r="P49" s="1418" t="s">
        <v>825</v>
      </c>
      <c r="Q49" s="1419">
        <f ca="1">C29</f>
        <v>74632649</v>
      </c>
      <c r="R49" s="1419" t="s">
        <v>818</v>
      </c>
    </row>
    <row r="50" spans="1:18" s="1383" customFormat="1" ht="13.5" thickBot="1">
      <c r="A50" s="976"/>
      <c r="B50" s="979"/>
      <c r="C50" s="980"/>
      <c r="D50" s="953"/>
      <c r="E50" s="1056" t="s">
        <v>697</v>
      </c>
      <c r="F50" s="1057">
        <f ca="1">F7</f>
        <v>27113.21</v>
      </c>
      <c r="H50" s="723"/>
      <c r="I50" s="1420" t="s">
        <v>826</v>
      </c>
      <c r="J50" s="1428">
        <f>SUMPRODUCT((I63:I65=J47)*(J62:L62=J48)*(J63:L65))</f>
        <v>50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42</v>
      </c>
      <c r="K51" s="1433" t="s">
        <v>830</v>
      </c>
      <c r="L51" s="1434">
        <f ca="1">ROUND(-PV(INDIRECT("'数据-取费表'!h"&amp;$G$1),J51,(C39-C13*C76),0),0)</f>
        <v>54406213</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38.869999999999997</v>
      </c>
      <c r="R52" s="1419" t="s">
        <v>835</v>
      </c>
    </row>
    <row r="53" spans="1:18" s="1383" customFormat="1" ht="30.75" customHeight="1" thickBot="1">
      <c r="A53" s="1111" t="s">
        <v>440</v>
      </c>
      <c r="B53" s="323" t="s">
        <v>700</v>
      </c>
      <c r="C53" s="316">
        <f ca="1">ROUND(IF(F53="押一",C49/12*F11,IF(F53="押二",C49/12*2*F11,IF(F53="押三",C49/12*3*F11,C54*F11))),0)</f>
        <v>0</v>
      </c>
      <c r="D53" s="1365" t="s">
        <v>2118</v>
      </c>
      <c r="E53" s="313" t="s">
        <v>701</v>
      </c>
      <c r="F53" s="1116"/>
      <c r="I53" s="1438" t="s">
        <v>836</v>
      </c>
      <c r="J53" s="2167">
        <f ca="1">IF(M47="住宅",IF(D1="——",MAX(J51,L48),MAX(J51,L48-'数据-取费表'!B24)),IF(D1="——",MIN(J51,L48),MIN(J51,L48-'数据-取费表'!B24)))</f>
        <v>38.869999999999997</v>
      </c>
      <c r="K53" s="3696" t="s">
        <v>837</v>
      </c>
      <c r="L53" s="3697"/>
      <c r="O53" s="1417" t="s">
        <v>409</v>
      </c>
      <c r="P53" s="1418" t="s">
        <v>838</v>
      </c>
      <c r="Q53" s="1419">
        <f ca="1">Q47+Q48</f>
        <v>156392691</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8.1000000000000003E-2</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61198772</v>
      </c>
      <c r="D56" s="1446"/>
      <c r="E56" s="1447"/>
      <c r="F56" s="1439"/>
      <c r="I56" s="1448" t="s">
        <v>842</v>
      </c>
      <c r="J56" s="1449" t="s">
        <v>3434</v>
      </c>
      <c r="K56" s="1420" t="s">
        <v>843</v>
      </c>
      <c r="L56" s="1423" t="str">
        <f ca="1">IF(L48&lt;J51,"——",L48-J51)</f>
        <v>——</v>
      </c>
      <c r="O56" s="1417" t="s">
        <v>403</v>
      </c>
      <c r="P56" s="1418" t="s">
        <v>817</v>
      </c>
      <c r="Q56" s="1419">
        <f ca="1">C40+J29</f>
        <v>154597371</v>
      </c>
      <c r="R56" s="1419" t="s">
        <v>818</v>
      </c>
    </row>
    <row r="57" spans="1:18" s="1383" customFormat="1" ht="24.75" thickBot="1">
      <c r="A57" s="1450"/>
      <c r="B57" s="950" t="s">
        <v>767</v>
      </c>
      <c r="C57" s="238">
        <f ca="1">C29</f>
        <v>74632649</v>
      </c>
      <c r="D57" s="1451"/>
      <c r="E57" s="1452"/>
      <c r="F57" s="1453"/>
      <c r="I57" s="1454" t="s">
        <v>844</v>
      </c>
      <c r="J57" s="1455">
        <f ca="1">IF(OR(M47="住宅",J51&lt;L48,J56="是"),"——",J51-L48)</f>
        <v>3.1300000000000026</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916880</v>
      </c>
      <c r="D58" s="960" t="s">
        <v>715</v>
      </c>
      <c r="E58" s="961"/>
      <c r="F58" s="962"/>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78756</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29853060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f ca="1">IF(OR(M47="住宅",J51&lt;L48,J56="是"),"0",ROUND(J59/(1+J52)^J53,0))</f>
        <v>1795320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3332</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78756</v>
      </c>
      <c r="D62" s="965" t="s">
        <v>786</v>
      </c>
      <c r="E62" s="950" t="s">
        <v>787</v>
      </c>
      <c r="F62" s="325">
        <f t="shared" si="0"/>
        <v>1.5</v>
      </c>
      <c r="I62" s="1461" t="s">
        <v>858</v>
      </c>
      <c r="J62" s="1462" t="s">
        <v>859</v>
      </c>
      <c r="K62" s="1462" t="s">
        <v>860</v>
      </c>
      <c r="L62" s="1462" t="s">
        <v>861</v>
      </c>
      <c r="M62" s="1463" t="s">
        <v>862</v>
      </c>
      <c r="O62" s="1417" t="s">
        <v>409</v>
      </c>
      <c r="P62" s="1418" t="s">
        <v>863</v>
      </c>
      <c r="Q62" s="1419">
        <f ca="1">Q56+Q57</f>
        <v>154597371</v>
      </c>
      <c r="R62" s="1419" t="s">
        <v>410</v>
      </c>
    </row>
    <row r="63" spans="1:18" s="1383" customFormat="1" ht="13.5" thickBot="1">
      <c r="A63" s="326"/>
      <c r="B63" s="956"/>
      <c r="C63" s="26"/>
      <c r="D63" s="966"/>
      <c r="E63" s="950" t="s">
        <v>788</v>
      </c>
      <c r="F63" s="303">
        <f t="shared" ca="1" si="0"/>
        <v>52503.79</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746326</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91798</v>
      </c>
      <c r="D65" s="964" t="s">
        <v>743</v>
      </c>
      <c r="E65" s="950" t="s">
        <v>744</v>
      </c>
      <c r="F65" s="330">
        <f t="shared" ca="1" si="0"/>
        <v>1.5E-3</v>
      </c>
      <c r="I65" s="1461" t="s">
        <v>867</v>
      </c>
      <c r="J65" s="1462">
        <v>40</v>
      </c>
      <c r="K65" s="1462">
        <v>30</v>
      </c>
      <c r="L65" s="1462">
        <v>50</v>
      </c>
      <c r="M65" s="1464">
        <v>0.02</v>
      </c>
      <c r="O65" s="1417" t="s">
        <v>403</v>
      </c>
      <c r="P65" s="1418" t="s">
        <v>868</v>
      </c>
      <c r="Q65" s="1419">
        <f ca="1">C40+J29</f>
        <v>154597371</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-916880</v>
      </c>
      <c r="D67" s="963" t="s">
        <v>753</v>
      </c>
      <c r="E67" s="968"/>
      <c r="F67" s="969"/>
      <c r="O67" s="1427" t="s">
        <v>405</v>
      </c>
      <c r="P67" s="1418" t="s">
        <v>850</v>
      </c>
      <c r="Q67" s="1465">
        <f ca="1">L51</f>
        <v>54406213</v>
      </c>
      <c r="R67" s="1419" t="s">
        <v>870</v>
      </c>
    </row>
    <row r="68" spans="1:18" s="1383" customFormat="1" ht="16.5" thickBot="1">
      <c r="A68" s="947" t="s">
        <v>395</v>
      </c>
      <c r="B68" s="948" t="s">
        <v>774</v>
      </c>
      <c r="C68" s="301">
        <f ca="1">ROUND(C67*(1-((1+F70)/(1+F68))^F69)/(F68-F70),0)</f>
        <v>-14590242</v>
      </c>
      <c r="D68" s="965" t="s">
        <v>758</v>
      </c>
      <c r="E68" s="950" t="s">
        <v>759</v>
      </c>
      <c r="F68" s="312">
        <f ca="1">F40</f>
        <v>5.5E-2</v>
      </c>
      <c r="O68" s="1427" t="s">
        <v>406</v>
      </c>
      <c r="P68" s="1466" t="s">
        <v>871</v>
      </c>
      <c r="Q68" s="1419">
        <f ca="1">ROUND(Q69-Q70*Q71,0)</f>
        <v>3122629</v>
      </c>
      <c r="R68" s="1419" t="s">
        <v>414</v>
      </c>
    </row>
    <row r="69" spans="1:18" s="1383" customFormat="1" ht="13.5" thickBot="1">
      <c r="A69" s="951"/>
      <c r="B69" s="952"/>
      <c r="C69" s="306"/>
      <c r="D69" s="970" t="s">
        <v>762</v>
      </c>
      <c r="E69" s="950" t="s">
        <v>763</v>
      </c>
      <c r="F69" s="333">
        <f ca="1">F41</f>
        <v>38.869999999999997</v>
      </c>
      <c r="O69" s="1427" t="s">
        <v>411</v>
      </c>
      <c r="P69" s="1466" t="s">
        <v>872</v>
      </c>
      <c r="Q69" s="1419">
        <f ca="1">C39</f>
        <v>7406543</v>
      </c>
      <c r="R69" s="1419" t="s">
        <v>818</v>
      </c>
    </row>
    <row r="70" spans="1:18" s="1383" customFormat="1" ht="13.5" thickBot="1">
      <c r="A70" s="954"/>
      <c r="B70" s="955"/>
      <c r="C70" s="310"/>
      <c r="D70" s="966"/>
      <c r="E70" s="950" t="s">
        <v>766</v>
      </c>
      <c r="F70" s="1054"/>
      <c r="O70" s="1427" t="s">
        <v>412</v>
      </c>
      <c r="P70" s="1466" t="s">
        <v>873</v>
      </c>
      <c r="Q70" s="1419">
        <f ca="1">C13</f>
        <v>61198772</v>
      </c>
      <c r="R70" s="1419" t="s">
        <v>818</v>
      </c>
    </row>
    <row r="71" spans="1:18" s="1383" customFormat="1" ht="13.5" thickBot="1">
      <c r="A71" s="971" t="s">
        <v>396</v>
      </c>
      <c r="B71" s="972" t="s">
        <v>776</v>
      </c>
      <c r="C71" s="336">
        <f ca="1">ROUND(C68/F71,0)</f>
        <v>-538</v>
      </c>
      <c r="D71" s="973" t="s">
        <v>777</v>
      </c>
      <c r="E71" s="974" t="s">
        <v>778</v>
      </c>
      <c r="F71" s="339">
        <f ca="1">F43</f>
        <v>27113.21</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4283914</v>
      </c>
      <c r="D75" s="1383"/>
      <c r="E75" s="1383"/>
      <c r="F75" s="1383"/>
      <c r="K75" s="1401"/>
      <c r="L75" s="1383"/>
      <c r="O75" s="1417" t="s">
        <v>409</v>
      </c>
      <c r="P75" s="1418" t="s">
        <v>838</v>
      </c>
      <c r="Q75" s="1419">
        <f ca="1">Q65+Q66</f>
        <v>154597371</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0.42200000000000004</v>
      </c>
    </row>
    <row r="80" spans="1:18">
      <c r="B80" s="340" t="s">
        <v>800</v>
      </c>
      <c r="C80" s="274">
        <f ca="1">ROUND(C75/C39,3)</f>
        <v>0.57799999999999996</v>
      </c>
    </row>
    <row r="81" spans="2:3">
      <c r="B81" s="270" t="s">
        <v>801</v>
      </c>
      <c r="C81" s="238"/>
    </row>
    <row r="82" spans="2:3">
      <c r="B82" s="273" t="s">
        <v>802</v>
      </c>
      <c r="C82" s="275">
        <f ca="1">1-C83</f>
        <v>0.60399999999999998</v>
      </c>
    </row>
    <row r="83" spans="2:3">
      <c r="B83" s="273" t="s">
        <v>803</v>
      </c>
      <c r="C83" s="274">
        <f ca="1">ROUND(C13/C40,3)</f>
        <v>0.39600000000000002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2429</v>
      </c>
      <c r="B1" s="2831"/>
      <c r="C1" s="2843"/>
      <c r="D1" s="2843"/>
      <c r="E1" s="2832"/>
      <c r="F1" s="2833"/>
      <c r="G1" s="2834"/>
      <c r="J1" s="2837" t="s">
        <v>2308</v>
      </c>
      <c r="K1" s="2838"/>
      <c r="L1" s="2838"/>
      <c r="M1" s="2838"/>
      <c r="N1" s="2838"/>
      <c r="O1" s="2838"/>
      <c r="P1" s="2838"/>
      <c r="Q1" s="2838"/>
      <c r="R1" s="2839"/>
      <c r="S1" s="2840"/>
      <c r="T1" s="2840"/>
      <c r="U1" s="2840"/>
    </row>
    <row r="2" spans="1:22" s="2852" customFormat="1" ht="13.15" customHeight="1">
      <c r="A2" s="1384" t="s">
        <v>2309</v>
      </c>
      <c r="B2" s="2842" t="e">
        <f>IF(D2="——",C40,C40+E2)</f>
        <v>#DIV/0!</v>
      </c>
      <c r="C2" s="2843" t="s">
        <v>2310</v>
      </c>
      <c r="D2" s="3442" t="s">
        <v>3355</v>
      </c>
      <c r="E2" s="3443"/>
      <c r="F2" s="2845"/>
      <c r="G2" s="2846"/>
      <c r="H2" s="2847"/>
      <c r="I2" s="2848"/>
      <c r="J2" s="3698" t="s">
        <v>2311</v>
      </c>
      <c r="K2" s="3699"/>
      <c r="L2" s="2849" t="s">
        <v>2312</v>
      </c>
      <c r="M2" s="2849" t="s">
        <v>2313</v>
      </c>
      <c r="N2" s="2849" t="s">
        <v>2314</v>
      </c>
      <c r="O2" s="2849" t="s">
        <v>2315</v>
      </c>
      <c r="P2" s="2849" t="s">
        <v>2316</v>
      </c>
      <c r="Q2" s="2850" t="s">
        <v>2317</v>
      </c>
      <c r="R2" s="2851" t="s">
        <v>2318</v>
      </c>
      <c r="S2" s="2840"/>
      <c r="T2" s="2840"/>
      <c r="U2" s="2840"/>
      <c r="V2" s="2848"/>
    </row>
    <row r="3" spans="1:22" s="2852" customFormat="1" ht="13.15" customHeight="1">
      <c r="A3" s="2853" t="s">
        <v>2319</v>
      </c>
      <c r="B3" s="2854" t="e">
        <f>ROUND(B2*10000/B4,0)</f>
        <v>#DIV/0!</v>
      </c>
      <c r="C3" s="2843" t="s">
        <v>2320</v>
      </c>
      <c r="D3" s="2843"/>
      <c r="E3" s="2844"/>
      <c r="F3" s="2845"/>
      <c r="G3" s="2846"/>
      <c r="H3" s="2847"/>
      <c r="I3" s="2848"/>
      <c r="J3" s="3700" t="s">
        <v>2321</v>
      </c>
      <c r="K3" s="3701"/>
      <c r="L3" s="2855"/>
      <c r="M3" s="2855"/>
      <c r="N3" s="2855"/>
      <c r="O3" s="2855"/>
      <c r="P3" s="2855"/>
      <c r="Q3" s="2856"/>
      <c r="R3" s="2857">
        <f>SUM(L3:Q3)</f>
        <v>0</v>
      </c>
      <c r="S3" s="2840"/>
      <c r="T3" s="2840"/>
      <c r="U3" s="2840"/>
      <c r="V3" s="2848"/>
    </row>
    <row r="4" spans="1:22" s="2852" customFormat="1" ht="13.15" customHeight="1">
      <c r="A4" s="2858" t="s">
        <v>2322</v>
      </c>
      <c r="B4" s="2859"/>
      <c r="C4" s="2843"/>
      <c r="D4" s="2843"/>
      <c r="E4" s="2844"/>
      <c r="F4" s="2845"/>
      <c r="G4" s="2846"/>
      <c r="H4" s="2847"/>
      <c r="I4" s="2848"/>
      <c r="J4" s="3700" t="s">
        <v>2323</v>
      </c>
      <c r="K4" s="3701"/>
      <c r="L4" s="2860"/>
      <c r="M4" s="2860"/>
      <c r="N4" s="2860"/>
      <c r="O4" s="2860"/>
      <c r="P4" s="2860"/>
      <c r="Q4" s="2861"/>
      <c r="R4" s="2862">
        <f>SUM(L4:Q4)</f>
        <v>0</v>
      </c>
      <c r="S4" s="2840"/>
      <c r="T4" s="2840"/>
      <c r="U4" s="2840"/>
      <c r="V4" s="2848"/>
    </row>
    <row r="5" spans="1:22" s="2852" customFormat="1" ht="13.15" customHeight="1" thickBot="1">
      <c r="A5" s="2863" t="s">
        <v>2324</v>
      </c>
      <c r="B5" s="2864"/>
      <c r="C5" s="2843"/>
      <c r="D5" s="2865"/>
      <c r="E5" s="2845"/>
      <c r="F5" s="2845"/>
      <c r="G5" s="2846"/>
      <c r="H5" s="2847"/>
      <c r="I5" s="2848"/>
      <c r="J5" s="2866" t="s">
        <v>2325</v>
      </c>
      <c r="K5" s="2867"/>
      <c r="L5" s="2867"/>
      <c r="M5" s="2868"/>
      <c r="N5" s="2868"/>
      <c r="O5" s="2868"/>
      <c r="P5" s="2868"/>
      <c r="Q5" s="2868"/>
      <c r="R5" s="2851">
        <f>SUM(R14,R19,R24,R25,R27,R28)</f>
        <v>0</v>
      </c>
      <c r="S5" s="2840"/>
      <c r="T5" s="2840" t="s">
        <v>2326</v>
      </c>
      <c r="U5" s="2840" t="e">
        <f>ROUND(R5*10000/365/R3,1)</f>
        <v>#DIV/0!</v>
      </c>
      <c r="V5" s="2848"/>
    </row>
    <row r="6" spans="1:22" s="2852" customFormat="1" ht="13.15" customHeight="1" thickBot="1">
      <c r="A6" s="3702" t="s">
        <v>2327</v>
      </c>
      <c r="B6" s="3703"/>
      <c r="C6" s="3704"/>
      <c r="D6" s="2869"/>
      <c r="E6" s="2870"/>
      <c r="F6" s="2871"/>
      <c r="G6" s="2872"/>
      <c r="H6" s="2847"/>
      <c r="I6" s="2848"/>
      <c r="J6" s="3705">
        <v>1</v>
      </c>
      <c r="K6" s="3706" t="s">
        <v>2328</v>
      </c>
      <c r="L6" s="2873" t="s">
        <v>2329</v>
      </c>
      <c r="M6" s="2874" t="s">
        <v>2330</v>
      </c>
      <c r="N6" s="2874" t="s">
        <v>2331</v>
      </c>
      <c r="O6" s="2874" t="s">
        <v>2332</v>
      </c>
      <c r="P6" s="2874" t="s">
        <v>2333</v>
      </c>
      <c r="Q6" s="2874" t="s">
        <v>2334</v>
      </c>
      <c r="R6" s="2857" t="s">
        <v>2335</v>
      </c>
      <c r="S6" s="2840"/>
      <c r="T6" s="2840" t="s">
        <v>2336</v>
      </c>
      <c r="U6" s="2840"/>
      <c r="V6" s="2848"/>
    </row>
    <row r="7" spans="1:22" s="2852" customFormat="1" ht="13.15" customHeight="1">
      <c r="A7" s="2875" t="s">
        <v>2337</v>
      </c>
      <c r="B7" s="2876"/>
      <c r="C7" s="2877"/>
      <c r="D7" s="2878">
        <f>SUM(D9,D10,D11,D17,0)</f>
        <v>0</v>
      </c>
      <c r="E7" s="2879" t="e">
        <f>E9+E10+E11+E17</f>
        <v>#DIV/0!</v>
      </c>
      <c r="F7" s="2880"/>
      <c r="G7" s="2881"/>
      <c r="H7" s="2847"/>
      <c r="I7" s="2848"/>
      <c r="J7" s="3705"/>
      <c r="K7" s="3707"/>
      <c r="L7" s="2882" t="s">
        <v>2338</v>
      </c>
      <c r="M7" s="2883"/>
      <c r="N7" s="2859"/>
      <c r="O7" s="2884"/>
      <c r="P7" s="2884"/>
      <c r="Q7" s="2885">
        <v>365</v>
      </c>
      <c r="R7" s="2886">
        <f>ROUND(M7*N7*O7*P7*Q7/10000,0)</f>
        <v>0</v>
      </c>
      <c r="S7" s="2840"/>
      <c r="T7" s="2840" t="s">
        <v>2339</v>
      </c>
      <c r="U7" s="2840"/>
      <c r="V7" s="2848"/>
    </row>
    <row r="8" spans="1:22" s="2852" customFormat="1" ht="13.15" customHeight="1">
      <c r="A8" s="2887" t="s">
        <v>2340</v>
      </c>
      <c r="B8" s="3709" t="s">
        <v>2341</v>
      </c>
      <c r="C8" s="3710"/>
      <c r="D8" s="2888" t="s">
        <v>2342</v>
      </c>
      <c r="E8" s="2889" t="s">
        <v>2343</v>
      </c>
      <c r="F8" s="2890" t="s">
        <v>2344</v>
      </c>
      <c r="G8" s="2891"/>
      <c r="H8" s="2847"/>
      <c r="I8" s="2848"/>
      <c r="J8" s="3705"/>
      <c r="K8" s="3707"/>
      <c r="L8" s="2882" t="s">
        <v>2345</v>
      </c>
      <c r="M8" s="2883"/>
      <c r="N8" s="2859"/>
      <c r="O8" s="2884"/>
      <c r="P8" s="2884"/>
      <c r="Q8" s="2885">
        <v>365</v>
      </c>
      <c r="R8" s="2886">
        <f t="shared" ref="R8:R13" si="0">ROUND(M8*N8*O8*P8*Q8/10000,0)</f>
        <v>0</v>
      </c>
      <c r="S8" s="2840"/>
      <c r="T8" s="2840" t="s">
        <v>2346</v>
      </c>
      <c r="U8" s="2840"/>
      <c r="V8" s="2848"/>
    </row>
    <row r="9" spans="1:22" s="2852" customFormat="1" ht="13.15" customHeight="1">
      <c r="A9" s="2887">
        <v>1</v>
      </c>
      <c r="B9" s="3709" t="s">
        <v>2347</v>
      </c>
      <c r="C9" s="3710"/>
      <c r="D9" s="2888">
        <f>ROUND(D6*E9,0)</f>
        <v>0</v>
      </c>
      <c r="E9" s="2892"/>
      <c r="F9" s="2893" t="s">
        <v>2348</v>
      </c>
      <c r="G9" s="2872"/>
      <c r="H9" s="2847"/>
      <c r="I9" s="2848"/>
      <c r="J9" s="3705"/>
      <c r="K9" s="3707"/>
      <c r="L9" s="2882" t="s">
        <v>2349</v>
      </c>
      <c r="M9" s="2883"/>
      <c r="N9" s="2859"/>
      <c r="O9" s="2884"/>
      <c r="P9" s="2884"/>
      <c r="Q9" s="2885">
        <v>365</v>
      </c>
      <c r="R9" s="2886">
        <f t="shared" si="0"/>
        <v>0</v>
      </c>
      <c r="S9" s="2840"/>
      <c r="T9" s="2840"/>
      <c r="U9" s="2840"/>
      <c r="V9" s="2848"/>
    </row>
    <row r="10" spans="1:22" s="2852" customFormat="1" ht="13.15" customHeight="1">
      <c r="A10" s="2887">
        <v>2</v>
      </c>
      <c r="B10" s="3709" t="s">
        <v>2350</v>
      </c>
      <c r="C10" s="3710"/>
      <c r="D10" s="2888">
        <f>ROUND(D6*E10,0)</f>
        <v>0</v>
      </c>
      <c r="E10" s="2892"/>
      <c r="F10" s="2893" t="s">
        <v>2351</v>
      </c>
      <c r="G10" s="2872"/>
      <c r="H10" s="2847"/>
      <c r="I10" s="2848"/>
      <c r="J10" s="3705"/>
      <c r="K10" s="3707"/>
      <c r="L10" s="2882" t="s">
        <v>2352</v>
      </c>
      <c r="M10" s="2883"/>
      <c r="N10" s="2859"/>
      <c r="O10" s="2884"/>
      <c r="P10" s="2884"/>
      <c r="Q10" s="2885">
        <v>365</v>
      </c>
      <c r="R10" s="2886">
        <f t="shared" si="0"/>
        <v>0</v>
      </c>
      <c r="S10" s="2840"/>
      <c r="T10" s="2840"/>
      <c r="U10" s="2840"/>
      <c r="V10" s="2848"/>
    </row>
    <row r="11" spans="1:22" s="2852" customFormat="1" ht="13.15" customHeight="1">
      <c r="A11" s="2887">
        <v>3</v>
      </c>
      <c r="B11" s="3709" t="s">
        <v>2353</v>
      </c>
      <c r="C11" s="3710"/>
      <c r="D11" s="2888">
        <f>D12+D14+D15+D16</f>
        <v>0</v>
      </c>
      <c r="E11" s="2894" t="e">
        <f>D11/D6</f>
        <v>#DIV/0!</v>
      </c>
      <c r="F11" s="2890"/>
      <c r="G11" s="2891"/>
      <c r="H11" s="2847"/>
      <c r="I11" s="2848"/>
      <c r="J11" s="3705"/>
      <c r="K11" s="3707"/>
      <c r="L11" s="2882" t="s">
        <v>2354</v>
      </c>
      <c r="M11" s="2883"/>
      <c r="N11" s="2859"/>
      <c r="O11" s="2884"/>
      <c r="P11" s="2884"/>
      <c r="Q11" s="2885">
        <v>365</v>
      </c>
      <c r="R11" s="2886">
        <f t="shared" si="0"/>
        <v>0</v>
      </c>
      <c r="S11" s="2840"/>
      <c r="T11" s="2840"/>
      <c r="U11" s="2840"/>
      <c r="V11" s="2848"/>
    </row>
    <row r="12" spans="1:22" s="2852" customFormat="1" ht="13.15" customHeight="1">
      <c r="A12" s="2895" t="s">
        <v>2355</v>
      </c>
      <c r="B12" s="3711" t="s">
        <v>2356</v>
      </c>
      <c r="C12" s="3712"/>
      <c r="D12" s="2896">
        <f>ROUND(D13*1.2%*(1-30%),0)</f>
        <v>0</v>
      </c>
      <c r="E12" s="2897">
        <v>1.2E-2</v>
      </c>
      <c r="F12" s="2890" t="s">
        <v>2357</v>
      </c>
      <c r="G12" s="2891"/>
      <c r="H12" s="2847"/>
      <c r="I12" s="2848"/>
      <c r="J12" s="3705"/>
      <c r="K12" s="3707"/>
      <c r="L12" s="2882" t="s">
        <v>2358</v>
      </c>
      <c r="M12" s="2883"/>
      <c r="N12" s="2859"/>
      <c r="O12" s="2884"/>
      <c r="P12" s="2884"/>
      <c r="Q12" s="2885">
        <v>365</v>
      </c>
      <c r="R12" s="2886">
        <f t="shared" si="0"/>
        <v>0</v>
      </c>
      <c r="S12" s="2840"/>
      <c r="T12" s="2840"/>
      <c r="U12" s="2840"/>
      <c r="V12" s="2848"/>
    </row>
    <row r="13" spans="1:22" s="2852" customFormat="1" ht="13.15" customHeight="1">
      <c r="A13" s="2895"/>
      <c r="B13" s="2898"/>
      <c r="C13" s="2899" t="s">
        <v>2359</v>
      </c>
      <c r="D13" s="2900"/>
      <c r="E13" s="2901"/>
      <c r="F13" s="2890"/>
      <c r="G13" s="2891"/>
      <c r="H13" s="2847"/>
      <c r="I13" s="2848"/>
      <c r="J13" s="3705"/>
      <c r="K13" s="3707"/>
      <c r="L13" s="2882" t="s">
        <v>2360</v>
      </c>
      <c r="M13" s="2883"/>
      <c r="N13" s="2859"/>
      <c r="O13" s="2884"/>
      <c r="P13" s="2884"/>
      <c r="Q13" s="2885">
        <v>365</v>
      </c>
      <c r="R13" s="2886">
        <f t="shared" si="0"/>
        <v>0</v>
      </c>
      <c r="S13" s="2840"/>
      <c r="T13" s="2840"/>
      <c r="U13" s="2840"/>
      <c r="V13" s="2848"/>
    </row>
    <row r="14" spans="1:22" s="2852" customFormat="1" ht="13.15" customHeight="1">
      <c r="A14" s="2895" t="s">
        <v>2361</v>
      </c>
      <c r="B14" s="3711" t="s">
        <v>2362</v>
      </c>
      <c r="C14" s="3712"/>
      <c r="D14" s="2896">
        <f>ROUND(E14*B5/10000,0)</f>
        <v>0</v>
      </c>
      <c r="E14" s="2885"/>
      <c r="F14" s="2890" t="s">
        <v>2363</v>
      </c>
      <c r="G14" s="2891"/>
      <c r="H14" s="2847"/>
      <c r="I14" s="2848"/>
      <c r="J14" s="3705"/>
      <c r="K14" s="3708"/>
      <c r="L14" s="2902" t="s">
        <v>2364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2365</v>
      </c>
      <c r="B15" s="3711" t="s">
        <v>2366</v>
      </c>
      <c r="C15" s="3712"/>
      <c r="D15" s="2896">
        <f>ROUND(D6*E15,0)</f>
        <v>0</v>
      </c>
      <c r="E15" s="2897">
        <v>5.5E-2</v>
      </c>
      <c r="F15" s="2890" t="s">
        <v>2367</v>
      </c>
      <c r="G15" s="2872"/>
      <c r="H15" s="2847"/>
      <c r="I15" s="2848"/>
      <c r="J15" s="3705">
        <v>2</v>
      </c>
      <c r="K15" s="3706" t="s">
        <v>2368</v>
      </c>
      <c r="L15" s="2882" t="s">
        <v>2369</v>
      </c>
      <c r="M15" s="2883" t="s">
        <v>2370</v>
      </c>
      <c r="N15" s="2883" t="s">
        <v>2371</v>
      </c>
      <c r="O15" s="2884" t="s">
        <v>2372</v>
      </c>
      <c r="P15" s="2884" t="s">
        <v>2334</v>
      </c>
      <c r="Q15" s="2859" t="s">
        <v>2373</v>
      </c>
      <c r="R15" s="2906" t="s">
        <v>2335</v>
      </c>
      <c r="S15" s="2840"/>
      <c r="T15" s="2840"/>
      <c r="U15" s="2840"/>
      <c r="V15" s="2848"/>
    </row>
    <row r="16" spans="1:22" s="2852" customFormat="1" ht="13.15" customHeight="1">
      <c r="A16" s="2895" t="s">
        <v>2374</v>
      </c>
      <c r="B16" s="3711" t="s">
        <v>2375</v>
      </c>
      <c r="C16" s="3712"/>
      <c r="D16" s="2907">
        <f>D6*E16</f>
        <v>0</v>
      </c>
      <c r="E16" s="2908"/>
      <c r="F16" s="2893" t="s">
        <v>2376</v>
      </c>
      <c r="G16" s="2872"/>
      <c r="H16" s="2847"/>
      <c r="I16" s="2848"/>
      <c r="J16" s="3705"/>
      <c r="K16" s="3707"/>
      <c r="L16" s="2882" t="s">
        <v>2377</v>
      </c>
      <c r="M16" s="2883"/>
      <c r="N16" s="2883"/>
      <c r="O16" s="2884"/>
      <c r="P16" s="2885">
        <v>365</v>
      </c>
      <c r="Q16" s="2859"/>
      <c r="R16" s="2906">
        <f>ROUND(M16*N16*O16*P16/10000,0)</f>
        <v>0</v>
      </c>
      <c r="S16" s="2840"/>
      <c r="T16" s="2840"/>
      <c r="U16" s="2840"/>
      <c r="V16" s="2848"/>
    </row>
    <row r="17" spans="1:22" s="2852" customFormat="1" ht="13.15" customHeight="1" thickBot="1">
      <c r="A17" s="2909">
        <v>4</v>
      </c>
      <c r="B17" s="3713" t="s">
        <v>2378</v>
      </c>
      <c r="C17" s="3714"/>
      <c r="D17" s="2910">
        <f>ROUND(D6*E17,0)</f>
        <v>0</v>
      </c>
      <c r="E17" s="2911"/>
      <c r="F17" s="2912" t="s">
        <v>2379</v>
      </c>
      <c r="G17" s="2872"/>
      <c r="H17" s="2847"/>
      <c r="I17" s="2848"/>
      <c r="J17" s="3705"/>
      <c r="K17" s="3707"/>
      <c r="L17" s="2882" t="s">
        <v>2380</v>
      </c>
      <c r="M17" s="2883"/>
      <c r="N17" s="2883"/>
      <c r="O17" s="2884"/>
      <c r="P17" s="2885">
        <v>365</v>
      </c>
      <c r="Q17" s="2859"/>
      <c r="R17" s="2906">
        <f>ROUND(M17*N17*O17*P17/10000,0)</f>
        <v>0</v>
      </c>
      <c r="S17" s="2840"/>
      <c r="T17" s="2840"/>
      <c r="U17" s="2840"/>
      <c r="V17" s="2848"/>
    </row>
    <row r="18" spans="1:22" s="2852" customFormat="1" ht="13.15" customHeight="1" thickBot="1">
      <c r="A18" s="2875" t="s">
        <v>2381</v>
      </c>
      <c r="B18" s="2876"/>
      <c r="C18" s="2876"/>
      <c r="D18" s="2913">
        <f>ROUND(D6*E18,0)</f>
        <v>0</v>
      </c>
      <c r="E18" s="2914"/>
      <c r="F18" s="2915" t="s">
        <v>2382</v>
      </c>
      <c r="G18" s="2872"/>
      <c r="H18" s="2847"/>
      <c r="I18" s="2848"/>
      <c r="J18" s="3705"/>
      <c r="K18" s="3707"/>
      <c r="L18" s="2882" t="s">
        <v>2383</v>
      </c>
      <c r="M18" s="2883"/>
      <c r="N18" s="2883"/>
      <c r="O18" s="2884"/>
      <c r="P18" s="2885">
        <v>365</v>
      </c>
      <c r="Q18" s="2859"/>
      <c r="R18" s="2906">
        <f>ROUND(M18*N18*O18*P18/10000,0)</f>
        <v>0</v>
      </c>
      <c r="S18" s="2840"/>
      <c r="T18" s="2840"/>
      <c r="U18" s="2840"/>
      <c r="V18" s="2848"/>
    </row>
    <row r="19" spans="1:22" s="2852" customFormat="1" ht="13.15" customHeight="1" thickBot="1">
      <c r="A19" s="2916" t="s">
        <v>2384</v>
      </c>
      <c r="B19" s="2870"/>
      <c r="C19" s="2870"/>
      <c r="D19" s="2870"/>
      <c r="E19" s="2870"/>
      <c r="F19" s="2871"/>
      <c r="G19" s="2891"/>
      <c r="H19" s="2847"/>
      <c r="I19" s="2848"/>
      <c r="J19" s="3705"/>
      <c r="K19" s="3708"/>
      <c r="L19" s="2902" t="s">
        <v>2364</v>
      </c>
      <c r="M19" s="2903"/>
      <c r="N19" s="2903">
        <f>SUM(N16:N18)</f>
        <v>0</v>
      </c>
      <c r="O19" s="2904"/>
      <c r="P19" s="2917" t="s">
        <v>2428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5">
        <v>3</v>
      </c>
      <c r="K20" s="3706" t="s">
        <v>2385</v>
      </c>
      <c r="L20" s="2882" t="s">
        <v>2386</v>
      </c>
      <c r="M20" s="2883" t="s">
        <v>2387</v>
      </c>
      <c r="N20" s="2920" t="s">
        <v>2388</v>
      </c>
      <c r="O20" s="2884" t="s">
        <v>2389</v>
      </c>
      <c r="P20" s="2885" t="s">
        <v>2390</v>
      </c>
      <c r="Q20" s="2859" t="s">
        <v>2391</v>
      </c>
      <c r="R20" s="2906" t="s">
        <v>2392</v>
      </c>
      <c r="S20" s="2921"/>
      <c r="T20" s="2921"/>
      <c r="U20" s="2921"/>
      <c r="V20" s="2848"/>
    </row>
    <row r="21" spans="1:22" s="2852" customFormat="1" ht="13.15" customHeight="1">
      <c r="A21" s="2875"/>
      <c r="B21" s="2876"/>
      <c r="C21" s="2922" t="s">
        <v>2393</v>
      </c>
      <c r="D21" s="2923" t="s">
        <v>2394</v>
      </c>
      <c r="E21" s="2924" t="s">
        <v>2395</v>
      </c>
      <c r="F21" s="2919"/>
      <c r="G21" s="2891"/>
      <c r="H21" s="2847"/>
      <c r="I21" s="2848"/>
      <c r="J21" s="3705"/>
      <c r="K21" s="3707"/>
      <c r="L21" s="2882" t="s">
        <v>2396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2397</v>
      </c>
      <c r="D22" s="2927" t="s">
        <v>2398</v>
      </c>
      <c r="E22" s="2928" t="s">
        <v>2399</v>
      </c>
      <c r="F22" s="2919"/>
      <c r="G22" s="2929"/>
      <c r="H22" s="2847"/>
      <c r="I22" s="2848"/>
      <c r="J22" s="3705"/>
      <c r="K22" s="3707"/>
      <c r="L22" s="2882" t="s">
        <v>2400</v>
      </c>
      <c r="M22" s="2883"/>
      <c r="N22" s="2883"/>
      <c r="O22" s="2884"/>
      <c r="P22" s="2885">
        <v>365</v>
      </c>
      <c r="Q22" s="2859"/>
      <c r="R22" s="2925">
        <f>ROUND(M22*N22*O22*P22/10000,0)</f>
        <v>0</v>
      </c>
      <c r="S22" s="2921"/>
      <c r="T22" s="2921"/>
      <c r="U22" s="2921"/>
      <c r="V22" s="2848"/>
    </row>
    <row r="23" spans="1:22" s="2852" customFormat="1" ht="13.15" customHeight="1">
      <c r="A23" s="2930">
        <v>1</v>
      </c>
      <c r="B23" s="2931" t="s">
        <v>2401</v>
      </c>
      <c r="C23" s="2932">
        <f>D6</f>
        <v>0</v>
      </c>
      <c r="D23" s="2933">
        <f>C23*(1+D24)</f>
        <v>0</v>
      </c>
      <c r="E23" s="2934">
        <f>D23*(1+E24)</f>
        <v>0</v>
      </c>
      <c r="F23" s="2935"/>
      <c r="G23" s="2936"/>
      <c r="H23" s="2847"/>
      <c r="I23" s="2848"/>
      <c r="J23" s="3705"/>
      <c r="K23" s="3707"/>
      <c r="L23" s="2882" t="s">
        <v>2402</v>
      </c>
      <c r="M23" s="2883"/>
      <c r="N23" s="2883"/>
      <c r="O23" s="2884"/>
      <c r="P23" s="2885">
        <v>365</v>
      </c>
      <c r="Q23" s="2859"/>
      <c r="R23" s="2925">
        <f>ROUND(M23*N23*O23*P23/10000,0)</f>
        <v>0</v>
      </c>
      <c r="S23" s="2840"/>
      <c r="T23" s="2840"/>
      <c r="U23" s="2840"/>
      <c r="V23" s="2848"/>
    </row>
    <row r="24" spans="1:22" s="2852" customFormat="1" ht="13.15" customHeight="1">
      <c r="A24" s="2937"/>
      <c r="B24" s="2938" t="s">
        <v>2403</v>
      </c>
      <c r="C24" s="2939"/>
      <c r="D24" s="2940"/>
      <c r="E24" s="2941"/>
      <c r="F24" s="2942"/>
      <c r="G24" s="2936"/>
      <c r="H24" s="2847"/>
      <c r="I24" s="2848"/>
      <c r="J24" s="3705"/>
      <c r="K24" s="3708"/>
      <c r="L24" s="2902" t="s">
        <v>2364</v>
      </c>
      <c r="M24" s="2903">
        <f>SUM(M21:M23)</f>
        <v>0</v>
      </c>
      <c r="N24" s="2903"/>
      <c r="O24" s="2904"/>
      <c r="P24" s="2917" t="s">
        <v>2428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2404</v>
      </c>
      <c r="L25" s="2945"/>
      <c r="M25" s="2945"/>
      <c r="N25" s="2945"/>
      <c r="O25" s="2945"/>
      <c r="P25" s="2946"/>
      <c r="Q25" s="2947">
        <v>0</v>
      </c>
      <c r="R25" s="2918">
        <f>ROUND(R14*Q25,0)</f>
        <v>0</v>
      </c>
      <c r="S25" s="2840"/>
      <c r="T25" s="2840"/>
      <c r="U25" s="2840"/>
      <c r="V25" s="2948"/>
    </row>
    <row r="26" spans="1:22" s="2949" customFormat="1" ht="13.15" customHeight="1">
      <c r="A26" s="2930">
        <v>2</v>
      </c>
      <c r="B26" s="2931" t="s">
        <v>2405</v>
      </c>
      <c r="C26" s="2932">
        <f>D7</f>
        <v>0</v>
      </c>
      <c r="D26" s="2933">
        <f>D23*D27</f>
        <v>0</v>
      </c>
      <c r="E26" s="2934">
        <f>E23*E27</f>
        <v>0</v>
      </c>
      <c r="F26" s="2935"/>
      <c r="G26" s="2936"/>
      <c r="H26" s="2847"/>
      <c r="I26" s="2848"/>
      <c r="J26" s="3715">
        <v>5</v>
      </c>
      <c r="K26" s="2950" t="s">
        <v>2406</v>
      </c>
      <c r="L26" s="2951"/>
      <c r="M26" s="2952"/>
      <c r="N26" s="2953" t="s">
        <v>2407</v>
      </c>
      <c r="O26" s="2953" t="s">
        <v>2408</v>
      </c>
      <c r="P26" s="2954" t="s">
        <v>2409</v>
      </c>
      <c r="Q26" s="2954" t="s">
        <v>2410</v>
      </c>
      <c r="R26" s="2857" t="s">
        <v>2335</v>
      </c>
      <c r="S26" s="2955"/>
      <c r="T26" s="2955"/>
      <c r="U26" s="2955"/>
      <c r="V26" s="2948"/>
    </row>
    <row r="27" spans="1:22" s="2852" customFormat="1" ht="13.15" customHeight="1">
      <c r="A27" s="2937"/>
      <c r="B27" s="2938" t="s">
        <v>2411</v>
      </c>
      <c r="C27" s="2956" t="e">
        <f>E7</f>
        <v>#DIV/0!</v>
      </c>
      <c r="D27" s="2940"/>
      <c r="E27" s="2941"/>
      <c r="F27" s="2942"/>
      <c r="G27" s="2936"/>
      <c r="H27" s="2957"/>
      <c r="I27" s="2948"/>
      <c r="J27" s="371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2412</v>
      </c>
      <c r="F28" s="2942"/>
      <c r="G28" s="2929"/>
      <c r="H28" s="2957"/>
      <c r="I28" s="2948"/>
      <c r="J28" s="2963">
        <v>6</v>
      </c>
      <c r="K28" s="2964" t="s">
        <v>2413</v>
      </c>
      <c r="L28" s="2965" t="s">
        <v>2414</v>
      </c>
      <c r="M28" s="2966"/>
      <c r="N28" s="2965" t="s">
        <v>2415</v>
      </c>
      <c r="O28" s="2967"/>
      <c r="P28" s="2965" t="s">
        <v>2416</v>
      </c>
      <c r="Q28" s="2968">
        <v>1.4999999999999999E-2</v>
      </c>
      <c r="R28" s="2969"/>
      <c r="S28" s="2921"/>
      <c r="T28" s="2921"/>
      <c r="U28" s="2921"/>
      <c r="V28" s="2948"/>
    </row>
    <row r="29" spans="1:22" s="2949" customFormat="1" ht="13.15" customHeight="1">
      <c r="A29" s="2930">
        <v>3</v>
      </c>
      <c r="B29" s="2931" t="s">
        <v>2417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2418</v>
      </c>
      <c r="K31" s="2838"/>
      <c r="L31" s="2838"/>
      <c r="M31" s="2838"/>
      <c r="N31" s="2838"/>
      <c r="O31" s="2838"/>
      <c r="P31" s="2838"/>
      <c r="Q31" s="2838"/>
      <c r="R31" s="2839"/>
      <c r="S31" s="2921"/>
      <c r="T31" s="2840"/>
      <c r="U31" s="2840"/>
      <c r="V31" s="2948"/>
    </row>
    <row r="32" spans="1:22" s="2949" customFormat="1" ht="13.15" customHeight="1">
      <c r="A32" s="2930">
        <v>4</v>
      </c>
      <c r="B32" s="2931" t="s">
        <v>2419</v>
      </c>
      <c r="C32" s="2932">
        <f>C23-C26-C29</f>
        <v>0</v>
      </c>
      <c r="D32" s="2933">
        <f>D23-D26-D29</f>
        <v>0</v>
      </c>
      <c r="E32" s="2934">
        <f>E23-E26-E29</f>
        <v>0</v>
      </c>
      <c r="F32" s="2935"/>
      <c r="G32" s="2929"/>
      <c r="H32" s="2847"/>
      <c r="I32" s="2848"/>
      <c r="J32" s="3698" t="s">
        <v>2311</v>
      </c>
      <c r="K32" s="3699"/>
      <c r="L32" s="2849" t="s">
        <v>2312</v>
      </c>
      <c r="M32" s="2849" t="s">
        <v>2313</v>
      </c>
      <c r="N32" s="2849" t="s">
        <v>2314</v>
      </c>
      <c r="O32" s="2849" t="s">
        <v>2315</v>
      </c>
      <c r="P32" s="2849" t="s">
        <v>2316</v>
      </c>
      <c r="Q32" s="2850" t="s">
        <v>2317</v>
      </c>
      <c r="R32" s="2972" t="s">
        <v>2318</v>
      </c>
      <c r="S32" s="2921"/>
      <c r="T32" s="2840"/>
      <c r="U32" s="2840"/>
      <c r="V32" s="2948"/>
    </row>
    <row r="33" spans="1:23" s="2852" customFormat="1" ht="13.15" customHeight="1">
      <c r="A33" s="2930"/>
      <c r="B33" s="2931"/>
      <c r="C33" s="2932"/>
      <c r="D33" s="2973"/>
      <c r="E33" s="2974"/>
      <c r="F33" s="2935"/>
      <c r="G33" s="2929"/>
      <c r="H33" s="2957"/>
      <c r="I33" s="2948"/>
      <c r="J33" s="3700" t="s">
        <v>2321</v>
      </c>
      <c r="K33" s="3701"/>
      <c r="L33" s="2855"/>
      <c r="M33" s="2855"/>
      <c r="N33" s="2855"/>
      <c r="O33" s="2855"/>
      <c r="P33" s="2855"/>
      <c r="Q33" s="2856"/>
      <c r="R33" s="2975">
        <f>SUM(L33:Q33)</f>
        <v>0</v>
      </c>
      <c r="S33" s="2921"/>
      <c r="T33" s="2840"/>
      <c r="U33" s="2840"/>
      <c r="V33" s="2848"/>
    </row>
    <row r="34" spans="1:23" s="2852" customFormat="1" ht="13.15" customHeight="1">
      <c r="A34" s="2930">
        <v>5</v>
      </c>
      <c r="B34" s="2931" t="s">
        <v>2420</v>
      </c>
      <c r="C34" s="2976"/>
      <c r="D34" s="2977"/>
      <c r="E34" s="2978"/>
      <c r="F34" s="2935"/>
      <c r="G34" s="2929"/>
      <c r="H34" s="2957"/>
      <c r="I34" s="2948"/>
      <c r="J34" s="3700" t="s">
        <v>2323</v>
      </c>
      <c r="K34" s="370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2421</v>
      </c>
      <c r="C35" s="2980"/>
      <c r="D35" s="2981"/>
      <c r="E35" s="2982"/>
      <c r="F35" s="2935"/>
      <c r="G35" s="2983"/>
      <c r="H35" s="2847"/>
      <c r="I35" s="2948"/>
      <c r="J35" s="2866" t="s">
        <v>2325</v>
      </c>
      <c r="K35" s="2867"/>
      <c r="L35" s="2867"/>
      <c r="M35" s="2868"/>
      <c r="N35" s="2868"/>
      <c r="O35" s="2868"/>
      <c r="P35" s="2868"/>
      <c r="Q35" s="2868"/>
      <c r="R35" s="2984">
        <f>R40+R41+R43</f>
        <v>0</v>
      </c>
      <c r="S35" s="2921"/>
      <c r="T35" s="2840" t="s">
        <v>2326</v>
      </c>
      <c r="U35" s="2840"/>
      <c r="V35" s="2848"/>
    </row>
    <row r="36" spans="1:23" s="2852" customFormat="1" ht="13.15" customHeight="1" thickBot="1">
      <c r="A36" s="2930">
        <v>7</v>
      </c>
      <c r="B36" s="2985" t="s">
        <v>2422</v>
      </c>
      <c r="C36" s="2986"/>
      <c r="D36" s="2987"/>
      <c r="E36" s="2988"/>
      <c r="F36" s="2989">
        <f>C36+D36+E36</f>
        <v>0</v>
      </c>
      <c r="G36" s="2929"/>
      <c r="H36" s="2847"/>
      <c r="I36" s="2848"/>
      <c r="J36" s="3705">
        <v>1</v>
      </c>
      <c r="K36" s="3706" t="s">
        <v>2423</v>
      </c>
      <c r="L36" s="2873"/>
      <c r="M36" s="2874"/>
      <c r="N36" s="2874"/>
      <c r="O36" s="2874"/>
      <c r="P36" s="2874"/>
      <c r="Q36" s="2874"/>
      <c r="R36" s="2857" t="s">
        <v>2335</v>
      </c>
      <c r="S36" s="2921"/>
      <c r="T36" s="2840" t="s">
        <v>2336</v>
      </c>
      <c r="U36" s="2840"/>
      <c r="V36" s="2848"/>
    </row>
    <row r="37" spans="1:23" s="2852" customFormat="1" ht="13.15" customHeight="1">
      <c r="A37" s="2930"/>
      <c r="B37" s="2931"/>
      <c r="C37" s="2931"/>
      <c r="D37" s="2931"/>
      <c r="E37" s="2931"/>
      <c r="F37" s="2935"/>
      <c r="G37" s="2929"/>
      <c r="H37" s="2847"/>
      <c r="I37" s="2848"/>
      <c r="J37" s="3705"/>
      <c r="K37" s="3707"/>
      <c r="L37" s="2882"/>
      <c r="M37" s="2883"/>
      <c r="N37" s="2859"/>
      <c r="O37" s="2884"/>
      <c r="P37" s="2884"/>
      <c r="Q37" s="2885"/>
      <c r="R37" s="2886"/>
      <c r="S37" s="2921"/>
      <c r="T37" s="2840" t="s">
        <v>2339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5"/>
      <c r="K38" s="3707"/>
      <c r="L38" s="2882"/>
      <c r="M38" s="2883"/>
      <c r="N38" s="2859"/>
      <c r="O38" s="2884"/>
      <c r="P38" s="2884"/>
      <c r="Q38" s="2885"/>
      <c r="R38" s="2886"/>
      <c r="S38" s="2921"/>
      <c r="T38" s="2840" t="s">
        <v>2346</v>
      </c>
      <c r="U38" s="2840"/>
      <c r="V38" s="2848"/>
    </row>
    <row r="39" spans="1:23" s="2852" customFormat="1" ht="13.15" customHeight="1">
      <c r="A39" s="2930">
        <v>9</v>
      </c>
      <c r="B39" s="2931" t="s">
        <v>2424</v>
      </c>
      <c r="C39" s="2896" t="e">
        <f>C38</f>
        <v>#DIV/0!</v>
      </c>
      <c r="D39" s="2931">
        <f>D38/(1+D34)^C36</f>
        <v>0</v>
      </c>
      <c r="E39" s="2931">
        <f>E38/(1+E34)^(C36+D36)</f>
        <v>0</v>
      </c>
      <c r="F39" s="2935"/>
      <c r="G39" s="2990"/>
      <c r="H39" s="2847"/>
      <c r="I39" s="2848"/>
      <c r="J39" s="3705"/>
      <c r="K39" s="3707"/>
      <c r="L39" s="2882"/>
      <c r="M39" s="2883"/>
      <c r="N39" s="2859"/>
      <c r="O39" s="2884"/>
      <c r="P39" s="2884"/>
      <c r="Q39" s="2885"/>
      <c r="R39" s="2886"/>
      <c r="S39" s="2921"/>
      <c r="T39" s="2840"/>
      <c r="U39" s="2840"/>
      <c r="V39" s="2848"/>
    </row>
    <row r="40" spans="1:23" s="2852" customFormat="1" ht="13.15" customHeight="1">
      <c r="A40" s="2991">
        <v>10</v>
      </c>
      <c r="B40" s="2931" t="s">
        <v>2425</v>
      </c>
      <c r="C40" s="2992" t="e">
        <f>C39+D39+E39</f>
        <v>#DIV/0!</v>
      </c>
      <c r="D40" s="2993"/>
      <c r="E40" s="2993"/>
      <c r="F40" s="2994"/>
      <c r="G40" s="2929"/>
      <c r="H40" s="2847"/>
      <c r="I40" s="2848"/>
      <c r="J40" s="3705"/>
      <c r="K40" s="3708"/>
      <c r="L40" s="2902" t="s">
        <v>2364</v>
      </c>
      <c r="M40" s="2903"/>
      <c r="N40" s="2903"/>
      <c r="O40" s="2904"/>
      <c r="P40" s="2904"/>
      <c r="Q40" s="2905"/>
      <c r="R40" s="2851">
        <f>SUM(R37:R39)</f>
        <v>0</v>
      </c>
      <c r="S40" s="2921"/>
      <c r="T40" s="2840"/>
      <c r="U40" s="2840"/>
      <c r="V40" s="2848"/>
    </row>
    <row r="41" spans="1:23" s="2852" customFormat="1" ht="13.15" customHeight="1" thickBot="1">
      <c r="A41" s="2995">
        <v>11</v>
      </c>
      <c r="B41" s="2996" t="s">
        <v>2426</v>
      </c>
      <c r="C41" s="2996" t="e">
        <f>ROUND(C40*10000/B4,0)</f>
        <v>#DIV/0!</v>
      </c>
      <c r="D41" s="2997"/>
      <c r="E41" s="2997"/>
      <c r="F41" s="2998"/>
      <c r="G41" s="2999"/>
      <c r="H41" s="2847"/>
      <c r="I41" s="2848"/>
      <c r="J41" s="2943">
        <v>2</v>
      </c>
      <c r="K41" s="2944" t="s">
        <v>2404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5">
        <v>3</v>
      </c>
      <c r="K42" s="2950" t="s">
        <v>2406</v>
      </c>
      <c r="L42" s="2951"/>
      <c r="M42" s="2952"/>
      <c r="N42" s="2953" t="s">
        <v>2407</v>
      </c>
      <c r="O42" s="2953" t="s">
        <v>2408</v>
      </c>
      <c r="P42" s="2954" t="s">
        <v>2409</v>
      </c>
      <c r="Q42" s="2954" t="s">
        <v>2410</v>
      </c>
      <c r="R42" s="2857" t="s">
        <v>2335</v>
      </c>
      <c r="S42" s="2955"/>
      <c r="T42" s="2955"/>
      <c r="U42" s="2840"/>
      <c r="V42" s="2848"/>
    </row>
    <row r="43" spans="1:23" ht="13.15" customHeight="1">
      <c r="A43" s="2852"/>
      <c r="B43" s="2852"/>
      <c r="C43" s="2852"/>
      <c r="D43" s="2852"/>
      <c r="E43" s="2852"/>
      <c r="F43" s="2852"/>
      <c r="I43" s="2835"/>
      <c r="J43" s="371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2413</v>
      </c>
      <c r="L44" s="3003" t="s">
        <v>2414</v>
      </c>
      <c r="M44" s="2966"/>
      <c r="N44" s="3003" t="s">
        <v>2415</v>
      </c>
      <c r="O44" s="2966"/>
      <c r="P44" s="3003" t="s">
        <v>2416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15626</v>
      </c>
      <c r="C2" s="1871" t="s">
        <v>1651</v>
      </c>
      <c r="D2" s="1872" t="s">
        <v>1652</v>
      </c>
      <c r="E2" s="2606">
        <f>SUM(E6:E13)</f>
        <v>27113.21</v>
      </c>
      <c r="F2" s="2706"/>
      <c r="G2" s="1488"/>
      <c r="H2" s="1488"/>
      <c r="I2" s="1488"/>
      <c r="J2" s="1488"/>
      <c r="K2" s="1488"/>
      <c r="L2" s="1488"/>
      <c r="M2" s="1488"/>
      <c r="N2" s="1488"/>
      <c r="O2" s="1488"/>
      <c r="P2" s="1488"/>
      <c r="Q2" s="1488"/>
      <c r="R2" s="1488"/>
      <c r="S2" s="1488"/>
    </row>
    <row r="3" spans="1:22" ht="15.75">
      <c r="A3" s="1869" t="s">
        <v>686</v>
      </c>
      <c r="B3" s="2600">
        <f ca="1">ROUND(B2*10000/E2,0)</f>
        <v>5763</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17" t="s">
        <v>1654</v>
      </c>
      <c r="C5" s="3718"/>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15626</v>
      </c>
      <c r="C6" s="1871" t="s">
        <v>1651</v>
      </c>
      <c r="D6" s="2708"/>
      <c r="E6" s="2605">
        <f>IF(OR(A6=0,F6="否"),0,'数据-取费表'!K6+'数据-取费表'!S6)</f>
        <v>27113.21</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27113.21</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663" t="s">
        <v>1667</v>
      </c>
      <c r="D4" s="3664"/>
      <c r="E4" s="3665" t="s">
        <v>1668</v>
      </c>
      <c r="F4" s="3666"/>
      <c r="G4" s="3663" t="s">
        <v>1669</v>
      </c>
      <c r="H4" s="3664"/>
      <c r="I4" s="3663" t="s">
        <v>1670</v>
      </c>
      <c r="J4" s="3664"/>
      <c r="K4" s="1888" t="s">
        <v>1671</v>
      </c>
      <c r="L4" s="2714"/>
      <c r="M4" s="2715"/>
      <c r="N4" s="2715"/>
      <c r="O4" s="2715"/>
      <c r="P4" s="3667" t="s">
        <v>1672</v>
      </c>
      <c r="Q4" s="3668"/>
      <c r="R4" s="3677" t="s">
        <v>1668</v>
      </c>
      <c r="S4" s="3678"/>
      <c r="T4" s="3677" t="s">
        <v>1669</v>
      </c>
      <c r="U4" s="3678"/>
      <c r="V4" s="3655" t="s">
        <v>1670</v>
      </c>
      <c r="W4" s="3655"/>
      <c r="X4" s="1354"/>
      <c r="Y4" s="3677" t="s">
        <v>1672</v>
      </c>
      <c r="Z4" s="3678"/>
      <c r="AA4" s="3660" t="s">
        <v>1668</v>
      </c>
      <c r="AB4" s="3660" t="s">
        <v>1669</v>
      </c>
      <c r="AC4" s="3660" t="s">
        <v>1670</v>
      </c>
    </row>
    <row r="5" spans="1:29" ht="15">
      <c r="A5" s="358"/>
      <c r="B5" s="359"/>
      <c r="C5" s="3681" t="s">
        <v>1673</v>
      </c>
      <c r="D5" s="3682"/>
      <c r="E5" s="3673" t="s">
        <v>1674</v>
      </c>
      <c r="F5" s="3674"/>
      <c r="G5" s="3681" t="s">
        <v>1675</v>
      </c>
      <c r="H5" s="3682"/>
      <c r="I5" s="3681" t="s">
        <v>1676</v>
      </c>
      <c r="J5" s="3682"/>
      <c r="K5" s="1889"/>
      <c r="L5" s="2714"/>
      <c r="M5" s="2715"/>
      <c r="N5" s="2715"/>
      <c r="O5" s="2715"/>
      <c r="P5" s="3669"/>
      <c r="Q5" s="3670"/>
      <c r="R5" s="3679"/>
      <c r="S5" s="3680"/>
      <c r="T5" s="3679"/>
      <c r="U5" s="3680"/>
      <c r="V5" s="3655"/>
      <c r="W5" s="3655"/>
      <c r="X5" s="1354"/>
      <c r="Y5" s="3679"/>
      <c r="Z5" s="3680"/>
      <c r="AA5" s="3661"/>
      <c r="AB5" s="3661"/>
      <c r="AC5" s="3661"/>
    </row>
    <row r="6" spans="1:29" ht="15.75" thickBot="1">
      <c r="A6" s="360"/>
      <c r="B6" s="361"/>
      <c r="C6" s="3719" t="s">
        <v>1677</v>
      </c>
      <c r="D6" s="3720"/>
      <c r="E6" s="3721" t="s">
        <v>1677</v>
      </c>
      <c r="F6" s="3722"/>
      <c r="G6" s="3719" t="s">
        <v>1677</v>
      </c>
      <c r="H6" s="3720"/>
      <c r="I6" s="3719" t="s">
        <v>1677</v>
      </c>
      <c r="J6" s="3720"/>
      <c r="K6" s="1889" t="s">
        <v>1678</v>
      </c>
      <c r="L6" s="2714"/>
      <c r="M6" s="2715"/>
      <c r="N6" s="2715"/>
      <c r="O6" s="2715"/>
      <c r="P6" s="3671"/>
      <c r="Q6" s="3672"/>
      <c r="R6" s="3679"/>
      <c r="S6" s="3680"/>
      <c r="T6" s="3688"/>
      <c r="U6" s="3689"/>
      <c r="V6" s="3655"/>
      <c r="W6" s="3655"/>
      <c r="X6" s="1354"/>
      <c r="Y6" s="3688"/>
      <c r="Z6" s="3689"/>
      <c r="AA6" s="3662"/>
      <c r="AB6" s="3662"/>
      <c r="AC6" s="3662"/>
    </row>
    <row r="7" spans="1:29" s="108" customFormat="1" ht="15.75" thickBot="1">
      <c r="A7" s="362" t="s">
        <v>1679</v>
      </c>
      <c r="B7" s="363"/>
      <c r="C7" s="364">
        <f>'数据-取费表'!B2</f>
        <v>45195</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53" t="s">
        <v>1680</v>
      </c>
      <c r="Q7" s="3685"/>
      <c r="R7" s="701" t="s">
        <v>20</v>
      </c>
      <c r="S7" s="702">
        <f t="shared" ref="S7:S15" si="0">F7</f>
        <v>0</v>
      </c>
      <c r="T7" s="701" t="s">
        <v>20</v>
      </c>
      <c r="U7" s="702">
        <f t="shared" ref="U7:U15" si="1">H7</f>
        <v>0</v>
      </c>
      <c r="V7" s="701" t="s">
        <v>20</v>
      </c>
      <c r="W7" s="702">
        <f t="shared" ref="W7:W15" si="2">J7</f>
        <v>0</v>
      </c>
      <c r="X7" s="703"/>
      <c r="Y7" s="3653" t="s">
        <v>1680</v>
      </c>
      <c r="Z7" s="3654"/>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53" t="s">
        <v>1683</v>
      </c>
      <c r="Q8" s="3654"/>
      <c r="R8" s="701" t="s">
        <v>20</v>
      </c>
      <c r="S8" s="702">
        <f t="shared" si="0"/>
        <v>100</v>
      </c>
      <c r="T8" s="701" t="s">
        <v>20</v>
      </c>
      <c r="U8" s="702">
        <f t="shared" si="1"/>
        <v>100</v>
      </c>
      <c r="V8" s="701" t="s">
        <v>20</v>
      </c>
      <c r="W8" s="702">
        <f t="shared" si="2"/>
        <v>100</v>
      </c>
      <c r="X8" s="703"/>
      <c r="Y8" s="3653" t="s">
        <v>1683</v>
      </c>
      <c r="Z8" s="365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6" t="s">
        <v>1686</v>
      </c>
      <c r="Q9" s="1342"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76"/>
      <c r="Q10" s="1342"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6"/>
      <c r="Q11" s="1342" t="str">
        <f t="shared" si="6"/>
        <v>容积率</v>
      </c>
      <c r="R11" s="701" t="s">
        <v>18</v>
      </c>
      <c r="S11" s="702" t="e">
        <f t="shared" si="0"/>
        <v>#N/A</v>
      </c>
      <c r="T11" s="701" t="s">
        <v>18</v>
      </c>
      <c r="U11" s="702" t="e">
        <f t="shared" si="1"/>
        <v>#N/A</v>
      </c>
      <c r="V11" s="701" t="s">
        <v>18</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6"/>
      <c r="Q12" s="1342">
        <f t="shared" si="6"/>
        <v>111</v>
      </c>
      <c r="R12" s="701" t="s">
        <v>18</v>
      </c>
      <c r="S12" s="702">
        <f t="shared" si="0"/>
        <v>100</v>
      </c>
      <c r="T12" s="701" t="s">
        <v>18</v>
      </c>
      <c r="U12" s="702">
        <f t="shared" si="1"/>
        <v>100</v>
      </c>
      <c r="V12" s="701" t="s">
        <v>18</v>
      </c>
      <c r="W12" s="702">
        <f t="shared" si="2"/>
        <v>100</v>
      </c>
      <c r="X12" s="703"/>
      <c r="Y12" s="362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6"/>
      <c r="Q13" s="1342">
        <f t="shared" si="6"/>
        <v>111</v>
      </c>
      <c r="R13" s="701" t="s">
        <v>18</v>
      </c>
      <c r="S13" s="702">
        <f t="shared" si="0"/>
        <v>100</v>
      </c>
      <c r="T13" s="701" t="s">
        <v>18</v>
      </c>
      <c r="U13" s="702">
        <f t="shared" si="1"/>
        <v>100</v>
      </c>
      <c r="V13" s="701" t="s">
        <v>18</v>
      </c>
      <c r="W13" s="702">
        <f t="shared" si="2"/>
        <v>100</v>
      </c>
      <c r="X13" s="703"/>
      <c r="Y13" s="3624"/>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6"/>
      <c r="Q14" s="1342">
        <f t="shared" si="6"/>
        <v>111</v>
      </c>
      <c r="R14" s="701" t="s">
        <v>18</v>
      </c>
      <c r="S14" s="702">
        <f t="shared" si="0"/>
        <v>100</v>
      </c>
      <c r="T14" s="701" t="s">
        <v>18</v>
      </c>
      <c r="U14" s="702">
        <f t="shared" si="1"/>
        <v>100</v>
      </c>
      <c r="V14" s="701" t="s">
        <v>18</v>
      </c>
      <c r="W14" s="702">
        <f t="shared" si="2"/>
        <v>100</v>
      </c>
      <c r="X14" s="703"/>
      <c r="Y14" s="3624"/>
      <c r="Z14" s="52">
        <f t="shared" si="7"/>
        <v>111</v>
      </c>
      <c r="AA14" s="704">
        <f t="shared" si="3"/>
        <v>1</v>
      </c>
      <c r="AB14" s="704">
        <f t="shared" si="4"/>
        <v>1</v>
      </c>
      <c r="AC14" s="704">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9" t="s">
        <v>1691</v>
      </c>
      <c r="Q15" s="1351" t="str">
        <f t="shared" si="6"/>
        <v>居住社区成熟度</v>
      </c>
      <c r="R15" s="705" t="s">
        <v>18</v>
      </c>
      <c r="S15" s="706">
        <f t="shared" si="0"/>
        <v>100</v>
      </c>
      <c r="T15" s="705" t="s">
        <v>18</v>
      </c>
      <c r="U15" s="706">
        <f t="shared" si="1"/>
        <v>100</v>
      </c>
      <c r="V15" s="705" t="s">
        <v>18</v>
      </c>
      <c r="W15" s="706">
        <f t="shared" si="2"/>
        <v>100</v>
      </c>
      <c r="X15" s="1354"/>
      <c r="Y15" s="3656"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30"/>
      <c r="Q16" s="1351"/>
      <c r="R16" s="705"/>
      <c r="S16" s="706"/>
      <c r="T16" s="705"/>
      <c r="U16" s="706"/>
      <c r="V16" s="705"/>
      <c r="W16" s="706"/>
      <c r="X16" s="1354"/>
      <c r="Y16" s="3657"/>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30"/>
      <c r="Q17" s="1351" t="str">
        <f>B17</f>
        <v>交通便捷度</v>
      </c>
      <c r="R17" s="705" t="s">
        <v>18</v>
      </c>
      <c r="S17" s="706">
        <f>F17</f>
        <v>100</v>
      </c>
      <c r="T17" s="705" t="s">
        <v>18</v>
      </c>
      <c r="U17" s="706">
        <f>H17</f>
        <v>100</v>
      </c>
      <c r="V17" s="705" t="s">
        <v>18</v>
      </c>
      <c r="W17" s="706">
        <f>J17</f>
        <v>100</v>
      </c>
      <c r="X17" s="1354"/>
      <c r="Y17" s="365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30"/>
      <c r="Q18" s="1351"/>
      <c r="R18" s="705"/>
      <c r="S18" s="706"/>
      <c r="T18" s="705"/>
      <c r="U18" s="706"/>
      <c r="V18" s="705"/>
      <c r="W18" s="706"/>
      <c r="X18" s="1354"/>
      <c r="Y18" s="3657"/>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30"/>
      <c r="Q19" s="1351" t="str">
        <f>B19</f>
        <v>公共配套设施</v>
      </c>
      <c r="R19" s="705" t="s">
        <v>18</v>
      </c>
      <c r="S19" s="706">
        <f>F19</f>
        <v>100</v>
      </c>
      <c r="T19" s="705" t="s">
        <v>18</v>
      </c>
      <c r="U19" s="706">
        <f>H19</f>
        <v>100</v>
      </c>
      <c r="V19" s="705" t="s">
        <v>18</v>
      </c>
      <c r="W19" s="706">
        <f>J19</f>
        <v>100</v>
      </c>
      <c r="X19" s="1354"/>
      <c r="Y19" s="365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30"/>
      <c r="Q20" s="1351"/>
      <c r="R20" s="705"/>
      <c r="S20" s="706"/>
      <c r="T20" s="705"/>
      <c r="U20" s="706"/>
      <c r="V20" s="705"/>
      <c r="W20" s="706"/>
      <c r="X20" s="1354"/>
      <c r="Y20" s="3657"/>
      <c r="Z20" s="1355"/>
      <c r="AA20" s="1352">
        <v>1</v>
      </c>
      <c r="AB20" s="1352">
        <v>1</v>
      </c>
      <c r="AC20" s="1352">
        <v>1</v>
      </c>
    </row>
    <row r="21" spans="1:29" ht="15">
      <c r="A21" s="379"/>
      <c r="B21" s="1131"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30"/>
      <c r="Q21" s="1351" t="str">
        <f>B21</f>
        <v>基础设施水平</v>
      </c>
      <c r="R21" s="705" t="s">
        <v>14</v>
      </c>
      <c r="S21" s="706">
        <f>F21</f>
        <v>100</v>
      </c>
      <c r="T21" s="705" t="s">
        <v>14</v>
      </c>
      <c r="U21" s="706">
        <f>H21</f>
        <v>100</v>
      </c>
      <c r="V21" s="705" t="s">
        <v>14</v>
      </c>
      <c r="W21" s="706">
        <f>J21</f>
        <v>100</v>
      </c>
      <c r="X21" s="1354"/>
      <c r="Y21" s="365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30"/>
      <c r="Q22" s="1351"/>
      <c r="R22" s="705"/>
      <c r="S22" s="706"/>
      <c r="T22" s="705"/>
      <c r="U22" s="706"/>
      <c r="V22" s="705"/>
      <c r="W22" s="706"/>
      <c r="X22" s="1354"/>
      <c r="Y22" s="3657"/>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30"/>
      <c r="Q23" s="1351" t="str">
        <f>B23</f>
        <v>自然及人文环境</v>
      </c>
      <c r="R23" s="705" t="s">
        <v>18</v>
      </c>
      <c r="S23" s="706">
        <f>F23</f>
        <v>100</v>
      </c>
      <c r="T23" s="705" t="s">
        <v>18</v>
      </c>
      <c r="U23" s="706">
        <f>H23</f>
        <v>100</v>
      </c>
      <c r="V23" s="705" t="s">
        <v>18</v>
      </c>
      <c r="W23" s="706">
        <f>J23</f>
        <v>100</v>
      </c>
      <c r="X23" s="1354"/>
      <c r="Y23" s="365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30"/>
      <c r="Q24" s="1351"/>
      <c r="R24" s="705"/>
      <c r="S24" s="706"/>
      <c r="T24" s="705"/>
      <c r="U24" s="706"/>
      <c r="V24" s="705"/>
      <c r="W24" s="706"/>
      <c r="X24" s="1354"/>
      <c r="Y24" s="3657"/>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30"/>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57"/>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30"/>
      <c r="Q26" s="1351" t="str">
        <f t="shared" si="11"/>
        <v>朝向</v>
      </c>
      <c r="R26" s="705" t="s">
        <v>18</v>
      </c>
      <c r="S26" s="706">
        <f t="shared" si="12"/>
        <v>100</v>
      </c>
      <c r="T26" s="705" t="s">
        <v>18</v>
      </c>
      <c r="U26" s="706">
        <f t="shared" si="13"/>
        <v>100</v>
      </c>
      <c r="V26" s="705" t="s">
        <v>18</v>
      </c>
      <c r="W26" s="706">
        <f t="shared" si="14"/>
        <v>100</v>
      </c>
      <c r="X26" s="1354"/>
      <c r="Y26" s="3657"/>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30"/>
      <c r="Q27" s="1342">
        <f t="shared" si="11"/>
        <v>111</v>
      </c>
      <c r="R27" s="701" t="s">
        <v>18</v>
      </c>
      <c r="S27" s="702">
        <f t="shared" si="12"/>
        <v>100</v>
      </c>
      <c r="T27" s="701" t="s">
        <v>18</v>
      </c>
      <c r="U27" s="702">
        <f t="shared" si="13"/>
        <v>100</v>
      </c>
      <c r="V27" s="701" t="s">
        <v>18</v>
      </c>
      <c r="W27" s="702">
        <f t="shared" si="14"/>
        <v>100</v>
      </c>
      <c r="X27" s="703"/>
      <c r="Y27" s="3657"/>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30"/>
      <c r="Q28" s="1351">
        <f t="shared" si="11"/>
        <v>111</v>
      </c>
      <c r="R28" s="705" t="s">
        <v>18</v>
      </c>
      <c r="S28" s="706">
        <f t="shared" si="12"/>
        <v>100</v>
      </c>
      <c r="T28" s="705" t="s">
        <v>18</v>
      </c>
      <c r="U28" s="706">
        <f t="shared" si="13"/>
        <v>100</v>
      </c>
      <c r="V28" s="705" t="s">
        <v>18</v>
      </c>
      <c r="W28" s="706">
        <f t="shared" si="14"/>
        <v>100</v>
      </c>
      <c r="X28" s="1354"/>
      <c r="Y28" s="3657"/>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30"/>
      <c r="Q29" s="1351">
        <f t="shared" si="11"/>
        <v>111</v>
      </c>
      <c r="R29" s="705" t="s">
        <v>18</v>
      </c>
      <c r="S29" s="706">
        <f t="shared" si="12"/>
        <v>100</v>
      </c>
      <c r="T29" s="705" t="s">
        <v>18</v>
      </c>
      <c r="U29" s="706">
        <f t="shared" si="13"/>
        <v>100</v>
      </c>
      <c r="V29" s="705" t="s">
        <v>18</v>
      </c>
      <c r="W29" s="706">
        <f t="shared" si="14"/>
        <v>100</v>
      </c>
      <c r="X29" s="1354"/>
      <c r="Y29" s="3657"/>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30"/>
      <c r="Q30" s="1351">
        <f t="shared" si="11"/>
        <v>111</v>
      </c>
      <c r="R30" s="705" t="s">
        <v>18</v>
      </c>
      <c r="S30" s="706">
        <f t="shared" si="12"/>
        <v>100</v>
      </c>
      <c r="T30" s="705" t="s">
        <v>18</v>
      </c>
      <c r="U30" s="706">
        <f t="shared" si="13"/>
        <v>100</v>
      </c>
      <c r="V30" s="705" t="s">
        <v>18</v>
      </c>
      <c r="W30" s="706">
        <f t="shared" si="14"/>
        <v>100</v>
      </c>
      <c r="X30" s="1354"/>
      <c r="Y30" s="3657"/>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30"/>
      <c r="Q31" s="1351">
        <f t="shared" si="11"/>
        <v>111</v>
      </c>
      <c r="R31" s="705" t="s">
        <v>18</v>
      </c>
      <c r="S31" s="706">
        <f t="shared" si="12"/>
        <v>100</v>
      </c>
      <c r="T31" s="705" t="s">
        <v>18</v>
      </c>
      <c r="U31" s="706">
        <f t="shared" si="13"/>
        <v>100</v>
      </c>
      <c r="V31" s="705" t="s">
        <v>18</v>
      </c>
      <c r="W31" s="706">
        <f t="shared" si="14"/>
        <v>100</v>
      </c>
      <c r="X31" s="1354"/>
      <c r="Y31" s="3657"/>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25" t="s">
        <v>1696</v>
      </c>
      <c r="Q32" s="1351" t="str">
        <f t="shared" si="11"/>
        <v>建筑类型</v>
      </c>
      <c r="R32" s="705" t="s">
        <v>18</v>
      </c>
      <c r="S32" s="706">
        <f t="shared" si="12"/>
        <v>100</v>
      </c>
      <c r="T32" s="705" t="s">
        <v>18</v>
      </c>
      <c r="U32" s="706">
        <f t="shared" si="13"/>
        <v>100</v>
      </c>
      <c r="V32" s="705" t="s">
        <v>18</v>
      </c>
      <c r="W32" s="706">
        <f t="shared" si="14"/>
        <v>100</v>
      </c>
      <c r="X32" s="1354"/>
      <c r="Y32" s="3659"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26"/>
      <c r="Q33" s="707" t="str">
        <f t="shared" si="11"/>
        <v>项目建筑规模</v>
      </c>
      <c r="R33" s="708" t="s">
        <v>18</v>
      </c>
      <c r="S33" s="709" t="e">
        <f t="shared" si="12"/>
        <v>#N/A</v>
      </c>
      <c r="T33" s="708" t="s">
        <v>18</v>
      </c>
      <c r="U33" s="709" t="e">
        <f t="shared" si="13"/>
        <v>#N/A</v>
      </c>
      <c r="V33" s="708" t="s">
        <v>18</v>
      </c>
      <c r="W33" s="709" t="e">
        <f t="shared" si="14"/>
        <v>#N/A</v>
      </c>
      <c r="X33" s="710"/>
      <c r="Y33" s="3659"/>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26"/>
      <c r="Q34" s="1351" t="str">
        <f t="shared" si="11"/>
        <v>建筑结构</v>
      </c>
      <c r="R34" s="705" t="s">
        <v>18</v>
      </c>
      <c r="S34" s="706">
        <f t="shared" si="12"/>
        <v>100</v>
      </c>
      <c r="T34" s="705" t="s">
        <v>18</v>
      </c>
      <c r="U34" s="706">
        <f t="shared" si="13"/>
        <v>100</v>
      </c>
      <c r="V34" s="705" t="s">
        <v>18</v>
      </c>
      <c r="W34" s="706">
        <f t="shared" si="14"/>
        <v>100</v>
      </c>
      <c r="X34" s="1354"/>
      <c r="Y34" s="3659"/>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26"/>
      <c r="Q35" s="1351" t="str">
        <f t="shared" si="11"/>
        <v>建筑品质</v>
      </c>
      <c r="R35" s="705" t="s">
        <v>18</v>
      </c>
      <c r="S35" s="706">
        <f t="shared" si="12"/>
        <v>100</v>
      </c>
      <c r="T35" s="705" t="s">
        <v>18</v>
      </c>
      <c r="U35" s="706">
        <f t="shared" si="13"/>
        <v>100</v>
      </c>
      <c r="V35" s="705" t="s">
        <v>18</v>
      </c>
      <c r="W35" s="706">
        <f t="shared" si="14"/>
        <v>100</v>
      </c>
      <c r="X35" s="1354"/>
      <c r="Y35" s="3659"/>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26"/>
      <c r="Q36" s="1351" t="str">
        <f t="shared" si="11"/>
        <v>公共部分装修</v>
      </c>
      <c r="R36" s="705" t="s">
        <v>18</v>
      </c>
      <c r="S36" s="706">
        <f t="shared" si="12"/>
        <v>100</v>
      </c>
      <c r="T36" s="705" t="s">
        <v>18</v>
      </c>
      <c r="U36" s="706">
        <f t="shared" si="13"/>
        <v>100</v>
      </c>
      <c r="V36" s="705" t="s">
        <v>18</v>
      </c>
      <c r="W36" s="706">
        <f t="shared" si="14"/>
        <v>100</v>
      </c>
      <c r="X36" s="1354"/>
      <c r="Y36" s="3659"/>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26"/>
      <c r="Q37" s="1342" t="str">
        <f t="shared" si="11"/>
        <v>成新度</v>
      </c>
      <c r="R37" s="701" t="s">
        <v>18</v>
      </c>
      <c r="S37" s="702" t="e">
        <f t="shared" si="12"/>
        <v>#N/A</v>
      </c>
      <c r="T37" s="701" t="s">
        <v>18</v>
      </c>
      <c r="U37" s="702" t="e">
        <f t="shared" si="13"/>
        <v>#N/A</v>
      </c>
      <c r="V37" s="701" t="s">
        <v>18</v>
      </c>
      <c r="W37" s="702" t="e">
        <f t="shared" si="14"/>
        <v>#N/A</v>
      </c>
      <c r="X37" s="703"/>
      <c r="Y37" s="3659"/>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26" t="s">
        <v>1696</v>
      </c>
      <c r="Q38" s="1351" t="str">
        <f t="shared" si="11"/>
        <v>物业管理</v>
      </c>
      <c r="R38" s="705" t="s">
        <v>18</v>
      </c>
      <c r="S38" s="706">
        <f t="shared" si="12"/>
        <v>100</v>
      </c>
      <c r="T38" s="705" t="s">
        <v>18</v>
      </c>
      <c r="U38" s="706">
        <f t="shared" si="13"/>
        <v>100</v>
      </c>
      <c r="V38" s="705" t="s">
        <v>18</v>
      </c>
      <c r="W38" s="706">
        <f t="shared" si="14"/>
        <v>100</v>
      </c>
      <c r="X38" s="1354"/>
      <c r="Y38" s="3659"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26"/>
      <c r="Q39" s="1351" t="str">
        <f t="shared" si="11"/>
        <v>市政基础设施</v>
      </c>
      <c r="R39" s="705" t="s">
        <v>18</v>
      </c>
      <c r="S39" s="706">
        <f t="shared" si="12"/>
        <v>100</v>
      </c>
      <c r="T39" s="705" t="s">
        <v>18</v>
      </c>
      <c r="U39" s="706">
        <f t="shared" si="13"/>
        <v>100</v>
      </c>
      <c r="V39" s="705" t="s">
        <v>18</v>
      </c>
      <c r="W39" s="706">
        <f t="shared" si="14"/>
        <v>100</v>
      </c>
      <c r="X39" s="1354"/>
      <c r="Y39" s="3659"/>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26"/>
      <c r="Q40" s="1351" t="str">
        <f t="shared" si="11"/>
        <v>房型</v>
      </c>
      <c r="R40" s="705" t="s">
        <v>18</v>
      </c>
      <c r="S40" s="706">
        <f t="shared" si="12"/>
        <v>100</v>
      </c>
      <c r="T40" s="705" t="s">
        <v>18</v>
      </c>
      <c r="U40" s="706">
        <f t="shared" si="13"/>
        <v>100</v>
      </c>
      <c r="V40" s="705" t="s">
        <v>18</v>
      </c>
      <c r="W40" s="706">
        <f t="shared" si="14"/>
        <v>100</v>
      </c>
      <c r="X40" s="1354"/>
      <c r="Y40" s="3659"/>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26"/>
      <c r="Q41" s="707" t="str">
        <f t="shared" si="11"/>
        <v>单套/主力户型建筑面积</v>
      </c>
      <c r="R41" s="708" t="s">
        <v>18</v>
      </c>
      <c r="S41" s="709">
        <f t="shared" si="12"/>
        <v>100</v>
      </c>
      <c r="T41" s="708" t="s">
        <v>18</v>
      </c>
      <c r="U41" s="709">
        <f t="shared" si="13"/>
        <v>100</v>
      </c>
      <c r="V41" s="708" t="s">
        <v>18</v>
      </c>
      <c r="W41" s="709">
        <f t="shared" si="14"/>
        <v>100</v>
      </c>
      <c r="X41" s="710"/>
      <c r="Y41" s="3659"/>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26"/>
      <c r="Q42" s="1351" t="str">
        <f t="shared" si="11"/>
        <v>内部装修</v>
      </c>
      <c r="R42" s="705" t="s">
        <v>18</v>
      </c>
      <c r="S42" s="706">
        <f t="shared" si="12"/>
        <v>100</v>
      </c>
      <c r="T42" s="705" t="s">
        <v>18</v>
      </c>
      <c r="U42" s="706">
        <f t="shared" si="13"/>
        <v>100</v>
      </c>
      <c r="V42" s="705" t="s">
        <v>18</v>
      </c>
      <c r="W42" s="706">
        <f t="shared" si="14"/>
        <v>100</v>
      </c>
      <c r="X42" s="1354"/>
      <c r="Y42" s="3659"/>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26"/>
      <c r="Q43" s="1351" t="str">
        <f t="shared" si="11"/>
        <v>内部装修维护情况</v>
      </c>
      <c r="R43" s="705" t="s">
        <v>18</v>
      </c>
      <c r="S43" s="706">
        <f t="shared" si="12"/>
        <v>100</v>
      </c>
      <c r="T43" s="705" t="s">
        <v>18</v>
      </c>
      <c r="U43" s="706">
        <f t="shared" si="13"/>
        <v>100</v>
      </c>
      <c r="V43" s="705" t="s">
        <v>18</v>
      </c>
      <c r="W43" s="706">
        <f t="shared" si="14"/>
        <v>100</v>
      </c>
      <c r="X43" s="1354"/>
      <c r="Y43" s="3659"/>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26"/>
      <c r="Q44" s="1342">
        <f t="shared" si="11"/>
        <v>111</v>
      </c>
      <c r="R44" s="701" t="s">
        <v>18</v>
      </c>
      <c r="S44" s="702">
        <f t="shared" si="12"/>
        <v>100</v>
      </c>
      <c r="T44" s="701" t="s">
        <v>18</v>
      </c>
      <c r="U44" s="702">
        <f t="shared" si="13"/>
        <v>100</v>
      </c>
      <c r="V44" s="701" t="s">
        <v>18</v>
      </c>
      <c r="W44" s="702">
        <f t="shared" si="14"/>
        <v>100</v>
      </c>
      <c r="X44" s="703"/>
      <c r="Y44" s="365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26"/>
      <c r="Q45" s="1351">
        <f t="shared" si="11"/>
        <v>111</v>
      </c>
      <c r="R45" s="705" t="s">
        <v>18</v>
      </c>
      <c r="S45" s="706">
        <f t="shared" si="12"/>
        <v>100</v>
      </c>
      <c r="T45" s="705" t="s">
        <v>18</v>
      </c>
      <c r="U45" s="706">
        <f t="shared" si="13"/>
        <v>100</v>
      </c>
      <c r="V45" s="705" t="s">
        <v>18</v>
      </c>
      <c r="W45" s="706">
        <f t="shared" si="14"/>
        <v>100</v>
      </c>
      <c r="X45" s="1354"/>
      <c r="Y45" s="3659"/>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27"/>
      <c r="Q46" s="1351">
        <f t="shared" si="11"/>
        <v>111</v>
      </c>
      <c r="R46" s="705" t="s">
        <v>17</v>
      </c>
      <c r="S46" s="706">
        <f t="shared" si="12"/>
        <v>100</v>
      </c>
      <c r="T46" s="705" t="s">
        <v>17</v>
      </c>
      <c r="U46" s="706">
        <f t="shared" si="13"/>
        <v>100</v>
      </c>
      <c r="V46" s="705" t="s">
        <v>17</v>
      </c>
      <c r="W46" s="706">
        <f t="shared" si="14"/>
        <v>100</v>
      </c>
      <c r="X46" s="1354"/>
      <c r="Y46" s="3728"/>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651" t="str">
        <f>A47</f>
        <v>成交单价（元/平方米）</v>
      </c>
      <c r="Q47" s="3651"/>
      <c r="R47" s="3724">
        <f>E47</f>
        <v>0</v>
      </c>
      <c r="S47" s="3724"/>
      <c r="T47" s="3724">
        <f>G47</f>
        <v>0</v>
      </c>
      <c r="U47" s="3724"/>
      <c r="V47" s="3724">
        <f>I47</f>
        <v>0</v>
      </c>
      <c r="W47" s="3724"/>
      <c r="X47" s="690"/>
      <c r="Y47" s="712"/>
      <c r="Z47" s="690"/>
      <c r="AA47" s="690"/>
      <c r="AB47" s="690"/>
      <c r="AC47" s="690"/>
    </row>
    <row r="48" spans="1:29" ht="15.75" thickBot="1">
      <c r="A48" s="437" t="s">
        <v>1709</v>
      </c>
      <c r="B48" s="438"/>
      <c r="C48" s="1160" t="e">
        <f>R49</f>
        <v>#DIV/0!</v>
      </c>
      <c r="D48" s="2316" t="s">
        <v>2137</v>
      </c>
      <c r="E48" s="1161" t="e">
        <f>R48</f>
        <v>#DIV/0!</v>
      </c>
      <c r="F48" s="2317"/>
      <c r="G48" s="1160" t="e">
        <f>T48</f>
        <v>#DIV/0!</v>
      </c>
      <c r="H48" s="2317"/>
      <c r="I48" s="1161" t="e">
        <f>V48</f>
        <v>#DIV/0!</v>
      </c>
      <c r="J48" s="2317"/>
      <c r="K48" s="2318">
        <f>F48+H48+J48</f>
        <v>0</v>
      </c>
      <c r="L48" s="2723"/>
      <c r="M48" s="2724"/>
      <c r="N48" s="2724"/>
      <c r="O48" s="2724"/>
      <c r="P48" s="3651" t="str">
        <f>A48</f>
        <v>比较价值（元/平方米）</v>
      </c>
      <c r="Q48" s="3651"/>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648" t="str">
        <f>A49</f>
        <v>估价对象XX用房的比较价值（楼面单价，元/平方米）</v>
      </c>
      <c r="Q49" s="3649"/>
      <c r="R49" s="3723" t="e">
        <f>IF(F1="售价",ROUND(IF(D48="简单平均",AVERAGE(R48:V48),R48*F48+T48*H48+V48*J48),0),ROUND(IF(D48="简单平均",AVERAGE(R48:V48),R48*F48+T48*H48+V48*J48),1))</f>
        <v>#DIV/0!</v>
      </c>
      <c r="S49" s="3723"/>
      <c r="T49" s="3723"/>
      <c r="U49" s="3723"/>
      <c r="V49" s="3723"/>
      <c r="W49" s="372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2023-9</v>
      </c>
      <c r="D58" s="1184">
        <f>EDATE(C58,-1)</f>
        <v>45139</v>
      </c>
      <c r="E58" s="1184">
        <f>EDATE(D58,-1)</f>
        <v>45108</v>
      </c>
      <c r="F58" s="1184">
        <f t="shared" ref="F58:O58" si="19">EDATE(E58,-1)</f>
        <v>45078</v>
      </c>
      <c r="G58" s="1184">
        <f t="shared" si="19"/>
        <v>45047</v>
      </c>
      <c r="H58" s="1184">
        <f t="shared" si="19"/>
        <v>45017</v>
      </c>
      <c r="I58" s="1184">
        <f t="shared" si="19"/>
        <v>44986</v>
      </c>
      <c r="J58" s="1184">
        <f t="shared" si="19"/>
        <v>44958</v>
      </c>
      <c r="K58" s="1184">
        <f t="shared" si="19"/>
        <v>44927</v>
      </c>
      <c r="L58" s="1184">
        <f t="shared" si="19"/>
        <v>44896</v>
      </c>
      <c r="M58" s="1184">
        <f t="shared" si="19"/>
        <v>44866</v>
      </c>
      <c r="N58" s="1184">
        <f t="shared" si="19"/>
        <v>44835</v>
      </c>
      <c r="O58" s="1184">
        <f t="shared" si="19"/>
        <v>44805</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27113.21</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63" t="s">
        <v>1770</v>
      </c>
      <c r="D4" s="3664"/>
      <c r="E4" s="3665" t="s">
        <v>1771</v>
      </c>
      <c r="F4" s="3666"/>
      <c r="G4" s="3663" t="s">
        <v>1772</v>
      </c>
      <c r="H4" s="3664"/>
      <c r="I4" s="3663" t="s">
        <v>1773</v>
      </c>
      <c r="J4" s="3664"/>
      <c r="K4" s="559" t="s">
        <v>1774</v>
      </c>
      <c r="L4" s="2714"/>
      <c r="M4" s="2715"/>
      <c r="N4" s="2715"/>
      <c r="O4" s="2715"/>
      <c r="P4" s="3667" t="s">
        <v>1775</v>
      </c>
      <c r="Q4" s="3668"/>
      <c r="R4" s="3677" t="s">
        <v>1771</v>
      </c>
      <c r="S4" s="3678"/>
      <c r="T4" s="3677" t="s">
        <v>1772</v>
      </c>
      <c r="U4" s="3678"/>
      <c r="V4" s="3655" t="s">
        <v>1773</v>
      </c>
      <c r="W4" s="3655"/>
      <c r="X4" s="1354"/>
      <c r="Y4" s="3677" t="s">
        <v>1775</v>
      </c>
      <c r="Z4" s="3678"/>
      <c r="AA4" s="3660" t="s">
        <v>1771</v>
      </c>
      <c r="AB4" s="3655" t="s">
        <v>1772</v>
      </c>
      <c r="AC4" s="3660" t="s">
        <v>1773</v>
      </c>
    </row>
    <row r="5" spans="1:29" ht="15">
      <c r="A5" s="358"/>
      <c r="B5" s="359"/>
      <c r="C5" s="3681" t="s">
        <v>1673</v>
      </c>
      <c r="D5" s="3682"/>
      <c r="E5" s="3673" t="s">
        <v>1674</v>
      </c>
      <c r="F5" s="3674"/>
      <c r="G5" s="3681" t="s">
        <v>1675</v>
      </c>
      <c r="H5" s="3682"/>
      <c r="I5" s="3681" t="s">
        <v>1676</v>
      </c>
      <c r="J5" s="3682"/>
      <c r="K5" s="559"/>
      <c r="L5" s="2714"/>
      <c r="M5" s="2715"/>
      <c r="N5" s="2715"/>
      <c r="O5" s="2715"/>
      <c r="P5" s="3669"/>
      <c r="Q5" s="3670"/>
      <c r="R5" s="3679"/>
      <c r="S5" s="3680"/>
      <c r="T5" s="3679"/>
      <c r="U5" s="3680"/>
      <c r="V5" s="3655"/>
      <c r="W5" s="3655"/>
      <c r="X5" s="1354"/>
      <c r="Y5" s="3679"/>
      <c r="Z5" s="3680"/>
      <c r="AA5" s="3661"/>
      <c r="AB5" s="3655"/>
      <c r="AC5" s="3661"/>
    </row>
    <row r="6" spans="1:29" ht="15.75" thickBot="1">
      <c r="A6" s="360"/>
      <c r="B6" s="361"/>
      <c r="C6" s="3719" t="s">
        <v>1677</v>
      </c>
      <c r="D6" s="3720"/>
      <c r="E6" s="3721" t="s">
        <v>1677</v>
      </c>
      <c r="F6" s="3722"/>
      <c r="G6" s="3719" t="s">
        <v>1677</v>
      </c>
      <c r="H6" s="3720"/>
      <c r="I6" s="3719" t="s">
        <v>1677</v>
      </c>
      <c r="J6" s="3720"/>
      <c r="K6" s="559" t="s">
        <v>1678</v>
      </c>
      <c r="L6" s="2714"/>
      <c r="M6" s="2715"/>
      <c r="N6" s="2715"/>
      <c r="O6" s="2715"/>
      <c r="P6" s="3671"/>
      <c r="Q6" s="3672"/>
      <c r="R6" s="3679"/>
      <c r="S6" s="3680"/>
      <c r="T6" s="3688"/>
      <c r="U6" s="3689"/>
      <c r="V6" s="3655"/>
      <c r="W6" s="3655"/>
      <c r="X6" s="1354"/>
      <c r="Y6" s="3688"/>
      <c r="Z6" s="3689"/>
      <c r="AA6" s="3662"/>
      <c r="AB6" s="3655"/>
      <c r="AC6" s="3662"/>
    </row>
    <row r="7" spans="1:29" s="108" customFormat="1" ht="15.75" thickBot="1">
      <c r="A7" s="362" t="s">
        <v>1679</v>
      </c>
      <c r="B7" s="363"/>
      <c r="C7" s="364">
        <f>'数据-取费表'!B2</f>
        <v>45195</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53" t="s">
        <v>1680</v>
      </c>
      <c r="Q7" s="3685"/>
      <c r="R7" s="701" t="s">
        <v>14</v>
      </c>
      <c r="S7" s="702">
        <f t="shared" ref="S7:S15" si="0">F7</f>
        <v>0</v>
      </c>
      <c r="T7" s="701" t="s">
        <v>14</v>
      </c>
      <c r="U7" s="702">
        <f t="shared" ref="U7:U15" si="1">H7</f>
        <v>0</v>
      </c>
      <c r="V7" s="701" t="s">
        <v>14</v>
      </c>
      <c r="W7" s="702">
        <f t="shared" ref="W7:W15" si="2">J7</f>
        <v>0</v>
      </c>
      <c r="X7" s="703"/>
      <c r="Y7" s="3653" t="s">
        <v>1680</v>
      </c>
      <c r="Z7" s="365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53" t="s">
        <v>1683</v>
      </c>
      <c r="Q8" s="3654"/>
      <c r="R8" s="701" t="s">
        <v>14</v>
      </c>
      <c r="S8" s="702">
        <f t="shared" si="0"/>
        <v>100</v>
      </c>
      <c r="T8" s="701" t="s">
        <v>14</v>
      </c>
      <c r="U8" s="702">
        <f t="shared" si="1"/>
        <v>100</v>
      </c>
      <c r="V8" s="701" t="s">
        <v>14</v>
      </c>
      <c r="W8" s="702">
        <f t="shared" si="2"/>
        <v>100</v>
      </c>
      <c r="X8" s="703"/>
      <c r="Y8" s="3653" t="s">
        <v>1683</v>
      </c>
      <c r="Z8" s="365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6" t="s">
        <v>1686</v>
      </c>
      <c r="Q9" s="1342"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6"/>
      <c r="Q10" s="1342"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6"/>
      <c r="Q11" s="1342"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6"/>
      <c r="Q12" s="1342">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6"/>
      <c r="Q13" s="1342">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6"/>
      <c r="Q14" s="1342">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9" t="s">
        <v>1691</v>
      </c>
      <c r="Q15" s="1351" t="str">
        <f t="shared" si="6"/>
        <v>商业繁华度</v>
      </c>
      <c r="R15" s="705" t="s">
        <v>14</v>
      </c>
      <c r="S15" s="706">
        <f t="shared" si="0"/>
        <v>100</v>
      </c>
      <c r="T15" s="705" t="s">
        <v>14</v>
      </c>
      <c r="U15" s="706">
        <f t="shared" si="1"/>
        <v>100</v>
      </c>
      <c r="V15" s="705" t="s">
        <v>14</v>
      </c>
      <c r="W15" s="706">
        <f t="shared" si="2"/>
        <v>100</v>
      </c>
      <c r="X15" s="1354"/>
      <c r="Y15" s="3656"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30"/>
      <c r="Q16" s="1351"/>
      <c r="R16" s="705"/>
      <c r="S16" s="706"/>
      <c r="T16" s="705"/>
      <c r="U16" s="706"/>
      <c r="V16" s="705"/>
      <c r="W16" s="706"/>
      <c r="X16" s="1354"/>
      <c r="Y16" s="3657"/>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30"/>
      <c r="Q17" s="1351" t="str">
        <f>B17</f>
        <v>交通便捷度</v>
      </c>
      <c r="R17" s="705" t="s">
        <v>14</v>
      </c>
      <c r="S17" s="706">
        <f>F17</f>
        <v>100</v>
      </c>
      <c r="T17" s="705" t="s">
        <v>14</v>
      </c>
      <c r="U17" s="706">
        <f>H17</f>
        <v>100</v>
      </c>
      <c r="V17" s="705" t="s">
        <v>14</v>
      </c>
      <c r="W17" s="706">
        <f>J17</f>
        <v>100</v>
      </c>
      <c r="X17" s="1354"/>
      <c r="Y17" s="365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30"/>
      <c r="Q18" s="1351"/>
      <c r="R18" s="705"/>
      <c r="S18" s="706"/>
      <c r="T18" s="705"/>
      <c r="U18" s="706"/>
      <c r="V18" s="705"/>
      <c r="W18" s="706"/>
      <c r="X18" s="1354"/>
      <c r="Y18" s="3657"/>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30"/>
      <c r="Q19" s="1351" t="str">
        <f>B19</f>
        <v>公共配套设施</v>
      </c>
      <c r="R19" s="705" t="s">
        <v>14</v>
      </c>
      <c r="S19" s="706">
        <f>F19</f>
        <v>100</v>
      </c>
      <c r="T19" s="705" t="s">
        <v>14</v>
      </c>
      <c r="U19" s="706">
        <f>H19</f>
        <v>100</v>
      </c>
      <c r="V19" s="705" t="s">
        <v>14</v>
      </c>
      <c r="W19" s="706">
        <f>J19</f>
        <v>100</v>
      </c>
      <c r="X19" s="1354"/>
      <c r="Y19" s="365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30"/>
      <c r="Q20" s="1351"/>
      <c r="R20" s="705"/>
      <c r="S20" s="706"/>
      <c r="T20" s="705"/>
      <c r="U20" s="706"/>
      <c r="V20" s="705"/>
      <c r="W20" s="706"/>
      <c r="X20" s="1354"/>
      <c r="Y20" s="3657"/>
      <c r="Z20" s="1355"/>
      <c r="AA20" s="1352">
        <v>1</v>
      </c>
      <c r="AB20" s="1352">
        <v>1</v>
      </c>
      <c r="AC20" s="1352">
        <v>1</v>
      </c>
    </row>
    <row r="21" spans="1:29" ht="15">
      <c r="A21" s="379"/>
      <c r="B21" s="1131"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30"/>
      <c r="Q21" s="1351" t="str">
        <f>B21</f>
        <v>基础设施水平</v>
      </c>
      <c r="R21" s="705" t="s">
        <v>14</v>
      </c>
      <c r="S21" s="706">
        <f>F21</f>
        <v>100</v>
      </c>
      <c r="T21" s="705" t="s">
        <v>14</v>
      </c>
      <c r="U21" s="706">
        <f>H21</f>
        <v>100</v>
      </c>
      <c r="V21" s="705" t="s">
        <v>14</v>
      </c>
      <c r="W21" s="706">
        <f>J21</f>
        <v>100</v>
      </c>
      <c r="X21" s="1354"/>
      <c r="Y21" s="365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30"/>
      <c r="Q22" s="1351"/>
      <c r="R22" s="705"/>
      <c r="S22" s="706"/>
      <c r="T22" s="705"/>
      <c r="U22" s="706"/>
      <c r="V22" s="705"/>
      <c r="W22" s="706"/>
      <c r="X22" s="1354"/>
      <c r="Y22" s="3657"/>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30"/>
      <c r="Q23" s="1351" t="str">
        <f>B23</f>
        <v>自然及人文环境</v>
      </c>
      <c r="R23" s="705" t="s">
        <v>14</v>
      </c>
      <c r="S23" s="706">
        <f>F23</f>
        <v>100</v>
      </c>
      <c r="T23" s="705" t="s">
        <v>14</v>
      </c>
      <c r="U23" s="706">
        <f>H23</f>
        <v>100</v>
      </c>
      <c r="V23" s="705" t="s">
        <v>14</v>
      </c>
      <c r="W23" s="706">
        <f>J23</f>
        <v>100</v>
      </c>
      <c r="X23" s="1354"/>
      <c r="Y23" s="3657"/>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30"/>
      <c r="Q24" s="1351"/>
      <c r="R24" s="705"/>
      <c r="S24" s="706"/>
      <c r="T24" s="705"/>
      <c r="U24" s="706"/>
      <c r="V24" s="705"/>
      <c r="W24" s="706"/>
      <c r="X24" s="1354"/>
      <c r="Y24" s="3657"/>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30"/>
      <c r="Q25" s="1351" t="str">
        <f t="shared" ref="Q25:Q46" si="11">B25</f>
        <v>临街状况</v>
      </c>
      <c r="R25" s="705" t="s">
        <v>14</v>
      </c>
      <c r="S25" s="706">
        <f>F25</f>
        <v>100</v>
      </c>
      <c r="T25" s="705" t="s">
        <v>14</v>
      </c>
      <c r="U25" s="706">
        <f>H25</f>
        <v>100</v>
      </c>
      <c r="V25" s="705" t="s">
        <v>14</v>
      </c>
      <c r="W25" s="706">
        <f>J25</f>
        <v>100</v>
      </c>
      <c r="X25" s="1354"/>
      <c r="Y25" s="3657"/>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30"/>
      <c r="Q26" s="1351" t="str">
        <f t="shared" si="11"/>
        <v>平面位置/可视性</v>
      </c>
      <c r="R26" s="705" t="s">
        <v>14</v>
      </c>
      <c r="S26" s="706">
        <f>F26</f>
        <v>100</v>
      </c>
      <c r="T26" s="705" t="s">
        <v>14</v>
      </c>
      <c r="U26" s="706">
        <f>H26</f>
        <v>100</v>
      </c>
      <c r="V26" s="705" t="s">
        <v>14</v>
      </c>
      <c r="W26" s="706">
        <f>J26</f>
        <v>100</v>
      </c>
      <c r="X26" s="1354"/>
      <c r="Y26" s="3657"/>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30"/>
      <c r="Q27" s="1342" t="str">
        <f t="shared" si="11"/>
        <v>人流量</v>
      </c>
      <c r="R27" s="701" t="s">
        <v>14</v>
      </c>
      <c r="S27" s="702">
        <f>F27</f>
        <v>100</v>
      </c>
      <c r="T27" s="701" t="s">
        <v>14</v>
      </c>
      <c r="U27" s="702">
        <f>H27</f>
        <v>100</v>
      </c>
      <c r="V27" s="701" t="s">
        <v>14</v>
      </c>
      <c r="W27" s="702">
        <f>J27</f>
        <v>100</v>
      </c>
      <c r="X27" s="703"/>
      <c r="Y27" s="3657"/>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30"/>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57"/>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30"/>
      <c r="Q29" s="1351">
        <f t="shared" si="11"/>
        <v>111</v>
      </c>
      <c r="R29" s="705" t="s">
        <v>14</v>
      </c>
      <c r="S29" s="706">
        <f t="shared" si="12"/>
        <v>100</v>
      </c>
      <c r="T29" s="705" t="s">
        <v>14</v>
      </c>
      <c r="U29" s="706">
        <f t="shared" si="13"/>
        <v>100</v>
      </c>
      <c r="V29" s="705" t="s">
        <v>14</v>
      </c>
      <c r="W29" s="706">
        <f t="shared" si="14"/>
        <v>100</v>
      </c>
      <c r="X29" s="1354"/>
      <c r="Y29" s="3657"/>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30"/>
      <c r="Q30" s="1351">
        <f t="shared" si="11"/>
        <v>111</v>
      </c>
      <c r="R30" s="705" t="s">
        <v>14</v>
      </c>
      <c r="S30" s="706">
        <f t="shared" si="12"/>
        <v>100</v>
      </c>
      <c r="T30" s="705" t="s">
        <v>14</v>
      </c>
      <c r="U30" s="706">
        <f t="shared" si="13"/>
        <v>100</v>
      </c>
      <c r="V30" s="705" t="s">
        <v>14</v>
      </c>
      <c r="W30" s="706">
        <f t="shared" si="14"/>
        <v>100</v>
      </c>
      <c r="X30" s="1354"/>
      <c r="Y30" s="3657"/>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30"/>
      <c r="Q31" s="1351">
        <f t="shared" si="11"/>
        <v>111</v>
      </c>
      <c r="R31" s="705" t="s">
        <v>14</v>
      </c>
      <c r="S31" s="706">
        <f t="shared" si="12"/>
        <v>100</v>
      </c>
      <c r="T31" s="705" t="s">
        <v>14</v>
      </c>
      <c r="U31" s="706">
        <f t="shared" si="13"/>
        <v>100</v>
      </c>
      <c r="V31" s="705" t="s">
        <v>14</v>
      </c>
      <c r="W31" s="706">
        <f t="shared" si="14"/>
        <v>100</v>
      </c>
      <c r="X31" s="1354"/>
      <c r="Y31" s="3657"/>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25" t="s">
        <v>1696</v>
      </c>
      <c r="Q32" s="1351" t="str">
        <f t="shared" si="11"/>
        <v>商业类型</v>
      </c>
      <c r="R32" s="705" t="s">
        <v>14</v>
      </c>
      <c r="S32" s="706">
        <f t="shared" si="12"/>
        <v>100</v>
      </c>
      <c r="T32" s="705" t="s">
        <v>14</v>
      </c>
      <c r="U32" s="706">
        <f t="shared" si="13"/>
        <v>100</v>
      </c>
      <c r="V32" s="705" t="s">
        <v>14</v>
      </c>
      <c r="W32" s="706">
        <f t="shared" si="14"/>
        <v>100</v>
      </c>
      <c r="X32" s="1354"/>
      <c r="Y32" s="3659"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26"/>
      <c r="Q33" s="707" t="str">
        <f t="shared" si="11"/>
        <v>项目建筑规模</v>
      </c>
      <c r="R33" s="708" t="s">
        <v>14</v>
      </c>
      <c r="S33" s="709" t="e">
        <f t="shared" si="12"/>
        <v>#N/A</v>
      </c>
      <c r="T33" s="708" t="s">
        <v>14</v>
      </c>
      <c r="U33" s="709" t="e">
        <f t="shared" si="13"/>
        <v>#N/A</v>
      </c>
      <c r="V33" s="708" t="s">
        <v>14</v>
      </c>
      <c r="W33" s="709" t="e">
        <f t="shared" si="14"/>
        <v>#N/A</v>
      </c>
      <c r="X33" s="710"/>
      <c r="Y33" s="3659"/>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26"/>
      <c r="Q34" s="1351" t="str">
        <f t="shared" si="11"/>
        <v>建筑结构</v>
      </c>
      <c r="R34" s="705" t="s">
        <v>14</v>
      </c>
      <c r="S34" s="706">
        <f t="shared" si="12"/>
        <v>100</v>
      </c>
      <c r="T34" s="705" t="s">
        <v>14</v>
      </c>
      <c r="U34" s="706">
        <f t="shared" si="13"/>
        <v>100</v>
      </c>
      <c r="V34" s="705" t="s">
        <v>14</v>
      </c>
      <c r="W34" s="706">
        <f t="shared" si="14"/>
        <v>100</v>
      </c>
      <c r="X34" s="1354"/>
      <c r="Y34" s="3659"/>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26"/>
      <c r="Q35" s="1351" t="str">
        <f t="shared" si="11"/>
        <v>公共部分装修</v>
      </c>
      <c r="R35" s="705" t="s">
        <v>14</v>
      </c>
      <c r="S35" s="706">
        <f t="shared" si="12"/>
        <v>100</v>
      </c>
      <c r="T35" s="705" t="s">
        <v>14</v>
      </c>
      <c r="U35" s="706">
        <f t="shared" si="13"/>
        <v>100</v>
      </c>
      <c r="V35" s="705" t="s">
        <v>14</v>
      </c>
      <c r="W35" s="706">
        <f t="shared" si="14"/>
        <v>100</v>
      </c>
      <c r="X35" s="1354"/>
      <c r="Y35" s="3659"/>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26"/>
      <c r="Q36" s="1351" t="str">
        <f t="shared" si="11"/>
        <v>成新度</v>
      </c>
      <c r="R36" s="705" t="s">
        <v>14</v>
      </c>
      <c r="S36" s="706" t="e">
        <f t="shared" si="12"/>
        <v>#N/A</v>
      </c>
      <c r="T36" s="705" t="s">
        <v>14</v>
      </c>
      <c r="U36" s="706" t="e">
        <f t="shared" si="13"/>
        <v>#N/A</v>
      </c>
      <c r="V36" s="705" t="s">
        <v>14</v>
      </c>
      <c r="W36" s="706" t="e">
        <f t="shared" si="14"/>
        <v>#N/A</v>
      </c>
      <c r="X36" s="1354"/>
      <c r="Y36" s="3659"/>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26"/>
      <c r="Q37" s="1342" t="str">
        <f t="shared" si="11"/>
        <v>市政基础设施</v>
      </c>
      <c r="R37" s="701" t="s">
        <v>14</v>
      </c>
      <c r="S37" s="702">
        <f t="shared" si="12"/>
        <v>100</v>
      </c>
      <c r="T37" s="701" t="s">
        <v>14</v>
      </c>
      <c r="U37" s="702">
        <f t="shared" si="13"/>
        <v>100</v>
      </c>
      <c r="V37" s="701" t="s">
        <v>14</v>
      </c>
      <c r="W37" s="702">
        <f t="shared" si="14"/>
        <v>100</v>
      </c>
      <c r="X37" s="703"/>
      <c r="Y37" s="3659"/>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26" t="s">
        <v>1696</v>
      </c>
      <c r="Q38" s="1351" t="str">
        <f t="shared" si="11"/>
        <v>业态</v>
      </c>
      <c r="R38" s="705" t="s">
        <v>14</v>
      </c>
      <c r="S38" s="706">
        <f t="shared" si="12"/>
        <v>100</v>
      </c>
      <c r="T38" s="705" t="s">
        <v>14</v>
      </c>
      <c r="U38" s="706">
        <f t="shared" si="13"/>
        <v>100</v>
      </c>
      <c r="V38" s="705" t="s">
        <v>14</v>
      </c>
      <c r="W38" s="706">
        <f t="shared" si="14"/>
        <v>100</v>
      </c>
      <c r="X38" s="1354"/>
      <c r="Y38" s="3659"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26"/>
      <c r="Q39" s="1351" t="str">
        <f t="shared" si="11"/>
        <v>层高</v>
      </c>
      <c r="R39" s="705" t="s">
        <v>14</v>
      </c>
      <c r="S39" s="706">
        <f t="shared" si="12"/>
        <v>100</v>
      </c>
      <c r="T39" s="705" t="s">
        <v>14</v>
      </c>
      <c r="U39" s="706">
        <f t="shared" si="13"/>
        <v>100</v>
      </c>
      <c r="V39" s="705" t="s">
        <v>14</v>
      </c>
      <c r="W39" s="706">
        <f t="shared" si="14"/>
        <v>100</v>
      </c>
      <c r="X39" s="1354"/>
      <c r="Y39" s="3659"/>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26"/>
      <c r="Q40" s="1351" t="str">
        <f t="shared" si="11"/>
        <v>单套建筑面积</v>
      </c>
      <c r="R40" s="705" t="s">
        <v>14</v>
      </c>
      <c r="S40" s="706">
        <f t="shared" si="12"/>
        <v>100</v>
      </c>
      <c r="T40" s="705" t="s">
        <v>14</v>
      </c>
      <c r="U40" s="706">
        <f t="shared" si="13"/>
        <v>100</v>
      </c>
      <c r="V40" s="705" t="s">
        <v>14</v>
      </c>
      <c r="W40" s="706">
        <f t="shared" si="14"/>
        <v>100</v>
      </c>
      <c r="X40" s="1354"/>
      <c r="Y40" s="3659"/>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26"/>
      <c r="Q41" s="707" t="str">
        <f t="shared" si="11"/>
        <v>进深比</v>
      </c>
      <c r="R41" s="708" t="s">
        <v>14</v>
      </c>
      <c r="S41" s="709">
        <f t="shared" si="12"/>
        <v>100</v>
      </c>
      <c r="T41" s="708" t="s">
        <v>14</v>
      </c>
      <c r="U41" s="709">
        <f t="shared" si="13"/>
        <v>100</v>
      </c>
      <c r="V41" s="708" t="s">
        <v>14</v>
      </c>
      <c r="W41" s="709">
        <f t="shared" si="14"/>
        <v>100</v>
      </c>
      <c r="X41" s="710"/>
      <c r="Y41" s="3659"/>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26"/>
      <c r="Q42" s="1351" t="str">
        <f t="shared" si="11"/>
        <v>内部装修</v>
      </c>
      <c r="R42" s="705" t="s">
        <v>14</v>
      </c>
      <c r="S42" s="706">
        <f t="shared" si="12"/>
        <v>100</v>
      </c>
      <c r="T42" s="705" t="s">
        <v>14</v>
      </c>
      <c r="U42" s="706">
        <f t="shared" si="13"/>
        <v>100</v>
      </c>
      <c r="V42" s="705" t="s">
        <v>14</v>
      </c>
      <c r="W42" s="706">
        <f t="shared" si="14"/>
        <v>100</v>
      </c>
      <c r="X42" s="1354"/>
      <c r="Y42" s="3659"/>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26"/>
      <c r="Q43" s="1351" t="str">
        <f t="shared" si="11"/>
        <v>内部装修维护情况</v>
      </c>
      <c r="R43" s="705" t="s">
        <v>14</v>
      </c>
      <c r="S43" s="706">
        <f t="shared" si="12"/>
        <v>100</v>
      </c>
      <c r="T43" s="705" t="s">
        <v>14</v>
      </c>
      <c r="U43" s="706">
        <f t="shared" si="13"/>
        <v>100</v>
      </c>
      <c r="V43" s="705" t="s">
        <v>14</v>
      </c>
      <c r="W43" s="706">
        <f t="shared" si="14"/>
        <v>100</v>
      </c>
      <c r="X43" s="1354"/>
      <c r="Y43" s="3659"/>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26"/>
      <c r="Q44" s="1342">
        <f t="shared" si="11"/>
        <v>111</v>
      </c>
      <c r="R44" s="701" t="s">
        <v>14</v>
      </c>
      <c r="S44" s="702">
        <f t="shared" si="12"/>
        <v>100</v>
      </c>
      <c r="T44" s="701" t="s">
        <v>14</v>
      </c>
      <c r="U44" s="702">
        <f t="shared" si="13"/>
        <v>100</v>
      </c>
      <c r="V44" s="701" t="s">
        <v>14</v>
      </c>
      <c r="W44" s="702">
        <f t="shared" si="14"/>
        <v>100</v>
      </c>
      <c r="X44" s="703"/>
      <c r="Y44" s="365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26"/>
      <c r="Q45" s="1351">
        <f t="shared" si="11"/>
        <v>111</v>
      </c>
      <c r="R45" s="705" t="s">
        <v>14</v>
      </c>
      <c r="S45" s="706">
        <f t="shared" si="12"/>
        <v>100</v>
      </c>
      <c r="T45" s="705" t="s">
        <v>14</v>
      </c>
      <c r="U45" s="706">
        <f t="shared" si="13"/>
        <v>100</v>
      </c>
      <c r="V45" s="705" t="s">
        <v>14</v>
      </c>
      <c r="W45" s="706">
        <f t="shared" si="14"/>
        <v>100</v>
      </c>
      <c r="X45" s="1354"/>
      <c r="Y45" s="3659"/>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7"/>
      <c r="Q46" s="1351">
        <f t="shared" si="11"/>
        <v>111</v>
      </c>
      <c r="R46" s="705" t="s">
        <v>14</v>
      </c>
      <c r="S46" s="706">
        <f t="shared" si="12"/>
        <v>100</v>
      </c>
      <c r="T46" s="705" t="s">
        <v>14</v>
      </c>
      <c r="U46" s="706">
        <f t="shared" si="13"/>
        <v>100</v>
      </c>
      <c r="V46" s="705" t="s">
        <v>14</v>
      </c>
      <c r="W46" s="706">
        <f t="shared" si="14"/>
        <v>100</v>
      </c>
      <c r="X46" s="1354"/>
      <c r="Y46" s="3728"/>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651" t="str">
        <f>A47</f>
        <v>成交单价（元/平方米）</v>
      </c>
      <c r="Q47" s="3651"/>
      <c r="R47" s="3655">
        <f>E47</f>
        <v>0</v>
      </c>
      <c r="S47" s="3655"/>
      <c r="T47" s="3655">
        <f>G47</f>
        <v>0</v>
      </c>
      <c r="U47" s="3655"/>
      <c r="V47" s="3655">
        <f>I47</f>
        <v>0</v>
      </c>
      <c r="W47" s="3655"/>
      <c r="X47" s="690"/>
      <c r="Y47" s="712"/>
      <c r="Z47" s="690"/>
      <c r="AA47" s="690"/>
      <c r="AB47" s="690"/>
      <c r="AC47" s="690"/>
    </row>
    <row r="48" spans="1:29" ht="15.75" thickBot="1">
      <c r="A48" s="437" t="s">
        <v>1793</v>
      </c>
      <c r="B48" s="438"/>
      <c r="C48" s="1160" t="e">
        <f>R49</f>
        <v>#DIV/0!</v>
      </c>
      <c r="D48" s="2316" t="s">
        <v>2137</v>
      </c>
      <c r="E48" s="1161" t="e">
        <f>R48</f>
        <v>#DIV/0!</v>
      </c>
      <c r="F48" s="2317"/>
      <c r="G48" s="1160" t="e">
        <f>T48</f>
        <v>#DIV/0!</v>
      </c>
      <c r="H48" s="2317"/>
      <c r="I48" s="1161" t="e">
        <f>V48</f>
        <v>#DIV/0!</v>
      </c>
      <c r="J48" s="2317"/>
      <c r="K48" s="2319">
        <f>F48+H48+J48</f>
        <v>0</v>
      </c>
      <c r="L48" s="2723"/>
      <c r="M48" s="2724"/>
      <c r="N48" s="2715"/>
      <c r="O48" s="2724"/>
      <c r="P48" s="3651" t="str">
        <f>A48</f>
        <v>比较价值（元/平方米）</v>
      </c>
      <c r="Q48" s="3651"/>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48" t="str">
        <f>A49</f>
        <v>估价对象XX用房的比较价值（楼面单价，元/平方米）</v>
      </c>
      <c r="Q49" s="3649"/>
      <c r="R49" s="3723" t="e">
        <f>IF(F1="售价",ROUND(IF(D48="简单平均",AVERAGE(R48:V48),R48*F48+T48*H48+V48*J48),0),ROUND(IF(D48="简单平均",AVERAGE(R48:V48),R48*F48+T48*H48+V48*J48),1))</f>
        <v>#DIV/0!</v>
      </c>
      <c r="S49" s="3723"/>
      <c r="T49" s="3723"/>
      <c r="U49" s="3723"/>
      <c r="V49" s="3723"/>
      <c r="W49" s="372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2023-9</v>
      </c>
      <c r="D58" s="1184">
        <f>EDATE(C58,-1)</f>
        <v>45139</v>
      </c>
      <c r="E58" s="1184">
        <f t="shared" ref="E58:N58" si="16">EDATE(D58,-1)</f>
        <v>45108</v>
      </c>
      <c r="F58" s="1184">
        <f t="shared" si="16"/>
        <v>45078</v>
      </c>
      <c r="G58" s="1184">
        <f t="shared" si="16"/>
        <v>45047</v>
      </c>
      <c r="H58" s="1184">
        <f t="shared" si="16"/>
        <v>45017</v>
      </c>
      <c r="I58" s="1184">
        <f t="shared" si="16"/>
        <v>44986</v>
      </c>
      <c r="J58" s="1184">
        <f t="shared" si="16"/>
        <v>44958</v>
      </c>
      <c r="K58" s="1184">
        <f t="shared" si="16"/>
        <v>44927</v>
      </c>
      <c r="L58" s="1184">
        <f t="shared" si="16"/>
        <v>44896</v>
      </c>
      <c r="M58" s="1184">
        <f t="shared" si="16"/>
        <v>44866</v>
      </c>
      <c r="N58" s="1184">
        <f t="shared" si="16"/>
        <v>44835</v>
      </c>
      <c r="O58" s="1184">
        <f>EDATE(N58,-1)</f>
        <v>44805</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5" priority="21" stopIfTrue="1" operator="containsText" text="超过">
      <formula>NOT(ISERROR(SEARCH("超过",F52)))</formula>
    </cfRule>
  </conditionalFormatting>
  <conditionalFormatting sqref="H54">
    <cfRule type="containsText" dxfId="124" priority="19" stopIfTrue="1" operator="containsText" text="超过">
      <formula>NOT(ISERROR(SEARCH("超过",H54)))</formula>
    </cfRule>
  </conditionalFormatting>
  <conditionalFormatting sqref="F54">
    <cfRule type="containsText" dxfId="123" priority="18" stopIfTrue="1" operator="containsText" text="超过">
      <formula>NOT(ISERROR(SEARCH("超过",F54)))</formula>
    </cfRule>
  </conditionalFormatting>
  <conditionalFormatting sqref="F53 H53">
    <cfRule type="containsText" dxfId="122" priority="17" stopIfTrue="1" operator="containsText" text="超过">
      <formula>NOT(ISERROR(SEARCH("超过",F53)))</formula>
    </cfRule>
  </conditionalFormatting>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G54">
    <cfRule type="expression" dxfId="118" priority="13" stopIfTrue="1">
      <formula>$H$54="超过30%"</formula>
    </cfRule>
  </conditionalFormatting>
  <conditionalFormatting sqref="G52">
    <cfRule type="expression" dxfId="117" priority="12" stopIfTrue="1">
      <formula>$H$52="超过30%"</formula>
    </cfRule>
  </conditionalFormatting>
  <conditionalFormatting sqref="G53">
    <cfRule type="expression" dxfId="116" priority="11" stopIfTrue="1">
      <formula>$H$53="超过20%"</formula>
    </cfRule>
  </conditionalFormatting>
  <conditionalFormatting sqref="J52">
    <cfRule type="containsText" dxfId="115" priority="10" stopIfTrue="1" operator="containsText" text="超过">
      <formula>NOT(ISERROR(SEARCH("超过",J52)))</formula>
    </cfRule>
  </conditionalFormatting>
  <conditionalFormatting sqref="J54">
    <cfRule type="containsText" dxfId="114" priority="9" stopIfTrue="1" operator="containsText" text="超过">
      <formula>NOT(ISERROR(SEARCH("超过",J54)))</formula>
    </cfRule>
  </conditionalFormatting>
  <conditionalFormatting sqref="J53">
    <cfRule type="containsText" dxfId="113" priority="8" stopIfTrue="1" operator="containsText" text="超过">
      <formula>NOT(ISERROR(SEARCH("超过",J53)))</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27113.21</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63" t="s">
        <v>1770</v>
      </c>
      <c r="D4" s="3664"/>
      <c r="E4" s="3665" t="s">
        <v>1771</v>
      </c>
      <c r="F4" s="3666"/>
      <c r="G4" s="3663" t="s">
        <v>1772</v>
      </c>
      <c r="H4" s="3664"/>
      <c r="I4" s="3663" t="s">
        <v>1773</v>
      </c>
      <c r="J4" s="3664"/>
      <c r="K4" s="559" t="s">
        <v>1774</v>
      </c>
      <c r="L4" s="2714"/>
      <c r="M4" s="2715"/>
      <c r="N4" s="2715"/>
      <c r="O4" s="2715"/>
      <c r="P4" s="3737" t="s">
        <v>1775</v>
      </c>
      <c r="Q4" s="3738"/>
      <c r="R4" s="3732" t="s">
        <v>1771</v>
      </c>
      <c r="S4" s="3733"/>
      <c r="T4" s="3732" t="s">
        <v>1772</v>
      </c>
      <c r="U4" s="3733"/>
      <c r="V4" s="3741" t="s">
        <v>1773</v>
      </c>
      <c r="W4" s="3741"/>
      <c r="X4" s="1957"/>
      <c r="Y4" s="3732" t="s">
        <v>1775</v>
      </c>
      <c r="Z4" s="3733"/>
      <c r="AA4" s="3731" t="s">
        <v>1771</v>
      </c>
      <c r="AB4" s="3731" t="s">
        <v>1772</v>
      </c>
      <c r="AC4" s="3734" t="s">
        <v>1773</v>
      </c>
    </row>
    <row r="5" spans="1:29" ht="15">
      <c r="A5" s="358"/>
      <c r="B5" s="359"/>
      <c r="C5" s="3681" t="s">
        <v>1673</v>
      </c>
      <c r="D5" s="3682"/>
      <c r="E5" s="3673" t="s">
        <v>1674</v>
      </c>
      <c r="F5" s="3674"/>
      <c r="G5" s="3681" t="s">
        <v>1675</v>
      </c>
      <c r="H5" s="3682"/>
      <c r="I5" s="3681" t="s">
        <v>1676</v>
      </c>
      <c r="J5" s="3682"/>
      <c r="K5" s="559"/>
      <c r="L5" s="2714"/>
      <c r="M5" s="2715"/>
      <c r="N5" s="2715"/>
      <c r="O5" s="2715"/>
      <c r="P5" s="3739"/>
      <c r="Q5" s="3670"/>
      <c r="R5" s="3679"/>
      <c r="S5" s="3680"/>
      <c r="T5" s="3679"/>
      <c r="U5" s="3680"/>
      <c r="V5" s="3655"/>
      <c r="W5" s="3655"/>
      <c r="X5" s="1354"/>
      <c r="Y5" s="3679"/>
      <c r="Z5" s="3680"/>
      <c r="AA5" s="3661"/>
      <c r="AB5" s="3661"/>
      <c r="AC5" s="3735"/>
    </row>
    <row r="6" spans="1:29" ht="15.75" thickBot="1">
      <c r="A6" s="360"/>
      <c r="B6" s="361"/>
      <c r="C6" s="3719" t="s">
        <v>1677</v>
      </c>
      <c r="D6" s="3720"/>
      <c r="E6" s="3721" t="s">
        <v>1677</v>
      </c>
      <c r="F6" s="3722"/>
      <c r="G6" s="3719" t="s">
        <v>1677</v>
      </c>
      <c r="H6" s="3720"/>
      <c r="I6" s="3719" t="s">
        <v>1677</v>
      </c>
      <c r="J6" s="3720"/>
      <c r="K6" s="559" t="s">
        <v>1678</v>
      </c>
      <c r="L6" s="2714"/>
      <c r="M6" s="2715"/>
      <c r="N6" s="2715"/>
      <c r="O6" s="2715"/>
      <c r="P6" s="3740"/>
      <c r="Q6" s="3672"/>
      <c r="R6" s="3679"/>
      <c r="S6" s="3680"/>
      <c r="T6" s="3688"/>
      <c r="U6" s="3689"/>
      <c r="V6" s="3655"/>
      <c r="W6" s="3655"/>
      <c r="X6" s="1354"/>
      <c r="Y6" s="3688"/>
      <c r="Z6" s="3689"/>
      <c r="AA6" s="3662"/>
      <c r="AB6" s="3662"/>
      <c r="AC6" s="3736"/>
    </row>
    <row r="7" spans="1:29" s="108" customFormat="1" ht="15.75" thickBot="1">
      <c r="A7" s="362" t="s">
        <v>1679</v>
      </c>
      <c r="B7" s="363"/>
      <c r="C7" s="364">
        <f>'数据-取费表'!B2</f>
        <v>45195</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2" t="s">
        <v>1680</v>
      </c>
      <c r="Q7" s="3685"/>
      <c r="R7" s="701" t="s">
        <v>14</v>
      </c>
      <c r="S7" s="702">
        <f t="shared" ref="S7:S15" si="0">F7</f>
        <v>0</v>
      </c>
      <c r="T7" s="701" t="s">
        <v>14</v>
      </c>
      <c r="U7" s="702">
        <f t="shared" ref="U7:U15" si="1">H7</f>
        <v>0</v>
      </c>
      <c r="V7" s="701" t="s">
        <v>14</v>
      </c>
      <c r="W7" s="702">
        <f t="shared" ref="W7:W15" si="2">J7</f>
        <v>0</v>
      </c>
      <c r="X7" s="703"/>
      <c r="Y7" s="3653" t="s">
        <v>1680</v>
      </c>
      <c r="Z7" s="3654"/>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2" t="s">
        <v>1683</v>
      </c>
      <c r="Q8" s="3654"/>
      <c r="R8" s="701" t="s">
        <v>14</v>
      </c>
      <c r="S8" s="702">
        <f t="shared" si="0"/>
        <v>100</v>
      </c>
      <c r="T8" s="701" t="s">
        <v>14</v>
      </c>
      <c r="U8" s="702">
        <f t="shared" si="1"/>
        <v>100</v>
      </c>
      <c r="V8" s="701" t="s">
        <v>14</v>
      </c>
      <c r="W8" s="702">
        <f t="shared" si="2"/>
        <v>100</v>
      </c>
      <c r="X8" s="703"/>
      <c r="Y8" s="3653" t="s">
        <v>1683</v>
      </c>
      <c r="Z8" s="3654"/>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6" t="s">
        <v>1686</v>
      </c>
      <c r="Q9" s="1342"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6"/>
      <c r="Q10" s="1342"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6"/>
      <c r="Q11" s="1342"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6"/>
      <c r="Q12" s="1342">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6"/>
      <c r="Q13" s="1342">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76"/>
      <c r="Q14" s="1342">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1958">
        <f t="shared" si="5"/>
        <v>1</v>
      </c>
    </row>
    <row r="15" spans="1:29" ht="15">
      <c r="A15" s="391" t="s">
        <v>1690</v>
      </c>
      <c r="B15" s="577"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9" t="s">
        <v>1691</v>
      </c>
      <c r="Q15" s="1351" t="str">
        <f t="shared" si="6"/>
        <v>办公集聚程度</v>
      </c>
      <c r="R15" s="705" t="s">
        <v>14</v>
      </c>
      <c r="S15" s="706">
        <f t="shared" si="0"/>
        <v>100</v>
      </c>
      <c r="T15" s="705" t="s">
        <v>14</v>
      </c>
      <c r="U15" s="706">
        <f t="shared" si="1"/>
        <v>100</v>
      </c>
      <c r="V15" s="705" t="s">
        <v>14</v>
      </c>
      <c r="W15" s="706">
        <f t="shared" si="2"/>
        <v>100</v>
      </c>
      <c r="X15" s="1354"/>
      <c r="Y15" s="3656"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30"/>
      <c r="Q16" s="1351"/>
      <c r="R16" s="705"/>
      <c r="S16" s="706"/>
      <c r="T16" s="705"/>
      <c r="U16" s="706"/>
      <c r="V16" s="705"/>
      <c r="W16" s="706"/>
      <c r="X16" s="1354"/>
      <c r="Y16" s="3657"/>
      <c r="Z16" s="1355"/>
      <c r="AA16" s="1352">
        <v>1</v>
      </c>
      <c r="AB16" s="1352">
        <v>1</v>
      </c>
      <c r="AC16" s="1961">
        <v>1</v>
      </c>
    </row>
    <row r="17" spans="1:29" ht="15">
      <c r="A17" s="379"/>
      <c r="B17" s="579"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30"/>
      <c r="Q17" s="1351" t="str">
        <f>B17</f>
        <v>交通便捷度</v>
      </c>
      <c r="R17" s="705" t="s">
        <v>14</v>
      </c>
      <c r="S17" s="706">
        <f>F17</f>
        <v>100</v>
      </c>
      <c r="T17" s="705" t="s">
        <v>14</v>
      </c>
      <c r="U17" s="706">
        <f>H17</f>
        <v>100</v>
      </c>
      <c r="V17" s="705" t="s">
        <v>14</v>
      </c>
      <c r="W17" s="706">
        <f>J17</f>
        <v>100</v>
      </c>
      <c r="X17" s="1354"/>
      <c r="Y17" s="3657"/>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30"/>
      <c r="Q18" s="1351"/>
      <c r="R18" s="705"/>
      <c r="S18" s="706"/>
      <c r="T18" s="705"/>
      <c r="U18" s="706"/>
      <c r="V18" s="705"/>
      <c r="W18" s="706"/>
      <c r="X18" s="1354"/>
      <c r="Y18" s="3657"/>
      <c r="Z18" s="1355"/>
      <c r="AA18" s="1352">
        <v>1</v>
      </c>
      <c r="AB18" s="1352">
        <v>1</v>
      </c>
      <c r="AC18" s="1961">
        <v>1</v>
      </c>
    </row>
    <row r="19" spans="1:29" ht="15">
      <c r="A19" s="379"/>
      <c r="B19" s="579"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30"/>
      <c r="Q19" s="1351" t="str">
        <f>B19</f>
        <v>公共配套设施</v>
      </c>
      <c r="R19" s="705" t="s">
        <v>14</v>
      </c>
      <c r="S19" s="706">
        <f>F19</f>
        <v>100</v>
      </c>
      <c r="T19" s="705" t="s">
        <v>14</v>
      </c>
      <c r="U19" s="706">
        <f>H19</f>
        <v>100</v>
      </c>
      <c r="V19" s="705" t="s">
        <v>14</v>
      </c>
      <c r="W19" s="706">
        <f>J19</f>
        <v>100</v>
      </c>
      <c r="X19" s="1354"/>
      <c r="Y19" s="3657"/>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30"/>
      <c r="Q20" s="1351"/>
      <c r="R20" s="705"/>
      <c r="S20" s="706"/>
      <c r="T20" s="705"/>
      <c r="U20" s="706"/>
      <c r="V20" s="705"/>
      <c r="W20" s="706"/>
      <c r="X20" s="1354"/>
      <c r="Y20" s="3657"/>
      <c r="Z20" s="1355"/>
      <c r="AA20" s="1352">
        <v>1</v>
      </c>
      <c r="AB20" s="1352">
        <v>1</v>
      </c>
      <c r="AC20" s="1961">
        <v>1</v>
      </c>
    </row>
    <row r="21" spans="1:29" ht="15">
      <c r="A21" s="379"/>
      <c r="B21" s="581"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30"/>
      <c r="Q21" s="1351" t="str">
        <f>B21</f>
        <v>基础设施水平</v>
      </c>
      <c r="R21" s="705" t="s">
        <v>14</v>
      </c>
      <c r="S21" s="706">
        <f>F21</f>
        <v>100</v>
      </c>
      <c r="T21" s="705" t="s">
        <v>14</v>
      </c>
      <c r="U21" s="706">
        <f>H21</f>
        <v>100</v>
      </c>
      <c r="V21" s="705" t="s">
        <v>14</v>
      </c>
      <c r="W21" s="706">
        <f>J21</f>
        <v>100</v>
      </c>
      <c r="X21" s="1354"/>
      <c r="Y21" s="3657"/>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30"/>
      <c r="Q22" s="1351"/>
      <c r="R22" s="705"/>
      <c r="S22" s="706"/>
      <c r="T22" s="705"/>
      <c r="U22" s="706"/>
      <c r="V22" s="705"/>
      <c r="W22" s="706"/>
      <c r="X22" s="1354"/>
      <c r="Y22" s="3657"/>
      <c r="Z22" s="1355"/>
      <c r="AA22" s="1352">
        <v>1</v>
      </c>
      <c r="AB22" s="1352">
        <v>1</v>
      </c>
      <c r="AC22" s="1961">
        <v>1</v>
      </c>
    </row>
    <row r="23" spans="1:29" ht="15">
      <c r="A23" s="379"/>
      <c r="B23" s="579"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30"/>
      <c r="Q23" s="1351" t="str">
        <f>B23</f>
        <v>环境质量</v>
      </c>
      <c r="R23" s="705" t="s">
        <v>14</v>
      </c>
      <c r="S23" s="706">
        <f>F23</f>
        <v>100</v>
      </c>
      <c r="T23" s="705" t="s">
        <v>14</v>
      </c>
      <c r="U23" s="706">
        <f>H23</f>
        <v>100</v>
      </c>
      <c r="V23" s="705" t="s">
        <v>14</v>
      </c>
      <c r="W23" s="706">
        <f>J23</f>
        <v>100</v>
      </c>
      <c r="X23" s="1354"/>
      <c r="Y23" s="3657"/>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30"/>
      <c r="Q24" s="1351"/>
      <c r="R24" s="705"/>
      <c r="S24" s="706"/>
      <c r="T24" s="705"/>
      <c r="U24" s="706"/>
      <c r="V24" s="705"/>
      <c r="W24" s="706"/>
      <c r="X24" s="1354"/>
      <c r="Y24" s="3657"/>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30"/>
      <c r="Q25" s="1351" t="str">
        <f>B25</f>
        <v>毗邻道路的类型与等级</v>
      </c>
      <c r="R25" s="705" t="s">
        <v>14</v>
      </c>
      <c r="S25" s="706">
        <f>F25</f>
        <v>100</v>
      </c>
      <c r="T25" s="705" t="s">
        <v>14</v>
      </c>
      <c r="U25" s="706">
        <f>H25</f>
        <v>100</v>
      </c>
      <c r="V25" s="705" t="s">
        <v>14</v>
      </c>
      <c r="W25" s="706">
        <f>J25</f>
        <v>100</v>
      </c>
      <c r="X25" s="1354"/>
      <c r="Y25" s="3657"/>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30"/>
      <c r="Q26" s="1351"/>
      <c r="R26" s="705"/>
      <c r="S26" s="706"/>
      <c r="T26" s="705"/>
      <c r="U26" s="706"/>
      <c r="V26" s="705"/>
      <c r="W26" s="706"/>
      <c r="X26" s="1354"/>
      <c r="Y26" s="3657"/>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30"/>
      <c r="Q27" s="1351" t="str">
        <f t="shared" ref="Q27:Q47" si="11">B27</f>
        <v>楼层</v>
      </c>
      <c r="R27" s="705" t="s">
        <v>14</v>
      </c>
      <c r="S27" s="706">
        <f>F27</f>
        <v>100</v>
      </c>
      <c r="T27" s="705" t="s">
        <v>14</v>
      </c>
      <c r="U27" s="706">
        <f>H27</f>
        <v>100</v>
      </c>
      <c r="V27" s="705" t="s">
        <v>14</v>
      </c>
      <c r="W27" s="706">
        <f>J27</f>
        <v>100</v>
      </c>
      <c r="X27" s="1354"/>
      <c r="Y27" s="3657"/>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30"/>
      <c r="Q28" s="1342" t="str">
        <f t="shared" si="11"/>
        <v>朝向</v>
      </c>
      <c r="R28" s="701" t="s">
        <v>14</v>
      </c>
      <c r="S28" s="702">
        <f>F28</f>
        <v>100</v>
      </c>
      <c r="T28" s="701" t="s">
        <v>14</v>
      </c>
      <c r="U28" s="702">
        <f>H28</f>
        <v>100</v>
      </c>
      <c r="V28" s="701" t="s">
        <v>14</v>
      </c>
      <c r="W28" s="702">
        <f>J28</f>
        <v>100</v>
      </c>
      <c r="X28" s="703"/>
      <c r="Y28" s="365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30"/>
      <c r="Q29" s="1351">
        <f t="shared" si="11"/>
        <v>111</v>
      </c>
      <c r="R29" s="705" t="s">
        <v>14</v>
      </c>
      <c r="S29" s="706">
        <f t="shared" ref="S29:S47" si="12">F29</f>
        <v>100</v>
      </c>
      <c r="T29" s="705" t="s">
        <v>14</v>
      </c>
      <c r="U29" s="706">
        <f t="shared" ref="U29:U47" si="13">H29</f>
        <v>100</v>
      </c>
      <c r="V29" s="705" t="s">
        <v>14</v>
      </c>
      <c r="W29" s="706">
        <f t="shared" ref="W29:W47" si="14">J29</f>
        <v>100</v>
      </c>
      <c r="X29" s="1354"/>
      <c r="Y29" s="365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30"/>
      <c r="Q30" s="1351">
        <f t="shared" si="11"/>
        <v>111</v>
      </c>
      <c r="R30" s="705" t="s">
        <v>14</v>
      </c>
      <c r="S30" s="706">
        <f t="shared" si="12"/>
        <v>100</v>
      </c>
      <c r="T30" s="705" t="s">
        <v>14</v>
      </c>
      <c r="U30" s="706">
        <f t="shared" si="13"/>
        <v>100</v>
      </c>
      <c r="V30" s="705" t="s">
        <v>14</v>
      </c>
      <c r="W30" s="706">
        <f t="shared" si="14"/>
        <v>100</v>
      </c>
      <c r="X30" s="1354"/>
      <c r="Y30" s="365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30"/>
      <c r="Q31" s="1351">
        <f t="shared" si="11"/>
        <v>111</v>
      </c>
      <c r="R31" s="705" t="s">
        <v>14</v>
      </c>
      <c r="S31" s="706">
        <f t="shared" si="12"/>
        <v>100</v>
      </c>
      <c r="T31" s="705" t="s">
        <v>14</v>
      </c>
      <c r="U31" s="706">
        <f t="shared" si="13"/>
        <v>100</v>
      </c>
      <c r="V31" s="705" t="s">
        <v>14</v>
      </c>
      <c r="W31" s="706">
        <f t="shared" si="14"/>
        <v>100</v>
      </c>
      <c r="X31" s="1354"/>
      <c r="Y31" s="3657"/>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30"/>
      <c r="Q32" s="1351">
        <f t="shared" si="11"/>
        <v>111</v>
      </c>
      <c r="R32" s="705" t="s">
        <v>14</v>
      </c>
      <c r="S32" s="706">
        <f t="shared" si="12"/>
        <v>100</v>
      </c>
      <c r="T32" s="705" t="s">
        <v>14</v>
      </c>
      <c r="U32" s="706">
        <f t="shared" si="13"/>
        <v>100</v>
      </c>
      <c r="V32" s="705" t="s">
        <v>14</v>
      </c>
      <c r="W32" s="706">
        <f t="shared" si="14"/>
        <v>100</v>
      </c>
      <c r="X32" s="1354"/>
      <c r="Y32" s="3657"/>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25" t="s">
        <v>1696</v>
      </c>
      <c r="Q33" s="1351" t="str">
        <f t="shared" si="11"/>
        <v>建筑类型</v>
      </c>
      <c r="R33" s="705" t="s">
        <v>14</v>
      </c>
      <c r="S33" s="706">
        <f t="shared" si="12"/>
        <v>100</v>
      </c>
      <c r="T33" s="705" t="s">
        <v>14</v>
      </c>
      <c r="U33" s="706">
        <f t="shared" si="13"/>
        <v>100</v>
      </c>
      <c r="V33" s="705" t="s">
        <v>14</v>
      </c>
      <c r="W33" s="706">
        <f t="shared" si="14"/>
        <v>100</v>
      </c>
      <c r="X33" s="1354"/>
      <c r="Y33" s="3659"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26"/>
      <c r="Q34" s="707" t="str">
        <f t="shared" si="11"/>
        <v>项目建筑规模</v>
      </c>
      <c r="R34" s="708" t="s">
        <v>14</v>
      </c>
      <c r="S34" s="709" t="e">
        <f t="shared" si="12"/>
        <v>#N/A</v>
      </c>
      <c r="T34" s="708" t="s">
        <v>14</v>
      </c>
      <c r="U34" s="709" t="e">
        <f t="shared" si="13"/>
        <v>#N/A</v>
      </c>
      <c r="V34" s="708" t="s">
        <v>14</v>
      </c>
      <c r="W34" s="709" t="e">
        <f t="shared" si="14"/>
        <v>#N/A</v>
      </c>
      <c r="X34" s="710"/>
      <c r="Y34" s="3659"/>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26"/>
      <c r="Q35" s="1351" t="str">
        <f t="shared" si="11"/>
        <v>建筑结构</v>
      </c>
      <c r="R35" s="705" t="s">
        <v>14</v>
      </c>
      <c r="S35" s="706">
        <f t="shared" si="12"/>
        <v>100</v>
      </c>
      <c r="T35" s="705" t="s">
        <v>14</v>
      </c>
      <c r="U35" s="706">
        <f t="shared" si="13"/>
        <v>100</v>
      </c>
      <c r="V35" s="705" t="s">
        <v>14</v>
      </c>
      <c r="W35" s="706">
        <f t="shared" si="14"/>
        <v>100</v>
      </c>
      <c r="X35" s="1354"/>
      <c r="Y35" s="3659"/>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26"/>
      <c r="Q36" s="1351" t="str">
        <f t="shared" si="11"/>
        <v>公共部分装修</v>
      </c>
      <c r="R36" s="705" t="s">
        <v>14</v>
      </c>
      <c r="S36" s="706">
        <f t="shared" si="12"/>
        <v>100</v>
      </c>
      <c r="T36" s="705" t="s">
        <v>14</v>
      </c>
      <c r="U36" s="706">
        <f t="shared" si="13"/>
        <v>100</v>
      </c>
      <c r="V36" s="705" t="s">
        <v>14</v>
      </c>
      <c r="W36" s="706">
        <f t="shared" si="14"/>
        <v>100</v>
      </c>
      <c r="X36" s="1354"/>
      <c r="Y36" s="3659"/>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26"/>
      <c r="Q37" s="1351" t="str">
        <f t="shared" si="11"/>
        <v>成新度</v>
      </c>
      <c r="R37" s="705" t="s">
        <v>14</v>
      </c>
      <c r="S37" s="706" t="e">
        <f t="shared" si="12"/>
        <v>#N/A</v>
      </c>
      <c r="T37" s="705" t="s">
        <v>14</v>
      </c>
      <c r="U37" s="706" t="e">
        <f t="shared" si="13"/>
        <v>#N/A</v>
      </c>
      <c r="V37" s="705" t="s">
        <v>14</v>
      </c>
      <c r="W37" s="706" t="e">
        <f t="shared" si="14"/>
        <v>#N/A</v>
      </c>
      <c r="X37" s="1354"/>
      <c r="Y37" s="3659"/>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26"/>
      <c r="Q38" s="1342" t="str">
        <f t="shared" si="11"/>
        <v>写字楼等级</v>
      </c>
      <c r="R38" s="701" t="s">
        <v>14</v>
      </c>
      <c r="S38" s="702">
        <f t="shared" si="12"/>
        <v>100</v>
      </c>
      <c r="T38" s="701" t="s">
        <v>14</v>
      </c>
      <c r="U38" s="702">
        <f t="shared" si="13"/>
        <v>100</v>
      </c>
      <c r="V38" s="701" t="s">
        <v>14</v>
      </c>
      <c r="W38" s="702">
        <f t="shared" si="14"/>
        <v>100</v>
      </c>
      <c r="X38" s="703"/>
      <c r="Y38" s="3659"/>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26" t="s">
        <v>1696</v>
      </c>
      <c r="Q39" s="1351" t="str">
        <f t="shared" si="11"/>
        <v>物业管理</v>
      </c>
      <c r="R39" s="705" t="s">
        <v>14</v>
      </c>
      <c r="S39" s="706">
        <f t="shared" si="12"/>
        <v>100</v>
      </c>
      <c r="T39" s="705" t="s">
        <v>14</v>
      </c>
      <c r="U39" s="706">
        <f t="shared" si="13"/>
        <v>100</v>
      </c>
      <c r="V39" s="705" t="s">
        <v>14</v>
      </c>
      <c r="W39" s="706">
        <f t="shared" si="14"/>
        <v>100</v>
      </c>
      <c r="X39" s="1354"/>
      <c r="Y39" s="3659"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26"/>
      <c r="Q40" s="1351" t="str">
        <f t="shared" si="11"/>
        <v>市政基础设施</v>
      </c>
      <c r="R40" s="705" t="s">
        <v>14</v>
      </c>
      <c r="S40" s="706">
        <f t="shared" si="12"/>
        <v>100</v>
      </c>
      <c r="T40" s="705" t="s">
        <v>14</v>
      </c>
      <c r="U40" s="706">
        <f t="shared" si="13"/>
        <v>100</v>
      </c>
      <c r="V40" s="705" t="s">
        <v>14</v>
      </c>
      <c r="W40" s="706">
        <f t="shared" si="14"/>
        <v>100</v>
      </c>
      <c r="X40" s="1354"/>
      <c r="Y40" s="3659"/>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26"/>
      <c r="Q41" s="1351" t="str">
        <f t="shared" si="11"/>
        <v>层高</v>
      </c>
      <c r="R41" s="705" t="s">
        <v>14</v>
      </c>
      <c r="S41" s="706">
        <f t="shared" si="12"/>
        <v>100</v>
      </c>
      <c r="T41" s="705" t="s">
        <v>14</v>
      </c>
      <c r="U41" s="706">
        <f t="shared" si="13"/>
        <v>100</v>
      </c>
      <c r="V41" s="705" t="s">
        <v>14</v>
      </c>
      <c r="W41" s="706">
        <f t="shared" si="14"/>
        <v>100</v>
      </c>
      <c r="X41" s="1354"/>
      <c r="Y41" s="3659"/>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26"/>
      <c r="Q42" s="707" t="str">
        <f t="shared" si="11"/>
        <v>单套建筑面积</v>
      </c>
      <c r="R42" s="708" t="s">
        <v>14</v>
      </c>
      <c r="S42" s="709">
        <f t="shared" si="12"/>
        <v>100</v>
      </c>
      <c r="T42" s="708" t="s">
        <v>14</v>
      </c>
      <c r="U42" s="709">
        <f t="shared" si="13"/>
        <v>100</v>
      </c>
      <c r="V42" s="708" t="s">
        <v>14</v>
      </c>
      <c r="W42" s="709">
        <f t="shared" si="14"/>
        <v>100</v>
      </c>
      <c r="X42" s="710"/>
      <c r="Y42" s="3659"/>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26"/>
      <c r="Q43" s="1351" t="str">
        <f t="shared" si="11"/>
        <v>内部装修</v>
      </c>
      <c r="R43" s="705" t="s">
        <v>14</v>
      </c>
      <c r="S43" s="706">
        <f t="shared" si="12"/>
        <v>100</v>
      </c>
      <c r="T43" s="705" t="s">
        <v>14</v>
      </c>
      <c r="U43" s="706">
        <f t="shared" si="13"/>
        <v>100</v>
      </c>
      <c r="V43" s="705" t="s">
        <v>14</v>
      </c>
      <c r="W43" s="706">
        <f t="shared" si="14"/>
        <v>100</v>
      </c>
      <c r="X43" s="1354"/>
      <c r="Y43" s="3659"/>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26"/>
      <c r="Q44" s="1351" t="str">
        <f t="shared" si="11"/>
        <v>内部装修维护情况</v>
      </c>
      <c r="R44" s="705" t="s">
        <v>14</v>
      </c>
      <c r="S44" s="706">
        <f t="shared" si="12"/>
        <v>100</v>
      </c>
      <c r="T44" s="705" t="s">
        <v>14</v>
      </c>
      <c r="U44" s="706">
        <f t="shared" si="13"/>
        <v>100</v>
      </c>
      <c r="V44" s="705" t="s">
        <v>14</v>
      </c>
      <c r="W44" s="706">
        <f t="shared" si="14"/>
        <v>100</v>
      </c>
      <c r="X44" s="1354"/>
      <c r="Y44" s="3659"/>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26"/>
      <c r="Q45" s="1342">
        <f t="shared" si="11"/>
        <v>111</v>
      </c>
      <c r="R45" s="701" t="s">
        <v>14</v>
      </c>
      <c r="S45" s="702">
        <f t="shared" si="12"/>
        <v>100</v>
      </c>
      <c r="T45" s="701" t="s">
        <v>14</v>
      </c>
      <c r="U45" s="702">
        <f t="shared" si="13"/>
        <v>100</v>
      </c>
      <c r="V45" s="701" t="s">
        <v>14</v>
      </c>
      <c r="W45" s="702">
        <f t="shared" si="14"/>
        <v>100</v>
      </c>
      <c r="X45" s="703"/>
      <c r="Y45" s="3659"/>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26"/>
      <c r="Q46" s="1351">
        <f t="shared" si="11"/>
        <v>111</v>
      </c>
      <c r="R46" s="705" t="s">
        <v>14</v>
      </c>
      <c r="S46" s="706">
        <f t="shared" si="12"/>
        <v>100</v>
      </c>
      <c r="T46" s="705" t="s">
        <v>14</v>
      </c>
      <c r="U46" s="706">
        <f t="shared" si="13"/>
        <v>100</v>
      </c>
      <c r="V46" s="705" t="s">
        <v>14</v>
      </c>
      <c r="W46" s="706">
        <f t="shared" si="14"/>
        <v>100</v>
      </c>
      <c r="X46" s="1354"/>
      <c r="Y46" s="3659"/>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7"/>
      <c r="Q47" s="1351">
        <f t="shared" si="11"/>
        <v>111</v>
      </c>
      <c r="R47" s="705" t="s">
        <v>14</v>
      </c>
      <c r="S47" s="706">
        <f t="shared" si="12"/>
        <v>100</v>
      </c>
      <c r="T47" s="705" t="s">
        <v>14</v>
      </c>
      <c r="U47" s="706">
        <f t="shared" si="13"/>
        <v>100</v>
      </c>
      <c r="V47" s="705" t="s">
        <v>14</v>
      </c>
      <c r="W47" s="706">
        <f t="shared" si="14"/>
        <v>100</v>
      </c>
      <c r="X47" s="1354"/>
      <c r="Y47" s="3728"/>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676" t="str">
        <f>A48</f>
        <v>成交单价（元/平方米）</v>
      </c>
      <c r="Q48" s="3651"/>
      <c r="R48" s="3724">
        <f>E48</f>
        <v>0</v>
      </c>
      <c r="S48" s="3724"/>
      <c r="T48" s="3724">
        <f>G48</f>
        <v>0</v>
      </c>
      <c r="U48" s="3724"/>
      <c r="V48" s="3724">
        <f>I48</f>
        <v>0</v>
      </c>
      <c r="W48" s="3724"/>
      <c r="X48" s="397"/>
      <c r="Y48" s="712"/>
      <c r="Z48" s="397"/>
      <c r="AA48" s="397"/>
      <c r="AB48" s="397"/>
      <c r="AC48" s="578"/>
    </row>
    <row r="49" spans="1:29" ht="15.75" thickBot="1">
      <c r="A49" s="437" t="s">
        <v>1793</v>
      </c>
      <c r="B49" s="438"/>
      <c r="C49" s="1160" t="e">
        <f>R50</f>
        <v>#DIV/0!</v>
      </c>
      <c r="D49" s="2316" t="s">
        <v>2137</v>
      </c>
      <c r="E49" s="1161" t="e">
        <f>R49</f>
        <v>#DIV/0!</v>
      </c>
      <c r="F49" s="2317"/>
      <c r="G49" s="1160" t="e">
        <f>T49</f>
        <v>#DIV/0!</v>
      </c>
      <c r="H49" s="2317"/>
      <c r="I49" s="1161" t="e">
        <f>V49</f>
        <v>#DIV/0!</v>
      </c>
      <c r="J49" s="2317"/>
      <c r="K49" s="2319">
        <f>F49+H49+J49</f>
        <v>0</v>
      </c>
      <c r="L49" s="2723"/>
      <c r="M49" s="2715"/>
      <c r="N49" s="2715"/>
      <c r="O49" s="2715"/>
      <c r="P49" s="3676" t="str">
        <f>A49</f>
        <v>比较价值（元/平方米）</v>
      </c>
      <c r="Q49" s="3651"/>
      <c r="R49" s="3724" t="e">
        <f>IF(F1="售价",ROUND(PRODUCT(R48,AA7:AA47),0),ROUND(PRODUCT(R48,AA7:AA47),1))</f>
        <v>#DIV/0!</v>
      </c>
      <c r="S49" s="3724"/>
      <c r="T49" s="3724" t="e">
        <f>IF(F1="售价",ROUND(PRODUCT(T48,AB7:AB47),0),ROUND(PRODUCT(T48,AB7:AB47),1))</f>
        <v>#DIV/0!</v>
      </c>
      <c r="U49" s="3724"/>
      <c r="V49" s="3724" t="e">
        <f>IF(F1="售价",ROUND(PRODUCT(V48,AC7:AC47),0),ROUND(PRODUCT(V48,AC7:AC47),1))</f>
        <v>#DIV/0!</v>
      </c>
      <c r="W49" s="372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43" t="str">
        <f>A50</f>
        <v>估价对象XX用房的比较价值（楼面单价，元/平方米）</v>
      </c>
      <c r="Q50" s="3744"/>
      <c r="R50" s="3745" t="e">
        <f>IF(F1="售价",ROUND(IF(D49="简单平均",AVERAGE(R49:V49),R49*F49+T49*H49+V49*J49),0),ROUND(IF(D49="简单平均",AVERAGE(R49:V49),R49*F49+T49*H49+V49*J49),1))</f>
        <v>#DIV/0!</v>
      </c>
      <c r="S50" s="3745"/>
      <c r="T50" s="3745"/>
      <c r="U50" s="3745"/>
      <c r="V50" s="3745"/>
      <c r="W50" s="3745"/>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2023-9</v>
      </c>
      <c r="D59" s="1184">
        <f>EDATE(C59,-1)</f>
        <v>45139</v>
      </c>
      <c r="E59" s="1184">
        <f>EDATE(D59,-1)</f>
        <v>45108</v>
      </c>
      <c r="F59" s="1184">
        <f t="shared" ref="F59:O59" si="16">EDATE(E59,-1)</f>
        <v>45078</v>
      </c>
      <c r="G59" s="1184">
        <f t="shared" si="16"/>
        <v>45047</v>
      </c>
      <c r="H59" s="1184">
        <f t="shared" si="16"/>
        <v>45017</v>
      </c>
      <c r="I59" s="1184">
        <f t="shared" si="16"/>
        <v>44986</v>
      </c>
      <c r="J59" s="1184">
        <f t="shared" si="16"/>
        <v>44958</v>
      </c>
      <c r="K59" s="1184">
        <f t="shared" si="16"/>
        <v>44927</v>
      </c>
      <c r="L59" s="1184">
        <f t="shared" si="16"/>
        <v>44896</v>
      </c>
      <c r="M59" s="1184">
        <f t="shared" si="16"/>
        <v>44866</v>
      </c>
      <c r="N59" s="1184">
        <f t="shared" si="16"/>
        <v>44835</v>
      </c>
      <c r="O59" s="1184">
        <f t="shared" si="16"/>
        <v>44805</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5" priority="20" stopIfTrue="1" operator="containsText" text="超过">
      <formula>NOT(ISERROR(SEARCH("超过",F53)))</formula>
    </cfRule>
  </conditionalFormatting>
  <conditionalFormatting sqref="H55">
    <cfRule type="containsText" dxfId="104" priority="19" stopIfTrue="1" operator="containsText" text="超过">
      <formula>NOT(ISERROR(SEARCH("超过",H55)))</formula>
    </cfRule>
  </conditionalFormatting>
  <conditionalFormatting sqref="F55">
    <cfRule type="containsText" dxfId="103" priority="18" stopIfTrue="1" operator="containsText" text="超过">
      <formula>NOT(ISERROR(SEARCH("超过",F55)))</formula>
    </cfRule>
  </conditionalFormatting>
  <conditionalFormatting sqref="F54 H54">
    <cfRule type="containsText" dxfId="102" priority="17" stopIfTrue="1" operator="containsText" text="超过">
      <formula>NOT(ISERROR(SEARCH("超过",F54)))</formula>
    </cfRule>
  </conditionalFormatting>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G55">
    <cfRule type="expression" dxfId="98" priority="13" stopIfTrue="1">
      <formula>$H$55="超过30%"</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J53">
    <cfRule type="containsText" dxfId="95" priority="10" stopIfTrue="1" operator="containsText" text="超过">
      <formula>NOT(ISERROR(SEARCH("超过",J53)))</formula>
    </cfRule>
  </conditionalFormatting>
  <conditionalFormatting sqref="J55">
    <cfRule type="containsText" dxfId="94" priority="9" stopIfTrue="1" operator="containsText" text="超过">
      <formula>NOT(ISERROR(SEARCH("超过",J55)))</formula>
    </cfRule>
  </conditionalFormatting>
  <conditionalFormatting sqref="J54">
    <cfRule type="containsText" dxfId="93" priority="8" stopIfTrue="1" operator="containsText" text="超过">
      <formula>NOT(ISERROR(SEARCH("超过",J54)))</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F49">
    <cfRule type="expression" dxfId="89" priority="4">
      <formula>$D$49="简单平均"</formula>
    </cfRule>
  </conditionalFormatting>
  <conditionalFormatting sqref="H49">
    <cfRule type="expression" dxfId="88" priority="3">
      <formula>$D$49="简单平均"</formula>
    </cfRule>
  </conditionalFormatting>
  <conditionalFormatting sqref="J49">
    <cfRule type="expression" dxfId="87" priority="2">
      <formula>$D$49="简单平均"</formula>
    </cfRule>
  </conditionalFormatting>
  <conditionalFormatting sqref="F7:F47 H7:H47 J7:J47">
    <cfRule type="cellIs" dxfId="8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5" zoomScaleNormal="60" zoomScaleSheetLayoutView="85" workbookViewId="0">
      <selection activeCell="L38" sqref="L3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t="s">
        <v>3</v>
      </c>
      <c r="E1" s="3432" t="s">
        <v>3394</v>
      </c>
      <c r="F1" s="1878" t="s">
        <v>3395</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f>IF(E1="项目模式",IF(C2="——",ROUND(C43*D3/10000,0),ROUND(C43*D3/10000,0)-D2),IF(E1="单套模式",IF(C2="——",ROUND(C43*D3/10000,4),ROUND(C43*D3/10000,4)-D2)))</f>
        <v>3.2536</v>
      </c>
      <c r="C2" s="1880" t="s">
        <v>43</v>
      </c>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1.2</v>
      </c>
      <c r="C3" s="354" t="s">
        <v>1768</v>
      </c>
      <c r="D3" s="353">
        <f>IF(D1="",'数据-汇总表'!E3,SUMIF('数据-汇总表'!$C19:$C33,D1,'数据-汇总表'!$E19:$E33))</f>
        <v>27113.21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3" t="s">
        <v>1770</v>
      </c>
      <c r="D4" s="3664"/>
      <c r="E4" s="3665" t="s">
        <v>1771</v>
      </c>
      <c r="F4" s="3666"/>
      <c r="G4" s="3663" t="s">
        <v>1772</v>
      </c>
      <c r="H4" s="3664"/>
      <c r="I4" s="3663" t="s">
        <v>1773</v>
      </c>
      <c r="J4" s="3664"/>
      <c r="K4" s="559" t="s">
        <v>1774</v>
      </c>
      <c r="L4" s="913"/>
      <c r="M4" s="914"/>
      <c r="N4" s="914"/>
      <c r="O4" s="914"/>
      <c r="P4" s="3667" t="s">
        <v>1775</v>
      </c>
      <c r="Q4" s="3668"/>
      <c r="R4" s="3677" t="s">
        <v>1771</v>
      </c>
      <c r="S4" s="3678"/>
      <c r="T4" s="3677" t="s">
        <v>1772</v>
      </c>
      <c r="U4" s="3678"/>
      <c r="V4" s="3655" t="s">
        <v>1773</v>
      </c>
      <c r="W4" s="3655"/>
      <c r="X4" s="1354"/>
      <c r="Y4" s="3677" t="s">
        <v>1775</v>
      </c>
      <c r="Z4" s="3678"/>
      <c r="AA4" s="3660" t="s">
        <v>1771</v>
      </c>
      <c r="AB4" s="3661" t="s">
        <v>1772</v>
      </c>
      <c r="AC4" s="3660" t="s">
        <v>1773</v>
      </c>
    </row>
    <row r="5" spans="1:29" ht="15">
      <c r="A5" s="358"/>
      <c r="B5" s="359"/>
      <c r="C5" s="3681" t="s">
        <v>1673</v>
      </c>
      <c r="D5" s="3682"/>
      <c r="E5" s="3746" t="s">
        <v>3412</v>
      </c>
      <c r="F5" s="3674"/>
      <c r="G5" s="3747" t="s">
        <v>3413</v>
      </c>
      <c r="H5" s="3682"/>
      <c r="I5" s="3747" t="s">
        <v>3420</v>
      </c>
      <c r="J5" s="3682"/>
      <c r="K5" s="559"/>
      <c r="L5" s="913"/>
      <c r="M5" s="914"/>
      <c r="N5" s="914"/>
      <c r="O5" s="914"/>
      <c r="P5" s="3669"/>
      <c r="Q5" s="3670"/>
      <c r="R5" s="3679"/>
      <c r="S5" s="3680"/>
      <c r="T5" s="3679"/>
      <c r="U5" s="3680"/>
      <c r="V5" s="3655"/>
      <c r="W5" s="3655"/>
      <c r="X5" s="1354"/>
      <c r="Y5" s="3679"/>
      <c r="Z5" s="3680"/>
      <c r="AA5" s="3661"/>
      <c r="AB5" s="3661"/>
      <c r="AC5" s="3661"/>
    </row>
    <row r="6" spans="1:29" ht="15.75" thickBot="1">
      <c r="A6" s="360"/>
      <c r="B6" s="361"/>
      <c r="C6" s="3719" t="s">
        <v>1677</v>
      </c>
      <c r="D6" s="3720"/>
      <c r="E6" s="3721" t="s">
        <v>1677</v>
      </c>
      <c r="F6" s="3722"/>
      <c r="G6" s="3719" t="s">
        <v>1677</v>
      </c>
      <c r="H6" s="3720"/>
      <c r="I6" s="3719" t="s">
        <v>1677</v>
      </c>
      <c r="J6" s="3720"/>
      <c r="K6" s="559" t="s">
        <v>1678</v>
      </c>
      <c r="L6" s="913"/>
      <c r="M6" s="914"/>
      <c r="N6" s="914"/>
      <c r="O6" s="914"/>
      <c r="P6" s="3671"/>
      <c r="Q6" s="3672"/>
      <c r="R6" s="3679"/>
      <c r="S6" s="3680"/>
      <c r="T6" s="3688"/>
      <c r="U6" s="3689"/>
      <c r="V6" s="3655"/>
      <c r="W6" s="3655"/>
      <c r="X6" s="1354"/>
      <c r="Y6" s="3688"/>
      <c r="Z6" s="3689"/>
      <c r="AA6" s="3662"/>
      <c r="AB6" s="3662"/>
      <c r="AC6" s="3662"/>
    </row>
    <row r="7" spans="1:29" s="108" customFormat="1" ht="15.75" thickBot="1">
      <c r="A7" s="362" t="s">
        <v>1679</v>
      </c>
      <c r="B7" s="363"/>
      <c r="C7" s="364">
        <f>'数据-取费表'!B2</f>
        <v>45195</v>
      </c>
      <c r="D7" s="365">
        <v>100</v>
      </c>
      <c r="E7" s="366">
        <f>C7</f>
        <v>45195</v>
      </c>
      <c r="F7" s="367">
        <f>SUMIF(52:52,YEAR(E7)&amp;"-"&amp;MONTH(E7),53:53)</f>
        <v>100</v>
      </c>
      <c r="G7" s="366">
        <f>C7</f>
        <v>45195</v>
      </c>
      <c r="H7" s="365">
        <f>SUMIF(52:52,YEAR(G7)&amp;"-"&amp;MONTH(G7),53:53)</f>
        <v>100</v>
      </c>
      <c r="I7" s="366">
        <f>C7</f>
        <v>45195</v>
      </c>
      <c r="J7" s="365">
        <f>SUMIF(52:52,YEAR(I7)&amp;"-"&amp;MONTH(I7),53:53)</f>
        <v>100</v>
      </c>
      <c r="K7" s="560"/>
      <c r="L7" s="915"/>
      <c r="M7" s="916"/>
      <c r="N7" s="916"/>
      <c r="O7" s="916"/>
      <c r="P7" s="3653" t="s">
        <v>1680</v>
      </c>
      <c r="Q7" s="3685"/>
      <c r="R7" s="701" t="s">
        <v>14</v>
      </c>
      <c r="S7" s="702">
        <f t="shared" ref="S7:S15" si="0">F7</f>
        <v>100</v>
      </c>
      <c r="T7" s="701" t="s">
        <v>14</v>
      </c>
      <c r="U7" s="702">
        <f t="shared" ref="U7:U15" si="1">H7</f>
        <v>100</v>
      </c>
      <c r="V7" s="701" t="s">
        <v>14</v>
      </c>
      <c r="W7" s="702">
        <f t="shared" ref="W7:W15" si="2">J7</f>
        <v>100</v>
      </c>
      <c r="X7" s="703"/>
      <c r="Y7" s="3653" t="s">
        <v>1680</v>
      </c>
      <c r="Z7" s="3654"/>
      <c r="AA7" s="704">
        <f>D7/F7</f>
        <v>1</v>
      </c>
      <c r="AB7" s="704">
        <f>D7/H7</f>
        <v>1</v>
      </c>
      <c r="AC7" s="704">
        <f>D7/J7</f>
        <v>1</v>
      </c>
    </row>
    <row r="8" spans="1:29" s="108" customFormat="1" ht="15.75" thickBot="1">
      <c r="A8" s="362" t="s">
        <v>1681</v>
      </c>
      <c r="B8" s="363"/>
      <c r="C8" s="368" t="s">
        <v>3408</v>
      </c>
      <c r="D8" s="365">
        <v>100</v>
      </c>
      <c r="E8" s="368" t="s">
        <v>3408</v>
      </c>
      <c r="F8" s="367">
        <f>SUMIF(55:55,E8,56:56)-SUMIF(55:55,C8,56:56)+100</f>
        <v>100</v>
      </c>
      <c r="G8" s="368" t="s">
        <v>3408</v>
      </c>
      <c r="H8" s="365">
        <f>SUMIF(55:55,G8,56:56)-SUMIF(55:55,C8,56:56)+100</f>
        <v>100</v>
      </c>
      <c r="I8" s="368" t="s">
        <v>3408</v>
      </c>
      <c r="J8" s="365">
        <f>SUMIF(55:55,I8,56:56)-SUMIF(55:55,C8,56:56)+100</f>
        <v>100</v>
      </c>
      <c r="K8" s="560"/>
      <c r="L8" s="915"/>
      <c r="M8" s="916"/>
      <c r="N8" s="916"/>
      <c r="O8" s="916"/>
      <c r="P8" s="3653" t="s">
        <v>1683</v>
      </c>
      <c r="Q8" s="3654"/>
      <c r="R8" s="701" t="s">
        <v>14</v>
      </c>
      <c r="S8" s="702">
        <f t="shared" si="0"/>
        <v>100</v>
      </c>
      <c r="T8" s="701" t="s">
        <v>14</v>
      </c>
      <c r="U8" s="702">
        <f t="shared" si="1"/>
        <v>100</v>
      </c>
      <c r="V8" s="701" t="s">
        <v>14</v>
      </c>
      <c r="W8" s="702">
        <f t="shared" si="2"/>
        <v>100</v>
      </c>
      <c r="X8" s="703"/>
      <c r="Y8" s="3653" t="s">
        <v>1683</v>
      </c>
      <c r="Z8" s="3654"/>
      <c r="AA8" s="704">
        <f t="shared" ref="AA8:AA40" si="3">D8/F8</f>
        <v>1</v>
      </c>
      <c r="AB8" s="704">
        <f t="shared" ref="AB8:AB40" si="4">D8/H8</f>
        <v>1</v>
      </c>
      <c r="AC8" s="704">
        <f t="shared" ref="AC8:AC40" si="5">D8/J8</f>
        <v>1</v>
      </c>
    </row>
    <row r="9" spans="1:29" s="108" customFormat="1">
      <c r="A9" s="369" t="s">
        <v>1684</v>
      </c>
      <c r="B9" s="63" t="s">
        <v>1685</v>
      </c>
      <c r="C9" s="3453" t="s">
        <v>3414</v>
      </c>
      <c r="D9" s="126">
        <v>100</v>
      </c>
      <c r="E9" s="373" t="s">
        <v>3</v>
      </c>
      <c r="F9" s="126">
        <f>SUMIF(57:57,E9,58:58)-SUMIF(57:57,C9,58:58)+100</f>
        <v>100</v>
      </c>
      <c r="G9" s="371" t="s">
        <v>3</v>
      </c>
      <c r="H9" s="126">
        <f>SUMIF(57:57,G9,58:58)-SUMIF(57:57,C9,58:58)+100</f>
        <v>100</v>
      </c>
      <c r="I9" s="371" t="s">
        <v>3</v>
      </c>
      <c r="J9" s="126">
        <f>SUMIF(57:57,I9,58:58)-SUMIF(57:57,C9,58:58)+100</f>
        <v>100</v>
      </c>
      <c r="K9" s="560"/>
      <c r="L9" s="915"/>
      <c r="M9" s="916"/>
      <c r="N9" s="916"/>
      <c r="O9" s="917"/>
      <c r="P9" s="3651" t="s">
        <v>1686</v>
      </c>
      <c r="Q9" s="1342"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51"/>
      <c r="Q10" s="1342"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1"/>
      <c r="Q11" s="1342"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51"/>
      <c r="Q12" s="1342">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51"/>
      <c r="Q13" s="1342">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51"/>
      <c r="Q14" s="1342">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15">
      <c r="A15" s="391" t="s">
        <v>1690</v>
      </c>
      <c r="B15" s="61" t="s">
        <v>1827</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v>2</v>
      </c>
      <c r="L15" s="923"/>
      <c r="M15" s="914"/>
      <c r="N15" s="914"/>
      <c r="O15" s="922"/>
      <c r="P15" s="3656" t="s">
        <v>1691</v>
      </c>
      <c r="Q15" s="1351" t="str">
        <f t="shared" si="6"/>
        <v>产业集聚程度</v>
      </c>
      <c r="R15" s="705" t="s">
        <v>14</v>
      </c>
      <c r="S15" s="706">
        <f t="shared" si="0"/>
        <v>100</v>
      </c>
      <c r="T15" s="705" t="s">
        <v>14</v>
      </c>
      <c r="U15" s="706">
        <f t="shared" si="1"/>
        <v>100</v>
      </c>
      <c r="V15" s="705" t="s">
        <v>14</v>
      </c>
      <c r="W15" s="706">
        <f t="shared" si="2"/>
        <v>100</v>
      </c>
      <c r="X15" s="1354"/>
      <c r="Y15" s="3656" t="s">
        <v>1691</v>
      </c>
      <c r="Z15" s="1355" t="str">
        <f t="shared" si="7"/>
        <v>产业集聚程度</v>
      </c>
      <c r="AA15" s="1352">
        <f t="shared" si="3"/>
        <v>1</v>
      </c>
      <c r="AB15" s="1352">
        <f t="shared" si="4"/>
        <v>1</v>
      </c>
      <c r="AC15" s="1352">
        <f t="shared" si="5"/>
        <v>1</v>
      </c>
    </row>
    <row r="16" spans="1:29" ht="15">
      <c r="A16" s="379"/>
      <c r="B16" s="397"/>
      <c r="C16" s="398" t="str">
        <f>基准地价修正!C83</f>
        <v>较好</v>
      </c>
      <c r="D16" s="399"/>
      <c r="E16" s="398" t="str">
        <f>C16</f>
        <v>较好</v>
      </c>
      <c r="F16" s="400"/>
      <c r="G16" s="398" t="str">
        <f>C16</f>
        <v>较好</v>
      </c>
      <c r="H16" s="401"/>
      <c r="I16" s="398" t="str">
        <f>C16</f>
        <v>较好</v>
      </c>
      <c r="J16" s="399"/>
      <c r="K16" s="564"/>
      <c r="L16" s="923"/>
      <c r="M16" s="914"/>
      <c r="N16" s="914"/>
      <c r="O16" s="922"/>
      <c r="P16" s="3657"/>
      <c r="Q16" s="1351"/>
      <c r="R16" s="705"/>
      <c r="S16" s="706"/>
      <c r="T16" s="705"/>
      <c r="U16" s="706"/>
      <c r="V16" s="705"/>
      <c r="W16" s="706"/>
      <c r="X16" s="1354"/>
      <c r="Y16" s="3657"/>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v>2</v>
      </c>
      <c r="L17" s="923"/>
      <c r="M17" s="914"/>
      <c r="N17" s="914"/>
      <c r="O17" s="922"/>
      <c r="P17" s="3657"/>
      <c r="Q17" s="1351" t="str">
        <f>B17</f>
        <v>交通便捷度</v>
      </c>
      <c r="R17" s="705" t="s">
        <v>14</v>
      </c>
      <c r="S17" s="706">
        <f>F17</f>
        <v>100</v>
      </c>
      <c r="T17" s="705" t="s">
        <v>14</v>
      </c>
      <c r="U17" s="706">
        <f>H17</f>
        <v>100</v>
      </c>
      <c r="V17" s="705" t="s">
        <v>14</v>
      </c>
      <c r="W17" s="706">
        <f>J17</f>
        <v>100</v>
      </c>
      <c r="X17" s="1354"/>
      <c r="Y17" s="3657"/>
      <c r="Z17" s="1355" t="str">
        <f>Q17</f>
        <v>交通便捷度</v>
      </c>
      <c r="AA17" s="1352">
        <f t="shared" si="3"/>
        <v>1</v>
      </c>
      <c r="AB17" s="1352">
        <f t="shared" si="4"/>
        <v>1</v>
      </c>
      <c r="AC17" s="1352">
        <f t="shared" si="5"/>
        <v>1</v>
      </c>
    </row>
    <row r="18" spans="1:29" ht="15">
      <c r="A18" s="379"/>
      <c r="B18" s="407"/>
      <c r="C18" s="1900" t="str">
        <f>基准地价修正!C84</f>
        <v>一般</v>
      </c>
      <c r="D18" s="401"/>
      <c r="E18" s="1902" t="s">
        <v>3378</v>
      </c>
      <c r="F18" s="404"/>
      <c r="G18" s="1902" t="s">
        <v>3378</v>
      </c>
      <c r="H18" s="399"/>
      <c r="I18" s="1902" t="s">
        <v>3378</v>
      </c>
      <c r="J18" s="399"/>
      <c r="K18" s="564"/>
      <c r="L18" s="923"/>
      <c r="M18" s="914"/>
      <c r="N18" s="914"/>
      <c r="O18" s="922"/>
      <c r="P18" s="3657"/>
      <c r="Q18" s="1351"/>
      <c r="R18" s="705"/>
      <c r="S18" s="706"/>
      <c r="T18" s="705"/>
      <c r="U18" s="706"/>
      <c r="V18" s="705"/>
      <c r="W18" s="706"/>
      <c r="X18" s="1354"/>
      <c r="Y18" s="3657"/>
      <c r="Z18" s="1355"/>
      <c r="AA18" s="1352">
        <v>1</v>
      </c>
      <c r="AB18" s="1352">
        <v>1</v>
      </c>
      <c r="AC18" s="1352">
        <v>1</v>
      </c>
    </row>
    <row r="19" spans="1:29" ht="15">
      <c r="A19" s="379"/>
      <c r="B19" s="402" t="s">
        <v>1812</v>
      </c>
      <c r="C19" s="1899">
        <f>估价对象房地状况!G5</f>
        <v>0</v>
      </c>
      <c r="D19" s="406">
        <v>100</v>
      </c>
      <c r="E19" s="408"/>
      <c r="F19" s="409">
        <f>SUMIF(74:74,E20,75:75)-SUMIF(74:74,C20,75:75)+100</f>
        <v>102</v>
      </c>
      <c r="G19" s="410"/>
      <c r="H19" s="401">
        <f>SUMIF(74:74,G20,75:75)-SUMIF(74:74,C20,75:75)+100</f>
        <v>102</v>
      </c>
      <c r="I19" s="408"/>
      <c r="J19" s="401">
        <f>SUMIF(74:74,I20,75:75)-SUMIF(74:74,C20,75:75)+100</f>
        <v>100</v>
      </c>
      <c r="K19" s="563">
        <v>2</v>
      </c>
      <c r="L19" s="923"/>
      <c r="M19" s="914"/>
      <c r="N19" s="914"/>
      <c r="O19" s="922"/>
      <c r="P19" s="3657"/>
      <c r="Q19" s="1351" t="str">
        <f>B19</f>
        <v>公共配套设施</v>
      </c>
      <c r="R19" s="705" t="s">
        <v>14</v>
      </c>
      <c r="S19" s="706">
        <f>F19</f>
        <v>102</v>
      </c>
      <c r="T19" s="705" t="s">
        <v>14</v>
      </c>
      <c r="U19" s="706">
        <f>H19</f>
        <v>102</v>
      </c>
      <c r="V19" s="705" t="s">
        <v>14</v>
      </c>
      <c r="W19" s="706">
        <f>J19</f>
        <v>100</v>
      </c>
      <c r="X19" s="1354"/>
      <c r="Y19" s="3657"/>
      <c r="Z19" s="1355" t="str">
        <f>Q19</f>
        <v>公共配套设施</v>
      </c>
      <c r="AA19" s="1352">
        <f t="shared" si="3"/>
        <v>0.98039215686274506</v>
      </c>
      <c r="AB19" s="1352">
        <f t="shared" si="4"/>
        <v>0.98039215686274506</v>
      </c>
      <c r="AC19" s="1352">
        <f t="shared" si="5"/>
        <v>1</v>
      </c>
    </row>
    <row r="20" spans="1:29" ht="15">
      <c r="A20" s="379"/>
      <c r="B20" s="407"/>
      <c r="C20" s="398" t="s">
        <v>3379</v>
      </c>
      <c r="D20" s="399"/>
      <c r="E20" s="1897" t="s">
        <v>3378</v>
      </c>
      <c r="F20" s="400"/>
      <c r="G20" s="1897" t="s">
        <v>3378</v>
      </c>
      <c r="H20" s="399"/>
      <c r="I20" s="1897" t="s">
        <v>3379</v>
      </c>
      <c r="J20" s="399"/>
      <c r="K20" s="564"/>
      <c r="L20" s="923"/>
      <c r="M20" s="914"/>
      <c r="N20" s="914"/>
      <c r="O20" s="922"/>
      <c r="P20" s="3657"/>
      <c r="Q20" s="1351"/>
      <c r="R20" s="705"/>
      <c r="S20" s="706"/>
      <c r="T20" s="705"/>
      <c r="U20" s="706"/>
      <c r="V20" s="705"/>
      <c r="W20" s="706"/>
      <c r="X20" s="1354"/>
      <c r="Y20" s="3657"/>
      <c r="Z20" s="1355"/>
      <c r="AA20" s="1352">
        <v>1</v>
      </c>
      <c r="AB20" s="1352">
        <v>1</v>
      </c>
      <c r="AC20" s="1352">
        <v>1</v>
      </c>
    </row>
    <row r="21" spans="1:29" ht="15">
      <c r="A21" s="379"/>
      <c r="B21" s="1131"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v>2</v>
      </c>
      <c r="L21" s="923"/>
      <c r="M21" s="914"/>
      <c r="N21" s="914"/>
      <c r="O21" s="922"/>
      <c r="P21" s="3657"/>
      <c r="Q21" s="1351" t="str">
        <f>B21</f>
        <v>基础设施水平</v>
      </c>
      <c r="R21" s="705" t="s">
        <v>14</v>
      </c>
      <c r="S21" s="706">
        <f>F21</f>
        <v>100</v>
      </c>
      <c r="T21" s="705" t="s">
        <v>14</v>
      </c>
      <c r="U21" s="706">
        <f>H21</f>
        <v>100</v>
      </c>
      <c r="V21" s="705" t="s">
        <v>14</v>
      </c>
      <c r="W21" s="706">
        <f>J21</f>
        <v>100</v>
      </c>
      <c r="X21" s="1354"/>
      <c r="Y21" s="3657"/>
      <c r="Z21" s="1355" t="str">
        <f>Q21</f>
        <v>基础设施水平</v>
      </c>
      <c r="AA21" s="1352">
        <f t="shared" ref="AA21" si="8">D21/F21</f>
        <v>1</v>
      </c>
      <c r="AB21" s="1352">
        <f t="shared" ref="AB21" si="9">D21/H21</f>
        <v>1</v>
      </c>
      <c r="AC21" s="1352">
        <f t="shared" ref="AC21" si="10">D21/J21</f>
        <v>1</v>
      </c>
    </row>
    <row r="22" spans="1:29" ht="15">
      <c r="A22" s="379"/>
      <c r="B22" s="1131"/>
      <c r="C22" s="1900" t="s">
        <v>3405</v>
      </c>
      <c r="D22" s="399"/>
      <c r="E22" s="398" t="s">
        <v>3405</v>
      </c>
      <c r="F22" s="400"/>
      <c r="G22" s="398" t="s">
        <v>3405</v>
      </c>
      <c r="H22" s="399"/>
      <c r="I22" s="398" t="s">
        <v>3405</v>
      </c>
      <c r="J22" s="399"/>
      <c r="K22" s="1130"/>
      <c r="L22" s="923"/>
      <c r="M22" s="914"/>
      <c r="N22" s="914"/>
      <c r="O22" s="922"/>
      <c r="P22" s="3657"/>
      <c r="Q22" s="1351"/>
      <c r="R22" s="705"/>
      <c r="S22" s="706"/>
      <c r="T22" s="705"/>
      <c r="U22" s="706"/>
      <c r="V22" s="705"/>
      <c r="W22" s="706"/>
      <c r="X22" s="1354"/>
      <c r="Y22" s="3657"/>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v>2</v>
      </c>
      <c r="L23" s="923"/>
      <c r="M23" s="914"/>
      <c r="N23" s="914"/>
      <c r="O23" s="922"/>
      <c r="P23" s="3657"/>
      <c r="Q23" s="1351" t="str">
        <f>B23</f>
        <v>环境质量</v>
      </c>
      <c r="R23" s="705" t="s">
        <v>14</v>
      </c>
      <c r="S23" s="706">
        <f>F23</f>
        <v>100</v>
      </c>
      <c r="T23" s="705" t="s">
        <v>14</v>
      </c>
      <c r="U23" s="706">
        <f>H23</f>
        <v>100</v>
      </c>
      <c r="V23" s="705" t="s">
        <v>14</v>
      </c>
      <c r="W23" s="706">
        <f>J23</f>
        <v>100</v>
      </c>
      <c r="X23" s="1354"/>
      <c r="Y23" s="3657"/>
      <c r="Z23" s="1355" t="str">
        <f>Q23</f>
        <v>环境质量</v>
      </c>
      <c r="AA23" s="1352">
        <f t="shared" si="3"/>
        <v>1</v>
      </c>
      <c r="AB23" s="1352">
        <f t="shared" si="4"/>
        <v>1</v>
      </c>
      <c r="AC23" s="1352">
        <f t="shared" si="5"/>
        <v>1</v>
      </c>
    </row>
    <row r="24" spans="1:29" ht="15">
      <c r="A24" s="379"/>
      <c r="B24" s="1131"/>
      <c r="C24" s="398" t="str">
        <f>基准地价修正!C90</f>
        <v>一般</v>
      </c>
      <c r="D24" s="399"/>
      <c r="E24" s="1897" t="s">
        <v>3378</v>
      </c>
      <c r="F24" s="400"/>
      <c r="G24" s="1897" t="s">
        <v>3378</v>
      </c>
      <c r="H24" s="399"/>
      <c r="I24" s="1897" t="s">
        <v>3378</v>
      </c>
      <c r="J24" s="399"/>
      <c r="K24" s="564"/>
      <c r="L24" s="923"/>
      <c r="M24" s="914"/>
      <c r="N24" s="914"/>
      <c r="O24" s="922"/>
      <c r="P24" s="3657"/>
      <c r="Q24" s="1351"/>
      <c r="R24" s="705"/>
      <c r="S24" s="706"/>
      <c r="T24" s="705"/>
      <c r="U24" s="706"/>
      <c r="V24" s="705"/>
      <c r="W24" s="706"/>
      <c r="X24" s="1354"/>
      <c r="Y24" s="3657"/>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7"/>
      <c r="Q25" s="1351">
        <f>B25</f>
        <v>111</v>
      </c>
      <c r="R25" s="705" t="s">
        <v>14</v>
      </c>
      <c r="S25" s="706">
        <f>F25</f>
        <v>100</v>
      </c>
      <c r="T25" s="705" t="s">
        <v>14</v>
      </c>
      <c r="U25" s="706">
        <f>H25</f>
        <v>100</v>
      </c>
      <c r="V25" s="705" t="s">
        <v>14</v>
      </c>
      <c r="W25" s="706">
        <f>J25</f>
        <v>100</v>
      </c>
      <c r="X25" s="1354"/>
      <c r="Y25" s="3657"/>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7"/>
      <c r="Q26" s="1351">
        <f t="shared" ref="Q26:Q40" si="11">B26</f>
        <v>111</v>
      </c>
      <c r="R26" s="705" t="s">
        <v>14</v>
      </c>
      <c r="S26" s="706">
        <f>F26</f>
        <v>100</v>
      </c>
      <c r="T26" s="705" t="s">
        <v>14</v>
      </c>
      <c r="U26" s="706">
        <f>H26</f>
        <v>100</v>
      </c>
      <c r="V26" s="705" t="s">
        <v>14</v>
      </c>
      <c r="W26" s="706">
        <f>J26</f>
        <v>100</v>
      </c>
      <c r="X26" s="1354"/>
      <c r="Y26" s="3657"/>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7"/>
      <c r="Q27" s="1342">
        <f t="shared" si="11"/>
        <v>111</v>
      </c>
      <c r="R27" s="701" t="s">
        <v>14</v>
      </c>
      <c r="S27" s="702">
        <f>F27</f>
        <v>100</v>
      </c>
      <c r="T27" s="701" t="s">
        <v>14</v>
      </c>
      <c r="U27" s="702">
        <f>H27</f>
        <v>100</v>
      </c>
      <c r="V27" s="701" t="s">
        <v>14</v>
      </c>
      <c r="W27" s="702">
        <f>J27</f>
        <v>100</v>
      </c>
      <c r="X27" s="703"/>
      <c r="Y27" s="3657"/>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7"/>
      <c r="Q28" s="1351">
        <f t="shared" si="11"/>
        <v>111</v>
      </c>
      <c r="R28" s="705" t="s">
        <v>14</v>
      </c>
      <c r="S28" s="706">
        <f t="shared" ref="S28:S40" si="12">F28</f>
        <v>100</v>
      </c>
      <c r="T28" s="705" t="s">
        <v>14</v>
      </c>
      <c r="U28" s="706">
        <f t="shared" ref="U28:U40" si="13">H28</f>
        <v>100</v>
      </c>
      <c r="V28" s="705" t="s">
        <v>14</v>
      </c>
      <c r="W28" s="706">
        <f t="shared" ref="W28:W40" si="14">J28</f>
        <v>100</v>
      </c>
      <c r="X28" s="1354"/>
      <c r="Y28" s="3657"/>
      <c r="Z28" s="1355">
        <f t="shared" ref="Z28:Z40" si="15">Q28</f>
        <v>111</v>
      </c>
      <c r="AA28" s="1352">
        <f t="shared" si="3"/>
        <v>1</v>
      </c>
      <c r="AB28" s="1352">
        <f t="shared" si="4"/>
        <v>1</v>
      </c>
      <c r="AC28" s="1352">
        <f t="shared" si="5"/>
        <v>1</v>
      </c>
    </row>
    <row r="29" spans="1:29" ht="28.5">
      <c r="A29" s="417" t="s">
        <v>1694</v>
      </c>
      <c r="B29" s="63" t="s">
        <v>1817</v>
      </c>
      <c r="C29" s="1966" t="s">
        <v>3416</v>
      </c>
      <c r="D29" s="418">
        <v>100</v>
      </c>
      <c r="E29" s="1966" t="s">
        <v>3416</v>
      </c>
      <c r="F29" s="412">
        <f>SUMIF(88:88,E29,89:89)-SUMIF(88:88,C29,89:89)+100</f>
        <v>100</v>
      </c>
      <c r="G29" s="1966" t="s">
        <v>3416</v>
      </c>
      <c r="H29" s="386">
        <f>SUMIF(88:88,G29,89:89)-SUMIF(88:88,C29,89:89)+100</f>
        <v>100</v>
      </c>
      <c r="I29" s="1966" t="s">
        <v>3416</v>
      </c>
      <c r="J29" s="418">
        <f>SUMIF(88:88,I29,89:89)-SUMIF(88:88,C29,89:89)+100</f>
        <v>100</v>
      </c>
      <c r="K29" s="561">
        <v>2</v>
      </c>
      <c r="L29" s="923"/>
      <c r="M29" s="914"/>
      <c r="N29" s="914"/>
      <c r="O29" s="922"/>
      <c r="P29" s="3658" t="s">
        <v>1696</v>
      </c>
      <c r="Q29" s="1351" t="str">
        <f t="shared" si="11"/>
        <v>建筑类型</v>
      </c>
      <c r="R29" s="705" t="s">
        <v>14</v>
      </c>
      <c r="S29" s="706">
        <f t="shared" si="12"/>
        <v>100</v>
      </c>
      <c r="T29" s="705" t="s">
        <v>14</v>
      </c>
      <c r="U29" s="706">
        <f t="shared" si="13"/>
        <v>100</v>
      </c>
      <c r="V29" s="705" t="s">
        <v>14</v>
      </c>
      <c r="W29" s="706">
        <f t="shared" si="14"/>
        <v>100</v>
      </c>
      <c r="X29" s="1354"/>
      <c r="Y29" s="3659" t="s">
        <v>1696</v>
      </c>
      <c r="Z29" s="1355" t="str">
        <f t="shared" si="15"/>
        <v>建筑类型</v>
      </c>
      <c r="AA29" s="1352">
        <f t="shared" si="3"/>
        <v>1</v>
      </c>
      <c r="AB29" s="1352">
        <f t="shared" si="4"/>
        <v>1</v>
      </c>
      <c r="AC29" s="1352">
        <f t="shared" si="5"/>
        <v>1</v>
      </c>
    </row>
    <row r="30" spans="1:29" s="422" customFormat="1" ht="15">
      <c r="A30" s="419"/>
      <c r="B30" s="375" t="s">
        <v>1697</v>
      </c>
      <c r="C30" s="420">
        <f>'数据-汇总表'!E3</f>
        <v>27113.21</v>
      </c>
      <c r="D30" s="127">
        <v>100</v>
      </c>
      <c r="E30" s="381">
        <v>230</v>
      </c>
      <c r="F30" s="376">
        <f>LOOKUP(E30,91:91,92:92)-LOOKUP(C30,91:91,92:92)+100</f>
        <v>94</v>
      </c>
      <c r="G30" s="380">
        <v>500</v>
      </c>
      <c r="H30" s="127">
        <f>LOOKUP(G30,91:91,92:92)-LOOKUP(C30,91:91,92:92)+100</f>
        <v>95</v>
      </c>
      <c r="I30" s="380">
        <v>1200</v>
      </c>
      <c r="J30" s="127">
        <f>LOOKUP(I30,91:91,92:92)-LOOKUP(C30,91:91,92:92)+100</f>
        <v>96</v>
      </c>
      <c r="K30" s="562"/>
      <c r="L30" s="921"/>
      <c r="M30" s="924"/>
      <c r="N30" s="924"/>
      <c r="O30" s="925"/>
      <c r="P30" s="3659"/>
      <c r="Q30" s="707" t="str">
        <f t="shared" si="11"/>
        <v>项目建筑规模</v>
      </c>
      <c r="R30" s="708" t="s">
        <v>14</v>
      </c>
      <c r="S30" s="709">
        <f t="shared" si="12"/>
        <v>94</v>
      </c>
      <c r="T30" s="708" t="s">
        <v>14</v>
      </c>
      <c r="U30" s="709">
        <f t="shared" si="13"/>
        <v>95</v>
      </c>
      <c r="V30" s="708" t="s">
        <v>14</v>
      </c>
      <c r="W30" s="709">
        <f t="shared" si="14"/>
        <v>96</v>
      </c>
      <c r="X30" s="710"/>
      <c r="Y30" s="3659"/>
      <c r="Z30" s="711" t="str">
        <f t="shared" si="15"/>
        <v>项目建筑规模</v>
      </c>
      <c r="AA30" s="1352">
        <f t="shared" si="3"/>
        <v>1.0638297872340425</v>
      </c>
      <c r="AB30" s="1352">
        <f t="shared" si="4"/>
        <v>1.0526315789473684</v>
      </c>
      <c r="AC30" s="1352">
        <f t="shared" si="5"/>
        <v>1.0416666666666667</v>
      </c>
    </row>
    <row r="31" spans="1:29" ht="15">
      <c r="A31" s="423"/>
      <c r="B31" s="375" t="s">
        <v>1698</v>
      </c>
      <c r="C31" s="411" t="s">
        <v>3384</v>
      </c>
      <c r="D31" s="386">
        <v>100</v>
      </c>
      <c r="E31" s="411" t="s">
        <v>3384</v>
      </c>
      <c r="F31" s="412">
        <f>SUMIF(93:93,E31,94:94)-SUMIF(93:93,C31,94:94)+100</f>
        <v>100</v>
      </c>
      <c r="G31" s="411" t="s">
        <v>3415</v>
      </c>
      <c r="H31" s="386">
        <f>SUMIF(93:93,G31,94:94)-SUMIF(93:93,C31,94:94)+100</f>
        <v>102</v>
      </c>
      <c r="I31" s="411" t="s">
        <v>3415</v>
      </c>
      <c r="J31" s="386">
        <f>SUMIF(93:93,I31,94:94)-SUMIF(93:93,C31,94:94)+100</f>
        <v>102</v>
      </c>
      <c r="K31" s="561">
        <v>2</v>
      </c>
      <c r="L31" s="923"/>
      <c r="M31" s="914"/>
      <c r="N31" s="914"/>
      <c r="O31" s="922"/>
      <c r="P31" s="3659"/>
      <c r="Q31" s="1351" t="str">
        <f t="shared" si="11"/>
        <v>建筑结构</v>
      </c>
      <c r="R31" s="705" t="s">
        <v>14</v>
      </c>
      <c r="S31" s="706">
        <f t="shared" si="12"/>
        <v>100</v>
      </c>
      <c r="T31" s="705" t="s">
        <v>14</v>
      </c>
      <c r="U31" s="706">
        <f t="shared" si="13"/>
        <v>102</v>
      </c>
      <c r="V31" s="705" t="s">
        <v>14</v>
      </c>
      <c r="W31" s="706">
        <f t="shared" si="14"/>
        <v>102</v>
      </c>
      <c r="X31" s="1354"/>
      <c r="Y31" s="3659"/>
      <c r="Z31" s="1355" t="str">
        <f t="shared" si="15"/>
        <v>建筑结构</v>
      </c>
      <c r="AA31" s="1352">
        <f t="shared" si="3"/>
        <v>1</v>
      </c>
      <c r="AB31" s="1352">
        <f t="shared" si="4"/>
        <v>0.98039215686274506</v>
      </c>
      <c r="AC31" s="1352">
        <f t="shared" si="5"/>
        <v>0.98039215686274506</v>
      </c>
    </row>
    <row r="32" spans="1:29" ht="15">
      <c r="A32" s="423"/>
      <c r="B32" s="375" t="s">
        <v>1785</v>
      </c>
      <c r="C32" s="411" t="s">
        <v>3418</v>
      </c>
      <c r="D32" s="386">
        <v>100</v>
      </c>
      <c r="E32" s="411" t="s">
        <v>3418</v>
      </c>
      <c r="F32" s="412">
        <f>SUMIF(95:95,E32,96:96)-SUMIF(95:95,C32,96:96)+100</f>
        <v>100</v>
      </c>
      <c r="G32" s="411" t="s">
        <v>3418</v>
      </c>
      <c r="H32" s="386">
        <f>SUMIF(95:95,G32,96:96)-SUMIF(95:95,C32,96:96)+100</f>
        <v>100</v>
      </c>
      <c r="I32" s="411" t="s">
        <v>3418</v>
      </c>
      <c r="J32" s="386">
        <f>SUMIF(95:95,I32,96:96)-SUMIF(95:95,C32,96:96)+100</f>
        <v>100</v>
      </c>
      <c r="K32" s="561">
        <v>1</v>
      </c>
      <c r="L32" s="923"/>
      <c r="M32" s="914"/>
      <c r="N32" s="914"/>
      <c r="O32" s="922"/>
      <c r="P32" s="3659"/>
      <c r="Q32" s="1351" t="str">
        <f t="shared" si="11"/>
        <v>公共部分装修</v>
      </c>
      <c r="R32" s="705" t="s">
        <v>14</v>
      </c>
      <c r="S32" s="706">
        <f t="shared" si="12"/>
        <v>100</v>
      </c>
      <c r="T32" s="705" t="s">
        <v>14</v>
      </c>
      <c r="U32" s="706">
        <f t="shared" si="13"/>
        <v>100</v>
      </c>
      <c r="V32" s="705" t="s">
        <v>14</v>
      </c>
      <c r="W32" s="706">
        <f t="shared" si="14"/>
        <v>100</v>
      </c>
      <c r="X32" s="1354"/>
      <c r="Y32" s="3659"/>
      <c r="Z32" s="1355" t="str">
        <f t="shared" si="15"/>
        <v>公共部分装修</v>
      </c>
      <c r="AA32" s="1352">
        <f t="shared" si="3"/>
        <v>1</v>
      </c>
      <c r="AB32" s="1352">
        <f t="shared" si="4"/>
        <v>1</v>
      </c>
      <c r="AC32" s="1352">
        <f t="shared" si="5"/>
        <v>1</v>
      </c>
    </row>
    <row r="33" spans="1:29" ht="15">
      <c r="A33" s="423"/>
      <c r="B33" s="375" t="s">
        <v>1786</v>
      </c>
      <c r="C33" s="420">
        <v>100</v>
      </c>
      <c r="D33" s="386">
        <v>100</v>
      </c>
      <c r="E33" s="425">
        <v>1</v>
      </c>
      <c r="F33" s="412">
        <f>LOOKUP(E33,98:98,99:99)-LOOKUP(C33,98:98,99:99)+100</f>
        <v>100</v>
      </c>
      <c r="G33" s="425">
        <v>1</v>
      </c>
      <c r="H33" s="412">
        <f>LOOKUP(G33,98:98,99:99)-LOOKUP(C33,98:98,99:99)+100</f>
        <v>100</v>
      </c>
      <c r="I33" s="425">
        <v>1</v>
      </c>
      <c r="J33" s="386">
        <f>LOOKUP(I33,98:98,99:99)-LOOKUP(C33,98:98,99:99)+100</f>
        <v>100</v>
      </c>
      <c r="K33" s="561"/>
      <c r="L33" s="923"/>
      <c r="M33" s="914"/>
      <c r="N33" s="914"/>
      <c r="O33" s="922"/>
      <c r="P33" s="3659"/>
      <c r="Q33" s="1351" t="str">
        <f t="shared" si="11"/>
        <v>成新度</v>
      </c>
      <c r="R33" s="705" t="s">
        <v>14</v>
      </c>
      <c r="S33" s="706">
        <f t="shared" si="12"/>
        <v>100</v>
      </c>
      <c r="T33" s="705" t="s">
        <v>14</v>
      </c>
      <c r="U33" s="706">
        <f t="shared" si="13"/>
        <v>100</v>
      </c>
      <c r="V33" s="705" t="s">
        <v>14</v>
      </c>
      <c r="W33" s="706">
        <f t="shared" si="14"/>
        <v>100</v>
      </c>
      <c r="X33" s="1354"/>
      <c r="Y33" s="3659"/>
      <c r="Z33" s="1355" t="str">
        <f t="shared" si="15"/>
        <v>成新度</v>
      </c>
      <c r="AA33" s="1352">
        <f t="shared" si="3"/>
        <v>1</v>
      </c>
      <c r="AB33" s="1352">
        <f t="shared" si="4"/>
        <v>1</v>
      </c>
      <c r="AC33" s="1352">
        <f t="shared" si="5"/>
        <v>1</v>
      </c>
    </row>
    <row r="34" spans="1:29" s="108" customFormat="1" ht="15">
      <c r="A34" s="424"/>
      <c r="B34" s="375" t="s">
        <v>1819</v>
      </c>
      <c r="C34" s="411" t="s">
        <v>3419</v>
      </c>
      <c r="D34" s="127">
        <v>100</v>
      </c>
      <c r="E34" s="411" t="s">
        <v>3419</v>
      </c>
      <c r="F34" s="412">
        <f>SUMIF(100:100,E34,101:101)-SUMIF(100:100,C34,101:101)+100</f>
        <v>100</v>
      </c>
      <c r="G34" s="411" t="s">
        <v>3419</v>
      </c>
      <c r="H34" s="386">
        <f>SUMIF(100:100,G34,101:101)-SUMIF(100:100,C34,101:101)+100</f>
        <v>100</v>
      </c>
      <c r="I34" s="411" t="s">
        <v>3419</v>
      </c>
      <c r="J34" s="386">
        <f>SUMIF(100:100,I34,101:101)-SUMIF(100:100,C34,101:101)+100</f>
        <v>100</v>
      </c>
      <c r="K34" s="561">
        <v>1</v>
      </c>
      <c r="L34" s="915"/>
      <c r="M34" s="916"/>
      <c r="N34" s="916"/>
      <c r="O34" s="917"/>
      <c r="P34" s="3659"/>
      <c r="Q34" s="1342" t="str">
        <f t="shared" si="11"/>
        <v>物业管理</v>
      </c>
      <c r="R34" s="701" t="s">
        <v>14</v>
      </c>
      <c r="S34" s="702">
        <f t="shared" si="12"/>
        <v>100</v>
      </c>
      <c r="T34" s="701" t="s">
        <v>14</v>
      </c>
      <c r="U34" s="702">
        <f t="shared" si="13"/>
        <v>100</v>
      </c>
      <c r="V34" s="701" t="s">
        <v>14</v>
      </c>
      <c r="W34" s="702">
        <f t="shared" si="14"/>
        <v>100</v>
      </c>
      <c r="X34" s="703"/>
      <c r="Y34" s="3659"/>
      <c r="Z34" s="52" t="str">
        <f t="shared" si="15"/>
        <v>物业管理</v>
      </c>
      <c r="AA34" s="704">
        <f t="shared" si="3"/>
        <v>1</v>
      </c>
      <c r="AB34" s="704">
        <f t="shared" si="4"/>
        <v>1</v>
      </c>
      <c r="AC34" s="704">
        <f t="shared" si="5"/>
        <v>1</v>
      </c>
    </row>
    <row r="35" spans="1:29" ht="15">
      <c r="A35" s="423"/>
      <c r="B35" s="375" t="s">
        <v>1787</v>
      </c>
      <c r="C35" s="411" t="s">
        <v>3425</v>
      </c>
      <c r="D35" s="386">
        <v>100</v>
      </c>
      <c r="E35" s="411" t="s">
        <v>3425</v>
      </c>
      <c r="F35" s="412">
        <f>SUMIF(102:102,E35,103:103)-SUMIF(102:102,C35,103:103)+100</f>
        <v>100</v>
      </c>
      <c r="G35" s="411" t="s">
        <v>3425</v>
      </c>
      <c r="H35" s="386">
        <f>SUMIF(102:102,G35,103:103)-SUMIF(102:102,C35,103:103)+100</f>
        <v>100</v>
      </c>
      <c r="I35" s="411" t="s">
        <v>3425</v>
      </c>
      <c r="J35" s="386">
        <f>SUMIF(102:102,I35,103:103)-SUMIF(102:102,C35,103:103)+100</f>
        <v>100</v>
      </c>
      <c r="K35" s="561">
        <v>1</v>
      </c>
      <c r="L35" s="923"/>
      <c r="M35" s="914"/>
      <c r="N35" s="914"/>
      <c r="O35" s="922"/>
      <c r="P35" s="3659" t="s">
        <v>1696</v>
      </c>
      <c r="Q35" s="1351" t="str">
        <f t="shared" si="11"/>
        <v>市政基础设施</v>
      </c>
      <c r="R35" s="705" t="s">
        <v>14</v>
      </c>
      <c r="S35" s="706">
        <f t="shared" si="12"/>
        <v>100</v>
      </c>
      <c r="T35" s="705" t="s">
        <v>14</v>
      </c>
      <c r="U35" s="706">
        <f t="shared" si="13"/>
        <v>100</v>
      </c>
      <c r="V35" s="705" t="s">
        <v>14</v>
      </c>
      <c r="W35" s="706">
        <f t="shared" si="14"/>
        <v>100</v>
      </c>
      <c r="X35" s="1354"/>
      <c r="Y35" s="3659" t="s">
        <v>1696</v>
      </c>
      <c r="Z35" s="1355" t="str">
        <f t="shared" si="15"/>
        <v>市政基础设施</v>
      </c>
      <c r="AA35" s="1352">
        <f t="shared" si="3"/>
        <v>1</v>
      </c>
      <c r="AB35" s="1352">
        <f t="shared" si="4"/>
        <v>1</v>
      </c>
      <c r="AC35" s="1352">
        <f t="shared" si="5"/>
        <v>1</v>
      </c>
    </row>
    <row r="36" spans="1:29" ht="15">
      <c r="A36" s="423"/>
      <c r="B36" s="375" t="s">
        <v>1792</v>
      </c>
      <c r="C36" s="411" t="s">
        <v>3418</v>
      </c>
      <c r="D36" s="386">
        <v>100</v>
      </c>
      <c r="E36" s="411" t="s">
        <v>3418</v>
      </c>
      <c r="F36" s="412">
        <f>SUMIF(104:104,E36,105:105)-SUMIF(104:104,C36,105:105)+100</f>
        <v>100</v>
      </c>
      <c r="G36" s="411" t="s">
        <v>3418</v>
      </c>
      <c r="H36" s="386">
        <f>SUMIF(104:104,G36,105:105)-SUMIF(104:104,C36,105:105)+100</f>
        <v>100</v>
      </c>
      <c r="I36" s="411" t="s">
        <v>3418</v>
      </c>
      <c r="J36" s="386">
        <f>SUMIF(104:104,I36,105:105)-SUMIF(104:104,C36,105:105)+100</f>
        <v>100</v>
      </c>
      <c r="K36" s="561">
        <v>1</v>
      </c>
      <c r="L36" s="923"/>
      <c r="M36" s="914"/>
      <c r="N36" s="914"/>
      <c r="O36" s="922"/>
      <c r="P36" s="3659"/>
      <c r="Q36" s="1351" t="str">
        <f t="shared" si="11"/>
        <v>内部装修</v>
      </c>
      <c r="R36" s="705" t="s">
        <v>14</v>
      </c>
      <c r="S36" s="706">
        <f t="shared" si="12"/>
        <v>100</v>
      </c>
      <c r="T36" s="705" t="s">
        <v>14</v>
      </c>
      <c r="U36" s="706">
        <f t="shared" si="13"/>
        <v>100</v>
      </c>
      <c r="V36" s="705" t="s">
        <v>14</v>
      </c>
      <c r="W36" s="706">
        <f t="shared" si="14"/>
        <v>100</v>
      </c>
      <c r="X36" s="1354"/>
      <c r="Y36" s="3659"/>
      <c r="Z36" s="1355" t="str">
        <f t="shared" si="15"/>
        <v>内部装修</v>
      </c>
      <c r="AA36" s="1352">
        <f t="shared" si="3"/>
        <v>1</v>
      </c>
      <c r="AB36" s="1352">
        <f t="shared" si="4"/>
        <v>1</v>
      </c>
      <c r="AC36" s="1352">
        <f t="shared" si="5"/>
        <v>1</v>
      </c>
    </row>
    <row r="37" spans="1:29" ht="15">
      <c r="A37" s="423"/>
      <c r="B37" s="375" t="s">
        <v>1828</v>
      </c>
      <c r="C37" s="565" t="s">
        <v>3378</v>
      </c>
      <c r="D37" s="386">
        <v>100</v>
      </c>
      <c r="E37" s="565" t="s">
        <v>3378</v>
      </c>
      <c r="F37" s="412">
        <f>SUMIF(106:106,E37,107:107)-SUMIF(106:106,C37,107:107)+100</f>
        <v>100</v>
      </c>
      <c r="G37" s="565" t="s">
        <v>3378</v>
      </c>
      <c r="H37" s="386">
        <f>SUMIF(106:106,G37,107:107)-SUMIF(106:106,C37,107:107)+100</f>
        <v>100</v>
      </c>
      <c r="I37" s="565" t="s">
        <v>3378</v>
      </c>
      <c r="J37" s="386">
        <f>SUMIF(106:106,I37,107:107)-SUMIF(106:106,C37,107:107)+100</f>
        <v>100</v>
      </c>
      <c r="K37" s="561">
        <v>1</v>
      </c>
      <c r="L37" s="923"/>
      <c r="M37" s="914"/>
      <c r="N37" s="914"/>
      <c r="O37" s="922"/>
      <c r="P37" s="3659"/>
      <c r="Q37" s="1351" t="str">
        <f t="shared" si="11"/>
        <v>内部装修状况</v>
      </c>
      <c r="R37" s="705" t="s">
        <v>14</v>
      </c>
      <c r="S37" s="706">
        <f t="shared" si="12"/>
        <v>100</v>
      </c>
      <c r="T37" s="705" t="s">
        <v>14</v>
      </c>
      <c r="U37" s="706">
        <f t="shared" si="13"/>
        <v>100</v>
      </c>
      <c r="V37" s="705" t="s">
        <v>14</v>
      </c>
      <c r="W37" s="706">
        <f t="shared" si="14"/>
        <v>100</v>
      </c>
      <c r="X37" s="1354"/>
      <c r="Y37" s="3659"/>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9"/>
      <c r="Q38" s="707">
        <f t="shared" si="11"/>
        <v>111</v>
      </c>
      <c r="R38" s="708" t="s">
        <v>14</v>
      </c>
      <c r="S38" s="709">
        <f t="shared" si="12"/>
        <v>100</v>
      </c>
      <c r="T38" s="708" t="s">
        <v>14</v>
      </c>
      <c r="U38" s="709">
        <f t="shared" si="13"/>
        <v>100</v>
      </c>
      <c r="V38" s="708" t="s">
        <v>14</v>
      </c>
      <c r="W38" s="709">
        <f t="shared" si="14"/>
        <v>100</v>
      </c>
      <c r="X38" s="710"/>
      <c r="Y38" s="3659"/>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9"/>
      <c r="Q39" s="1351">
        <f t="shared" si="11"/>
        <v>111</v>
      </c>
      <c r="R39" s="705" t="s">
        <v>14</v>
      </c>
      <c r="S39" s="706">
        <f t="shared" si="12"/>
        <v>100</v>
      </c>
      <c r="T39" s="705" t="s">
        <v>14</v>
      </c>
      <c r="U39" s="706">
        <f t="shared" si="13"/>
        <v>100</v>
      </c>
      <c r="V39" s="705" t="s">
        <v>14</v>
      </c>
      <c r="W39" s="706">
        <f t="shared" si="14"/>
        <v>100</v>
      </c>
      <c r="X39" s="1354"/>
      <c r="Y39" s="365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8"/>
      <c r="Q40" s="1351">
        <f t="shared" si="11"/>
        <v>111</v>
      </c>
      <c r="R40" s="705" t="s">
        <v>14</v>
      </c>
      <c r="S40" s="706">
        <f t="shared" si="12"/>
        <v>100</v>
      </c>
      <c r="T40" s="705" t="s">
        <v>14</v>
      </c>
      <c r="U40" s="706">
        <f t="shared" si="13"/>
        <v>100</v>
      </c>
      <c r="V40" s="705" t="s">
        <v>14</v>
      </c>
      <c r="W40" s="706">
        <f t="shared" si="14"/>
        <v>100</v>
      </c>
      <c r="X40" s="1354"/>
      <c r="Y40" s="3728"/>
      <c r="Z40" s="1355">
        <f t="shared" si="15"/>
        <v>111</v>
      </c>
      <c r="AA40" s="1352">
        <f t="shared" si="3"/>
        <v>1</v>
      </c>
      <c r="AB40" s="1352">
        <f t="shared" si="4"/>
        <v>1</v>
      </c>
      <c r="AC40" s="1352">
        <f t="shared" si="5"/>
        <v>1</v>
      </c>
    </row>
    <row r="41" spans="1:29" ht="15">
      <c r="A41" s="430" t="s">
        <v>1708</v>
      </c>
      <c r="B41" s="431"/>
      <c r="C41" s="1154" t="s">
        <v>0</v>
      </c>
      <c r="D41" s="1155"/>
      <c r="E41" s="1156">
        <v>1.1000000000000001</v>
      </c>
      <c r="F41" s="1157"/>
      <c r="G41" s="1158">
        <v>1.2</v>
      </c>
      <c r="H41" s="1159"/>
      <c r="I41" s="1156">
        <v>1.3</v>
      </c>
      <c r="J41" s="1159"/>
      <c r="K41" s="714"/>
      <c r="L41" s="926"/>
      <c r="M41" s="927"/>
      <c r="N41" s="914"/>
      <c r="O41" s="927"/>
      <c r="P41" s="3651" t="str">
        <f>A41</f>
        <v>成交单价（元/平方米）</v>
      </c>
      <c r="Q41" s="3651"/>
      <c r="R41" s="3724">
        <f>E41</f>
        <v>1.1000000000000001</v>
      </c>
      <c r="S41" s="3724"/>
      <c r="T41" s="3724">
        <f>G41</f>
        <v>1.2</v>
      </c>
      <c r="U41" s="3724"/>
      <c r="V41" s="3724">
        <f>I41</f>
        <v>1.3</v>
      </c>
      <c r="W41" s="3724"/>
      <c r="X41" s="690"/>
      <c r="Y41" s="712"/>
      <c r="Z41" s="690"/>
      <c r="AA41" s="690"/>
      <c r="AB41" s="690"/>
      <c r="AC41" s="690"/>
    </row>
    <row r="42" spans="1:29" ht="15.75" thickBot="1">
      <c r="A42" s="437" t="s">
        <v>1793</v>
      </c>
      <c r="B42" s="438"/>
      <c r="C42" s="1160">
        <f>R43</f>
        <v>1.2</v>
      </c>
      <c r="D42" s="2316" t="s">
        <v>2137</v>
      </c>
      <c r="E42" s="1161">
        <f>R42</f>
        <v>1.1000000000000001</v>
      </c>
      <c r="F42" s="2317"/>
      <c r="G42" s="1160">
        <f>T42</f>
        <v>1.2</v>
      </c>
      <c r="H42" s="2317"/>
      <c r="I42" s="1161">
        <f>V42</f>
        <v>1.3</v>
      </c>
      <c r="J42" s="2317"/>
      <c r="K42" s="2319">
        <f>F42+H42+J42</f>
        <v>0</v>
      </c>
      <c r="L42" s="926"/>
      <c r="M42" s="927"/>
      <c r="N42" s="914"/>
      <c r="O42" s="927"/>
      <c r="P42" s="3651" t="str">
        <f>A42</f>
        <v>比较价值（元/平方米）</v>
      </c>
      <c r="Q42" s="3651"/>
      <c r="R42" s="3724">
        <f>IF(F1="售价",ROUND(PRODUCT(R41,AA7:AA40),0),ROUND(PRODUCT(R41,AA7:AA40),1))</f>
        <v>1.1000000000000001</v>
      </c>
      <c r="S42" s="3724"/>
      <c r="T42" s="3724">
        <f>IF(F1="售价",ROUND(PRODUCT(T41,AB7:AB40),0),ROUND(PRODUCT(T41,AB7:AB40),1))</f>
        <v>1.2</v>
      </c>
      <c r="U42" s="3724"/>
      <c r="V42" s="3724">
        <f>IF(F1="售价",ROUND(PRODUCT(V41,AC7:AC40),0),ROUND(PRODUCT(V41,AC7:AC40),1))</f>
        <v>1.3</v>
      </c>
      <c r="W42" s="3724"/>
      <c r="X42" s="690"/>
      <c r="Y42" s="690"/>
      <c r="Z42" s="690"/>
      <c r="AA42" s="690"/>
      <c r="AB42" s="690"/>
      <c r="AC42" s="690"/>
    </row>
    <row r="43" spans="1:29" ht="15.75" thickBot="1">
      <c r="A43" s="441" t="s">
        <v>1794</v>
      </c>
      <c r="B43" s="442"/>
      <c r="C43" s="1163">
        <f>R43</f>
        <v>1.2</v>
      </c>
      <c r="D43" s="1163"/>
      <c r="E43" s="1163"/>
      <c r="F43" s="1163"/>
      <c r="G43" s="1163"/>
      <c r="H43" s="1163"/>
      <c r="I43" s="1163"/>
      <c r="J43" s="1163"/>
      <c r="K43" s="715"/>
      <c r="L43" s="926"/>
      <c r="M43" s="927"/>
      <c r="N43" s="927"/>
      <c r="O43" s="927"/>
      <c r="P43" s="3648" t="str">
        <f>A43</f>
        <v>估价对象XX用房的比较价值（楼面单价，元/平方米）</v>
      </c>
      <c r="Q43" s="3649"/>
      <c r="R43" s="3723">
        <f>IF(F1="售价",ROUND(IF(D42="简单平均",AVERAGE(R42:V42),R42*F42+T42*H42+V42*J42),0),ROUND(IF(D42="简单平均",AVERAGE(R42:V42),R42*F42+T42*H42+V42*J42),1))</f>
        <v>1.2</v>
      </c>
      <c r="S43" s="3723"/>
      <c r="T43" s="3723"/>
      <c r="U43" s="3723"/>
      <c r="V43" s="3723"/>
      <c r="W43" s="3723"/>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f>IF(E41&lt;E42,E42/E41-1,E41/E42-1)</f>
        <v>0</v>
      </c>
      <c r="F46" s="449" t="str">
        <f>IF(OR(E46&gt;=0.3,E46&lt;=-0.3),"超过30%","")</f>
        <v/>
      </c>
      <c r="G46" s="448">
        <f>IF(G41&lt;G42,G42/G41-1,G41/G42-1)</f>
        <v>0</v>
      </c>
      <c r="H46" s="449" t="str">
        <f>IF(OR(G46&gt;=0.3,G46&lt;=-0.3),"超过30%","")</f>
        <v/>
      </c>
      <c r="I46" s="448">
        <f>IF(I41&lt;I42,I42/I41-1,I41/I42-1)</f>
        <v>0</v>
      </c>
      <c r="J46" s="449" t="str">
        <f>IF(OR(I46&gt;=0.3,I46&lt;=-0.3),"超过30%","")</f>
        <v/>
      </c>
      <c r="K46" s="2729"/>
      <c r="L46" s="889"/>
      <c r="M46" s="927"/>
      <c r="N46" s="927"/>
      <c r="O46" s="927"/>
    </row>
    <row r="47" spans="1:29" ht="13.5" customHeight="1">
      <c r="A47" s="2724"/>
      <c r="B47" s="2724"/>
      <c r="C47" s="446" t="s">
        <v>1796</v>
      </c>
      <c r="D47" s="450"/>
      <c r="E47" s="448">
        <f>IF(E42&lt;G42,G42/E42-1,E42/G42-1)</f>
        <v>9.0909090909090828E-2</v>
      </c>
      <c r="F47" s="449" t="str">
        <f>IF(OR(E47&gt;=0.2,E47&lt;=-0.2),"超过20%","")</f>
        <v/>
      </c>
      <c r="G47" s="448">
        <f>IF(G42&lt;I42,I42/G42-1,G42/I42-1)</f>
        <v>8.3333333333333481E-2</v>
      </c>
      <c r="H47" s="449" t="str">
        <f>IF(OR(G47&gt;=0.2,G47&lt;=-0.2),"超过20%","")</f>
        <v/>
      </c>
      <c r="I47" s="448">
        <f>IF(I42&lt;E42,E42/I42-1,I42/E42-1)</f>
        <v>0.18181818181818166</v>
      </c>
      <c r="J47" s="449" t="str">
        <f>IF(OR(I47&gt;=0.2,I47&lt;=-0.2),"超过20%","")</f>
        <v/>
      </c>
      <c r="K47" s="2729"/>
      <c r="L47" s="889"/>
      <c r="M47" s="927"/>
      <c r="N47" s="927"/>
      <c r="O47" s="927"/>
    </row>
    <row r="48" spans="1:29" s="451" customFormat="1" ht="13.5" customHeight="1">
      <c r="A48" s="2727"/>
      <c r="B48" s="2727"/>
      <c r="C48" s="446" t="s">
        <v>1797</v>
      </c>
      <c r="D48" s="450"/>
      <c r="E48" s="448">
        <f>IF(E41&lt;G41,G41/E41-1,E41/G41-1)</f>
        <v>9.0909090909090828E-2</v>
      </c>
      <c r="F48" s="449" t="str">
        <f>IF(OR(E48&gt;=0.3,E48&lt;=-0.3),"超过30%","")</f>
        <v/>
      </c>
      <c r="G48" s="448">
        <f>IF(G41&lt;I41,I41/G41-1,G41/I41-1)</f>
        <v>8.3333333333333481E-2</v>
      </c>
      <c r="H48" s="449" t="str">
        <f>IF(OR(G48&gt;=0.3,G48&lt;=-0.3),"超过30%","")</f>
        <v/>
      </c>
      <c r="I48" s="448">
        <f>IF(I41&lt;E41,E41/I41-1,I41/E41-1)</f>
        <v>0.18181818181818166</v>
      </c>
      <c r="J48" s="449" t="str">
        <f>IF(OR(I48&gt;=0.3,I48&lt;=-0.3),"超过30%","")</f>
        <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2023-9</v>
      </c>
      <c r="D52" s="1184">
        <f>EDATE(C52,-1)</f>
        <v>45139</v>
      </c>
      <c r="E52" s="1184">
        <f t="shared" ref="E52:O52" si="16">EDATE(D52,-1)</f>
        <v>45108</v>
      </c>
      <c r="F52" s="1184">
        <f t="shared" si="16"/>
        <v>45078</v>
      </c>
      <c r="G52" s="1184">
        <f t="shared" si="16"/>
        <v>45047</v>
      </c>
      <c r="H52" s="1184">
        <f t="shared" si="16"/>
        <v>45017</v>
      </c>
      <c r="I52" s="1184">
        <f t="shared" si="16"/>
        <v>44986</v>
      </c>
      <c r="J52" s="1184">
        <f t="shared" si="16"/>
        <v>44958</v>
      </c>
      <c r="K52" s="1184">
        <f t="shared" si="16"/>
        <v>44927</v>
      </c>
      <c r="L52" s="1184">
        <f t="shared" si="16"/>
        <v>44896</v>
      </c>
      <c r="M52" s="1184">
        <f t="shared" si="16"/>
        <v>44866</v>
      </c>
      <c r="N52" s="1184">
        <f t="shared" si="16"/>
        <v>44835</v>
      </c>
      <c r="O52" s="1184">
        <f t="shared" si="16"/>
        <v>44805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7">D62&amp;"（含）"&amp;"-"&amp;E62</f>
        <v>1（含）-2</v>
      </c>
      <c r="E61" s="496" t="str">
        <f t="shared" si="17"/>
        <v>2（含）-3</v>
      </c>
      <c r="F61" s="496" t="str">
        <f t="shared" si="17"/>
        <v>3（含）-4</v>
      </c>
      <c r="G61" s="496" t="str">
        <f t="shared" si="17"/>
        <v>4（含）-5</v>
      </c>
      <c r="H61" s="496" t="str">
        <f t="shared" si="17"/>
        <v>5（含）-6</v>
      </c>
      <c r="I61" s="496" t="str">
        <f t="shared" si="17"/>
        <v>6（含）-7</v>
      </c>
      <c r="J61" s="496" t="str">
        <f t="shared" si="17"/>
        <v>7（含）-8</v>
      </c>
      <c r="K61" s="496" t="str">
        <f t="shared" si="17"/>
        <v>8（含）-9</v>
      </c>
      <c r="L61" s="496" t="str">
        <f t="shared" si="17"/>
        <v>9（含）-10</v>
      </c>
      <c r="M61" s="399" t="str">
        <f>M62&amp;"（含）"&amp;"-"&amp;P62</f>
        <v>10（含）-</v>
      </c>
      <c r="N61" s="934"/>
      <c r="O61" s="934"/>
      <c r="P61" s="42"/>
      <c r="Q61" s="453"/>
    </row>
    <row r="62" spans="1:17" ht="15">
      <c r="A62" s="483"/>
      <c r="B62" s="497"/>
      <c r="C62" s="498">
        <v>0</v>
      </c>
      <c r="D62" s="498">
        <v>1</v>
      </c>
      <c r="E62" s="498">
        <v>2</v>
      </c>
      <c r="F62" s="498">
        <v>3</v>
      </c>
      <c r="G62" s="498">
        <v>4</v>
      </c>
      <c r="H62" s="498">
        <v>5</v>
      </c>
      <c r="I62" s="498">
        <v>6</v>
      </c>
      <c r="J62" s="498">
        <v>7</v>
      </c>
      <c r="K62" s="498">
        <v>8</v>
      </c>
      <c r="L62" s="498">
        <v>9</v>
      </c>
      <c r="M62" s="498">
        <v>10</v>
      </c>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98</v>
      </c>
      <c r="E77" s="493">
        <f>D77-$K21</f>
        <v>96</v>
      </c>
      <c r="F77" s="493">
        <f>E77-$K21</f>
        <v>94</v>
      </c>
      <c r="G77" s="493">
        <f>F77-$K21</f>
        <v>92</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3449" t="s">
        <v>3417</v>
      </c>
      <c r="D88" s="344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98</v>
      </c>
      <c r="E89" s="493">
        <f t="shared" si="19"/>
        <v>96</v>
      </c>
      <c r="F89" s="493">
        <f t="shared" si="19"/>
        <v>94</v>
      </c>
      <c r="G89" s="493">
        <f t="shared" si="19"/>
        <v>92</v>
      </c>
      <c r="H89" s="493">
        <f t="shared" si="19"/>
        <v>90</v>
      </c>
      <c r="I89" s="493">
        <f t="shared" si="19"/>
        <v>88</v>
      </c>
      <c r="J89" s="493">
        <f t="shared" si="19"/>
        <v>86</v>
      </c>
      <c r="K89" s="493">
        <f t="shared" si="19"/>
        <v>84</v>
      </c>
      <c r="L89" s="493">
        <f t="shared" si="19"/>
        <v>82</v>
      </c>
      <c r="M89" s="494">
        <f t="shared" si="19"/>
        <v>80</v>
      </c>
      <c r="N89" s="934"/>
      <c r="O89" s="934"/>
      <c r="P89" s="42"/>
      <c r="Q89" s="453"/>
    </row>
    <row r="90" spans="1:17" ht="29.25" thickTop="1">
      <c r="A90" s="483"/>
      <c r="B90" s="487" t="s">
        <v>1737</v>
      </c>
      <c r="C90" s="527" t="str">
        <f>C91&amp;"(含)"&amp;"-"&amp;D91</f>
        <v>0(含)-500</v>
      </c>
      <c r="D90" s="527" t="str">
        <f t="shared" ref="D90:L90" si="20">D91&amp;"(含)"&amp;"-"&amp;E91</f>
        <v>500(含)-1000</v>
      </c>
      <c r="E90" s="527" t="str">
        <f t="shared" si="20"/>
        <v>1000(含)-1500</v>
      </c>
      <c r="F90" s="527" t="str">
        <f t="shared" si="20"/>
        <v>1500(含)-2000</v>
      </c>
      <c r="G90" s="527" t="str">
        <f t="shared" si="20"/>
        <v>2000(含)-2500</v>
      </c>
      <c r="H90" s="527" t="str">
        <f t="shared" si="20"/>
        <v>2500(含)-3000</v>
      </c>
      <c r="I90" s="527" t="str">
        <f t="shared" si="20"/>
        <v>3000(含)-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500</v>
      </c>
      <c r="E91" s="544">
        <v>1000</v>
      </c>
      <c r="F91" s="544">
        <v>1500</v>
      </c>
      <c r="G91" s="544">
        <v>2000</v>
      </c>
      <c r="H91" s="544">
        <v>2500</v>
      </c>
      <c r="I91" s="544">
        <v>3000</v>
      </c>
      <c r="J91" s="545"/>
      <c r="K91" s="545"/>
      <c r="L91" s="546"/>
      <c r="M91" s="547"/>
      <c r="N91" s="935"/>
      <c r="O91" s="935"/>
      <c r="P91" s="507"/>
      <c r="Q91" s="508"/>
    </row>
    <row r="92" spans="1:17" s="422" customFormat="1" ht="15.75" thickBot="1">
      <c r="A92" s="502"/>
      <c r="B92" s="492"/>
      <c r="C92" s="509">
        <v>100</v>
      </c>
      <c r="D92" s="485">
        <v>101</v>
      </c>
      <c r="E92" s="509">
        <v>102</v>
      </c>
      <c r="F92" s="485">
        <v>103</v>
      </c>
      <c r="G92" s="509">
        <v>104</v>
      </c>
      <c r="H92" s="485">
        <v>105</v>
      </c>
      <c r="I92" s="509">
        <v>106</v>
      </c>
      <c r="J92" s="485"/>
      <c r="K92" s="485"/>
      <c r="L92" s="485"/>
      <c r="M92" s="486"/>
      <c r="N92" s="934"/>
      <c r="O92" s="934"/>
      <c r="P92" s="507"/>
      <c r="Q92" s="508"/>
    </row>
    <row r="93" spans="1:17" ht="15" thickTop="1">
      <c r="A93" s="548"/>
      <c r="B93" s="487" t="s">
        <v>1738</v>
      </c>
      <c r="C93" s="3450" t="s">
        <v>3398</v>
      </c>
      <c r="D93" s="3450" t="s">
        <v>3397</v>
      </c>
      <c r="E93" s="3451" t="s">
        <v>3399</v>
      </c>
      <c r="F93" s="532"/>
      <c r="G93" s="532"/>
      <c r="H93" s="532"/>
      <c r="I93" s="532"/>
      <c r="J93" s="532"/>
      <c r="K93" s="533"/>
      <c r="L93" s="534"/>
      <c r="M93" s="535"/>
      <c r="N93" s="933"/>
      <c r="O93" s="933"/>
      <c r="P93" s="42"/>
      <c r="Q93" s="453"/>
    </row>
    <row r="94" spans="1:17" ht="15.75"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4"/>
      <c r="O94" s="934"/>
      <c r="P94" s="42"/>
      <c r="Q94" s="453"/>
    </row>
    <row r="95" spans="1:17" ht="15" thickTop="1">
      <c r="A95" s="548"/>
      <c r="B95" s="487" t="s">
        <v>1740</v>
      </c>
      <c r="C95" s="3450" t="s">
        <v>3400</v>
      </c>
      <c r="D95" s="3450" t="s">
        <v>3401</v>
      </c>
      <c r="E95" s="3450" t="s">
        <v>3402</v>
      </c>
      <c r="F95" s="532"/>
      <c r="G95" s="532"/>
      <c r="H95" s="532"/>
      <c r="I95" s="532"/>
      <c r="J95" s="532"/>
      <c r="K95" s="533"/>
      <c r="L95" s="534"/>
      <c r="M95" s="535"/>
      <c r="N95" s="933"/>
      <c r="O95" s="933"/>
      <c r="P95" s="42"/>
      <c r="Q95" s="453"/>
    </row>
    <row r="96" spans="1:17" ht="15.75" thickBot="1">
      <c r="A96" s="483"/>
      <c r="B96" s="492"/>
      <c r="C96" s="493">
        <v>100</v>
      </c>
      <c r="D96" s="493">
        <f t="shared" ref="D96:M96" si="22">C96-$K32</f>
        <v>99</v>
      </c>
      <c r="E96" s="493">
        <f t="shared" si="22"/>
        <v>98</v>
      </c>
      <c r="F96" s="493">
        <f t="shared" si="22"/>
        <v>97</v>
      </c>
      <c r="G96" s="493">
        <f t="shared" si="22"/>
        <v>96</v>
      </c>
      <c r="H96" s="493">
        <f t="shared" si="22"/>
        <v>95</v>
      </c>
      <c r="I96" s="493">
        <f t="shared" si="22"/>
        <v>94</v>
      </c>
      <c r="J96" s="493">
        <f t="shared" si="22"/>
        <v>93</v>
      </c>
      <c r="K96" s="493">
        <f t="shared" si="22"/>
        <v>92</v>
      </c>
      <c r="L96" s="493">
        <f t="shared" si="22"/>
        <v>91</v>
      </c>
      <c r="M96" s="494">
        <f t="shared" si="22"/>
        <v>90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3450" t="s">
        <v>3403</v>
      </c>
      <c r="D100" s="3450" t="s">
        <v>3404</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99</v>
      </c>
      <c r="E101" s="493">
        <f t="shared" ref="E101:M101" si="24">D101-$K34</f>
        <v>98</v>
      </c>
      <c r="F101" s="493">
        <f t="shared" si="24"/>
        <v>97</v>
      </c>
      <c r="G101" s="493">
        <f t="shared" si="24"/>
        <v>96</v>
      </c>
      <c r="H101" s="493">
        <f t="shared" si="24"/>
        <v>95</v>
      </c>
      <c r="I101" s="493">
        <f t="shared" si="24"/>
        <v>94</v>
      </c>
      <c r="J101" s="493">
        <f t="shared" si="24"/>
        <v>93</v>
      </c>
      <c r="K101" s="493">
        <f t="shared" si="24"/>
        <v>92</v>
      </c>
      <c r="L101" s="493">
        <f t="shared" si="24"/>
        <v>91</v>
      </c>
      <c r="M101" s="493">
        <f t="shared" si="24"/>
        <v>90</v>
      </c>
      <c r="N101" s="935"/>
      <c r="O101" s="935"/>
      <c r="P101" s="507"/>
      <c r="Q101" s="508"/>
    </row>
    <row r="102" spans="1:17" ht="15" thickTop="1">
      <c r="A102" s="548"/>
      <c r="B102" s="487" t="s">
        <v>1742</v>
      </c>
      <c r="C102" s="3450" t="s">
        <v>3406</v>
      </c>
      <c r="D102" s="3450" t="s">
        <v>3426</v>
      </c>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1744</v>
      </c>
      <c r="C104" s="3450" t="s">
        <v>3407</v>
      </c>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99</v>
      </c>
      <c r="E105" s="493">
        <f>D105-$K36</f>
        <v>98</v>
      </c>
      <c r="F105" s="493">
        <f>E105-$K36</f>
        <v>97</v>
      </c>
      <c r="G105" s="493">
        <f>F105-$K36</f>
        <v>96</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99</v>
      </c>
      <c r="E107" s="493">
        <f t="shared" si="26"/>
        <v>98</v>
      </c>
      <c r="F107" s="493">
        <f t="shared" si="26"/>
        <v>97</v>
      </c>
      <c r="G107" s="493">
        <f t="shared" si="26"/>
        <v>96</v>
      </c>
      <c r="H107" s="493">
        <f t="shared" si="26"/>
        <v>95</v>
      </c>
      <c r="I107" s="493">
        <f t="shared" si="26"/>
        <v>94</v>
      </c>
      <c r="J107" s="493">
        <f t="shared" si="26"/>
        <v>93</v>
      </c>
      <c r="K107" s="493">
        <f t="shared" si="26"/>
        <v>92</v>
      </c>
      <c r="L107" s="493">
        <f t="shared" si="26"/>
        <v>91</v>
      </c>
      <c r="M107" s="493">
        <f t="shared" si="26"/>
        <v>90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disablePrompts="1"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受贵公司委托，我公司对北京市东流水路7号院1号楼房地产抵押价值进行了预评估。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估价对象为北京市东流水路7号院1号楼房地产，为所有。根据《国有土地使用证》[]，估价对象（分摊）出让国有建设用地使用权面积为52503.79平方米，建筑面积为27113.21平方米。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估价对象为北京市东流水路7号院1号楼房地产,为开发建设的，该项目尚在开发建设中。根据《国有土地使用证》[]，估价对象（分摊）出让国有建设用地使用权面积为52503.79平方米，规划建筑面积为27113.21平方米。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东流水路7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2023年9月26日（评估专业人员实地查勘之日）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63" t="s">
        <v>1770</v>
      </c>
      <c r="D4" s="3664"/>
      <c r="E4" s="3665" t="s">
        <v>1771</v>
      </c>
      <c r="F4" s="3666"/>
      <c r="G4" s="3663" t="s">
        <v>1772</v>
      </c>
      <c r="H4" s="3664"/>
      <c r="I4" s="3663" t="s">
        <v>1773</v>
      </c>
      <c r="J4" s="3664"/>
      <c r="K4" s="559" t="s">
        <v>1774</v>
      </c>
      <c r="L4" s="2714"/>
      <c r="M4" s="2715"/>
      <c r="N4" s="2715"/>
      <c r="O4" s="2715"/>
      <c r="P4" s="3667" t="s">
        <v>1775</v>
      </c>
      <c r="Q4" s="3668"/>
      <c r="R4" s="3677" t="s">
        <v>1771</v>
      </c>
      <c r="S4" s="3678"/>
      <c r="T4" s="3677" t="s">
        <v>1772</v>
      </c>
      <c r="U4" s="3678"/>
      <c r="V4" s="3655" t="s">
        <v>1773</v>
      </c>
      <c r="W4" s="3655"/>
      <c r="X4" s="1354"/>
      <c r="Y4" s="3677" t="s">
        <v>1775</v>
      </c>
      <c r="Z4" s="3678"/>
      <c r="AA4" s="3660" t="s">
        <v>1771</v>
      </c>
      <c r="AB4" s="3661" t="s">
        <v>1772</v>
      </c>
      <c r="AC4" s="3660" t="s">
        <v>1773</v>
      </c>
    </row>
    <row r="5" spans="1:29" ht="15">
      <c r="A5" s="358"/>
      <c r="B5" s="359"/>
      <c r="C5" s="3681" t="s">
        <v>1673</v>
      </c>
      <c r="D5" s="3682"/>
      <c r="E5" s="3673" t="s">
        <v>1674</v>
      </c>
      <c r="F5" s="3674"/>
      <c r="G5" s="3681" t="s">
        <v>1675</v>
      </c>
      <c r="H5" s="3682"/>
      <c r="I5" s="3681" t="s">
        <v>1676</v>
      </c>
      <c r="J5" s="3682"/>
      <c r="K5" s="559"/>
      <c r="L5" s="2714"/>
      <c r="M5" s="2715"/>
      <c r="N5" s="2715"/>
      <c r="O5" s="2715"/>
      <c r="P5" s="3669"/>
      <c r="Q5" s="3670"/>
      <c r="R5" s="3679"/>
      <c r="S5" s="3680"/>
      <c r="T5" s="3679"/>
      <c r="U5" s="3680"/>
      <c r="V5" s="3655"/>
      <c r="W5" s="3655"/>
      <c r="X5" s="1354"/>
      <c r="Y5" s="3679"/>
      <c r="Z5" s="3680"/>
      <c r="AA5" s="3661"/>
      <c r="AB5" s="3661"/>
      <c r="AC5" s="3661"/>
    </row>
    <row r="6" spans="1:29" ht="15.75" thickBot="1">
      <c r="A6" s="360"/>
      <c r="B6" s="361"/>
      <c r="C6" s="3719" t="s">
        <v>1677</v>
      </c>
      <c r="D6" s="3720"/>
      <c r="E6" s="3721" t="s">
        <v>1677</v>
      </c>
      <c r="F6" s="3722"/>
      <c r="G6" s="3719" t="s">
        <v>1677</v>
      </c>
      <c r="H6" s="3720"/>
      <c r="I6" s="3719" t="s">
        <v>1677</v>
      </c>
      <c r="J6" s="3720"/>
      <c r="K6" s="559" t="s">
        <v>1678</v>
      </c>
      <c r="L6" s="2714"/>
      <c r="M6" s="2715"/>
      <c r="N6" s="2715"/>
      <c r="O6" s="2715"/>
      <c r="P6" s="3671"/>
      <c r="Q6" s="3672"/>
      <c r="R6" s="3679"/>
      <c r="S6" s="3680"/>
      <c r="T6" s="3688"/>
      <c r="U6" s="3689"/>
      <c r="V6" s="3655"/>
      <c r="W6" s="3655"/>
      <c r="X6" s="1354"/>
      <c r="Y6" s="3688"/>
      <c r="Z6" s="3689"/>
      <c r="AA6" s="3662"/>
      <c r="AB6" s="3662"/>
      <c r="AC6" s="3662"/>
    </row>
    <row r="7" spans="1:29" s="108" customFormat="1" ht="15.75" thickBot="1">
      <c r="A7" s="362" t="s">
        <v>1679</v>
      </c>
      <c r="B7" s="363"/>
      <c r="C7" s="364">
        <f>'数据-取费表'!B2</f>
        <v>45195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53" t="s">
        <v>1680</v>
      </c>
      <c r="Q7" s="3685"/>
      <c r="R7" s="701" t="s">
        <v>14</v>
      </c>
      <c r="S7" s="702">
        <f t="shared" ref="S7:S14" si="0">F7</f>
        <v>0</v>
      </c>
      <c r="T7" s="701" t="s">
        <v>14</v>
      </c>
      <c r="U7" s="702">
        <f t="shared" ref="U7:U14" si="1">H7</f>
        <v>0</v>
      </c>
      <c r="V7" s="701" t="s">
        <v>14</v>
      </c>
      <c r="W7" s="702">
        <f t="shared" ref="W7:W14" si="2">J7</f>
        <v>0</v>
      </c>
      <c r="X7" s="703"/>
      <c r="Y7" s="3653" t="s">
        <v>1680</v>
      </c>
      <c r="Z7" s="365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53" t="s">
        <v>1683</v>
      </c>
      <c r="Q8" s="3654"/>
      <c r="R8" s="701" t="s">
        <v>14</v>
      </c>
      <c r="S8" s="702">
        <f t="shared" si="0"/>
        <v>100</v>
      </c>
      <c r="T8" s="701" t="s">
        <v>14</v>
      </c>
      <c r="U8" s="702">
        <f t="shared" si="1"/>
        <v>100</v>
      </c>
      <c r="V8" s="701" t="s">
        <v>14</v>
      </c>
      <c r="W8" s="702">
        <f t="shared" si="2"/>
        <v>100</v>
      </c>
      <c r="X8" s="703"/>
      <c r="Y8" s="3653" t="s">
        <v>1683</v>
      </c>
      <c r="Z8" s="365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51" t="s">
        <v>1686</v>
      </c>
      <c r="Q9" s="1342"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51"/>
      <c r="Q10" s="1342"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51"/>
      <c r="Q11" s="1342">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51"/>
      <c r="Q12" s="1342">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51"/>
      <c r="Q13" s="1342">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
      <c r="A14" s="355" t="s">
        <v>1690</v>
      </c>
      <c r="B14" s="577"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56" t="s">
        <v>1691</v>
      </c>
      <c r="Q14" s="1351" t="str">
        <f t="shared" si="6"/>
        <v>交通便捷度</v>
      </c>
      <c r="R14" s="705" t="s">
        <v>14</v>
      </c>
      <c r="S14" s="706">
        <f t="shared" si="0"/>
        <v>100</v>
      </c>
      <c r="T14" s="705" t="s">
        <v>14</v>
      </c>
      <c r="U14" s="706">
        <f t="shared" si="1"/>
        <v>100</v>
      </c>
      <c r="V14" s="705" t="s">
        <v>14</v>
      </c>
      <c r="W14" s="706">
        <f t="shared" si="2"/>
        <v>100</v>
      </c>
      <c r="X14" s="1354"/>
      <c r="Y14" s="3656"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57"/>
      <c r="Q15" s="1351"/>
      <c r="R15" s="705"/>
      <c r="S15" s="706"/>
      <c r="T15" s="705"/>
      <c r="U15" s="706"/>
      <c r="V15" s="705"/>
      <c r="W15" s="706"/>
      <c r="X15" s="1354"/>
      <c r="Y15" s="3657"/>
      <c r="Z15" s="1355"/>
      <c r="AA15" s="1352">
        <v>1</v>
      </c>
      <c r="AB15" s="1352">
        <v>1</v>
      </c>
      <c r="AC15" s="1352">
        <v>1</v>
      </c>
    </row>
    <row r="16" spans="1:29" ht="15">
      <c r="A16" s="358"/>
      <c r="B16" s="579"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57"/>
      <c r="Q16" s="1351" t="str">
        <f>B16</f>
        <v>公共配套设施</v>
      </c>
      <c r="R16" s="705" t="s">
        <v>14</v>
      </c>
      <c r="S16" s="706">
        <f>F16</f>
        <v>100</v>
      </c>
      <c r="T16" s="705" t="s">
        <v>14</v>
      </c>
      <c r="U16" s="706">
        <f>H16</f>
        <v>100</v>
      </c>
      <c r="V16" s="705" t="s">
        <v>14</v>
      </c>
      <c r="W16" s="706">
        <f>J16</f>
        <v>100</v>
      </c>
      <c r="X16" s="1354"/>
      <c r="Y16" s="3657"/>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57"/>
      <c r="Q17" s="1351"/>
      <c r="R17" s="705"/>
      <c r="S17" s="706"/>
      <c r="T17" s="705"/>
      <c r="U17" s="706"/>
      <c r="V17" s="705"/>
      <c r="W17" s="706"/>
      <c r="X17" s="1354"/>
      <c r="Y17" s="3657"/>
      <c r="Z17" s="1355"/>
      <c r="AA17" s="1352">
        <v>1</v>
      </c>
      <c r="AB17" s="1352">
        <v>1</v>
      </c>
      <c r="AC17" s="1352">
        <v>1</v>
      </c>
    </row>
    <row r="18" spans="1:29" ht="15">
      <c r="A18" s="358"/>
      <c r="B18" s="581"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57"/>
      <c r="Q18" s="1351" t="str">
        <f>B18</f>
        <v>基础设施水平</v>
      </c>
      <c r="R18" s="705" t="s">
        <v>14</v>
      </c>
      <c r="S18" s="706">
        <f>F18</f>
        <v>100</v>
      </c>
      <c r="T18" s="705" t="s">
        <v>14</v>
      </c>
      <c r="U18" s="706">
        <f>H18</f>
        <v>100</v>
      </c>
      <c r="V18" s="705" t="s">
        <v>14</v>
      </c>
      <c r="W18" s="706">
        <f>J18</f>
        <v>100</v>
      </c>
      <c r="X18" s="1354"/>
      <c r="Y18" s="3657"/>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657"/>
      <c r="Q19" s="1351"/>
      <c r="R19" s="705"/>
      <c r="S19" s="706"/>
      <c r="T19" s="705"/>
      <c r="U19" s="706"/>
      <c r="V19" s="705"/>
      <c r="W19" s="706"/>
      <c r="X19" s="1354"/>
      <c r="Y19" s="3657"/>
      <c r="Z19" s="1355"/>
      <c r="AA19" s="1352">
        <v>1</v>
      </c>
      <c r="AB19" s="1352">
        <v>1</v>
      </c>
      <c r="AC19" s="1352">
        <v>1</v>
      </c>
    </row>
    <row r="20" spans="1:29" ht="15">
      <c r="A20" s="358"/>
      <c r="B20" s="579"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57"/>
      <c r="Q20" s="1351" t="str">
        <f>B20</f>
        <v>自然及人文环境</v>
      </c>
      <c r="R20" s="705" t="s">
        <v>14</v>
      </c>
      <c r="S20" s="706">
        <f>F20</f>
        <v>100</v>
      </c>
      <c r="T20" s="705" t="s">
        <v>14</v>
      </c>
      <c r="U20" s="706">
        <f>H20</f>
        <v>100</v>
      </c>
      <c r="V20" s="705" t="s">
        <v>14</v>
      </c>
      <c r="W20" s="706">
        <f>J20</f>
        <v>100</v>
      </c>
      <c r="X20" s="1354"/>
      <c r="Y20" s="3657"/>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57"/>
      <c r="Q21" s="1351"/>
      <c r="R21" s="705"/>
      <c r="S21" s="706"/>
      <c r="T21" s="705"/>
      <c r="U21" s="706"/>
      <c r="V21" s="705"/>
      <c r="W21" s="706"/>
      <c r="X21" s="1354"/>
      <c r="Y21" s="3657"/>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57"/>
      <c r="Q22" s="1351" t="str">
        <f>B22</f>
        <v>楼层</v>
      </c>
      <c r="R22" s="705" t="s">
        <v>14</v>
      </c>
      <c r="S22" s="706">
        <f>F22</f>
        <v>100</v>
      </c>
      <c r="T22" s="705" t="s">
        <v>14</v>
      </c>
      <c r="U22" s="706">
        <f>H22</f>
        <v>100</v>
      </c>
      <c r="V22" s="705" t="s">
        <v>14</v>
      </c>
      <c r="W22" s="706">
        <f>J22</f>
        <v>100</v>
      </c>
      <c r="X22" s="1354"/>
      <c r="Y22" s="3657"/>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57"/>
      <c r="Q23" s="1351">
        <f>B23</f>
        <v>111</v>
      </c>
      <c r="R23" s="705" t="s">
        <v>14</v>
      </c>
      <c r="S23" s="706">
        <f>F23</f>
        <v>100</v>
      </c>
      <c r="T23" s="705" t="s">
        <v>14</v>
      </c>
      <c r="U23" s="706">
        <f>H23</f>
        <v>100</v>
      </c>
      <c r="V23" s="705" t="s">
        <v>14</v>
      </c>
      <c r="W23" s="706">
        <f>J23</f>
        <v>100</v>
      </c>
      <c r="X23" s="1354"/>
      <c r="Y23" s="3657"/>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57"/>
      <c r="Q24" s="1351">
        <f t="shared" ref="Q24:Q36" si="11">B24</f>
        <v>111</v>
      </c>
      <c r="R24" s="705" t="s">
        <v>14</v>
      </c>
      <c r="S24" s="706">
        <f>F24</f>
        <v>100</v>
      </c>
      <c r="T24" s="705" t="s">
        <v>14</v>
      </c>
      <c r="U24" s="706">
        <f>H24</f>
        <v>100</v>
      </c>
      <c r="V24" s="705" t="s">
        <v>14</v>
      </c>
      <c r="W24" s="706">
        <f>J24</f>
        <v>100</v>
      </c>
      <c r="X24" s="1354"/>
      <c r="Y24" s="3657"/>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57"/>
      <c r="Q25" s="1342">
        <f t="shared" si="11"/>
        <v>111</v>
      </c>
      <c r="R25" s="701" t="s">
        <v>14</v>
      </c>
      <c r="S25" s="702">
        <f>F25</f>
        <v>100</v>
      </c>
      <c r="T25" s="701" t="s">
        <v>14</v>
      </c>
      <c r="U25" s="702">
        <f>H25</f>
        <v>100</v>
      </c>
      <c r="V25" s="701" t="s">
        <v>14</v>
      </c>
      <c r="W25" s="702">
        <f>J25</f>
        <v>100</v>
      </c>
      <c r="X25" s="703"/>
      <c r="Y25" s="3657"/>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658"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59"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59"/>
      <c r="Q27" s="707" t="str">
        <f t="shared" si="11"/>
        <v>项目停车位配比</v>
      </c>
      <c r="R27" s="708" t="s">
        <v>14</v>
      </c>
      <c r="S27" s="709">
        <f t="shared" si="12"/>
        <v>100</v>
      </c>
      <c r="T27" s="708" t="s">
        <v>14</v>
      </c>
      <c r="U27" s="709">
        <f t="shared" si="13"/>
        <v>100</v>
      </c>
      <c r="V27" s="708" t="s">
        <v>14</v>
      </c>
      <c r="W27" s="709">
        <f t="shared" si="14"/>
        <v>100</v>
      </c>
      <c r="X27" s="710"/>
      <c r="Y27" s="3659"/>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59"/>
      <c r="Q28" s="1351" t="str">
        <f t="shared" si="11"/>
        <v>公共部分装修</v>
      </c>
      <c r="R28" s="705" t="s">
        <v>14</v>
      </c>
      <c r="S28" s="706">
        <f t="shared" si="12"/>
        <v>100</v>
      </c>
      <c r="T28" s="705" t="s">
        <v>14</v>
      </c>
      <c r="U28" s="706">
        <f t="shared" si="13"/>
        <v>100</v>
      </c>
      <c r="V28" s="705" t="s">
        <v>14</v>
      </c>
      <c r="W28" s="706">
        <f t="shared" si="14"/>
        <v>100</v>
      </c>
      <c r="X28" s="1354"/>
      <c r="Y28" s="3659"/>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59"/>
      <c r="Q29" s="1351" t="str">
        <f t="shared" si="11"/>
        <v>成新率</v>
      </c>
      <c r="R29" s="705" t="s">
        <v>14</v>
      </c>
      <c r="S29" s="706" t="e">
        <f t="shared" si="12"/>
        <v>#N/A</v>
      </c>
      <c r="T29" s="705" t="s">
        <v>14</v>
      </c>
      <c r="U29" s="706" t="e">
        <f t="shared" si="13"/>
        <v>#N/A</v>
      </c>
      <c r="V29" s="705" t="s">
        <v>14</v>
      </c>
      <c r="W29" s="706" t="e">
        <f t="shared" si="14"/>
        <v>#N/A</v>
      </c>
      <c r="X29" s="1354"/>
      <c r="Y29" s="3659"/>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59"/>
      <c r="Q30" s="1351" t="str">
        <f t="shared" si="11"/>
        <v>物业等级</v>
      </c>
      <c r="R30" s="705" t="s">
        <v>14</v>
      </c>
      <c r="S30" s="706">
        <f t="shared" si="12"/>
        <v>100</v>
      </c>
      <c r="T30" s="705" t="s">
        <v>14</v>
      </c>
      <c r="U30" s="706">
        <f t="shared" si="13"/>
        <v>100</v>
      </c>
      <c r="V30" s="705" t="s">
        <v>14</v>
      </c>
      <c r="W30" s="706">
        <f t="shared" si="14"/>
        <v>100</v>
      </c>
      <c r="X30" s="1354"/>
      <c r="Y30" s="3659"/>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59"/>
      <c r="Q31" s="1342" t="str">
        <f t="shared" si="11"/>
        <v>停车位面积</v>
      </c>
      <c r="R31" s="701" t="s">
        <v>14</v>
      </c>
      <c r="S31" s="702" t="e">
        <f t="shared" si="12"/>
        <v>#N/A</v>
      </c>
      <c r="T31" s="701" t="s">
        <v>14</v>
      </c>
      <c r="U31" s="702" t="e">
        <f t="shared" si="13"/>
        <v>#N/A</v>
      </c>
      <c r="V31" s="701" t="s">
        <v>14</v>
      </c>
      <c r="W31" s="702" t="e">
        <f t="shared" si="14"/>
        <v>#N/A</v>
      </c>
      <c r="X31" s="703"/>
      <c r="Y31" s="365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59" t="s">
        <v>1696</v>
      </c>
      <c r="Q32" s="1351" t="str">
        <f t="shared" si="11"/>
        <v>车位类型</v>
      </c>
      <c r="R32" s="705" t="s">
        <v>14</v>
      </c>
      <c r="S32" s="706">
        <f t="shared" si="12"/>
        <v>100</v>
      </c>
      <c r="T32" s="705" t="s">
        <v>14</v>
      </c>
      <c r="U32" s="706">
        <f t="shared" si="13"/>
        <v>100</v>
      </c>
      <c r="V32" s="705" t="s">
        <v>14</v>
      </c>
      <c r="W32" s="706">
        <f t="shared" si="14"/>
        <v>100</v>
      </c>
      <c r="X32" s="1354"/>
      <c r="Y32" s="3659"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59"/>
      <c r="Q33" s="1351" t="str">
        <f t="shared" si="11"/>
        <v>是否直接入户</v>
      </c>
      <c r="R33" s="705" t="s">
        <v>14</v>
      </c>
      <c r="S33" s="706">
        <f t="shared" si="12"/>
        <v>100</v>
      </c>
      <c r="T33" s="705" t="s">
        <v>14</v>
      </c>
      <c r="U33" s="706">
        <f t="shared" si="13"/>
        <v>100</v>
      </c>
      <c r="V33" s="705" t="s">
        <v>14</v>
      </c>
      <c r="W33" s="706">
        <f t="shared" si="14"/>
        <v>100</v>
      </c>
      <c r="X33" s="1354"/>
      <c r="Y33" s="365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59"/>
      <c r="Q34" s="1351">
        <f t="shared" si="11"/>
        <v>111</v>
      </c>
      <c r="R34" s="705" t="s">
        <v>14</v>
      </c>
      <c r="S34" s="706">
        <f t="shared" si="12"/>
        <v>100</v>
      </c>
      <c r="T34" s="705" t="s">
        <v>14</v>
      </c>
      <c r="U34" s="706">
        <f t="shared" si="13"/>
        <v>100</v>
      </c>
      <c r="V34" s="705" t="s">
        <v>14</v>
      </c>
      <c r="W34" s="706">
        <f t="shared" si="14"/>
        <v>100</v>
      </c>
      <c r="X34" s="1354"/>
      <c r="Y34" s="365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59"/>
      <c r="Q35" s="707">
        <f t="shared" si="11"/>
        <v>111</v>
      </c>
      <c r="R35" s="708" t="s">
        <v>14</v>
      </c>
      <c r="S35" s="709">
        <f t="shared" si="12"/>
        <v>100</v>
      </c>
      <c r="T35" s="708" t="s">
        <v>14</v>
      </c>
      <c r="U35" s="709">
        <f t="shared" si="13"/>
        <v>100</v>
      </c>
      <c r="V35" s="708" t="s">
        <v>14</v>
      </c>
      <c r="W35" s="709">
        <f t="shared" si="14"/>
        <v>100</v>
      </c>
      <c r="X35" s="710"/>
      <c r="Y35" s="3659"/>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59"/>
      <c r="Q36" s="1351">
        <f t="shared" si="11"/>
        <v>111</v>
      </c>
      <c r="R36" s="705" t="s">
        <v>14</v>
      </c>
      <c r="S36" s="706">
        <f t="shared" si="12"/>
        <v>100</v>
      </c>
      <c r="T36" s="705" t="s">
        <v>14</v>
      </c>
      <c r="U36" s="706">
        <f t="shared" si="13"/>
        <v>100</v>
      </c>
      <c r="V36" s="705" t="s">
        <v>14</v>
      </c>
      <c r="W36" s="706">
        <f t="shared" si="14"/>
        <v>100</v>
      </c>
      <c r="X36" s="1354"/>
      <c r="Y36" s="3659"/>
      <c r="Z36" s="1355">
        <f t="shared" si="15"/>
        <v>111</v>
      </c>
      <c r="AA36" s="1352">
        <f t="shared" si="3"/>
        <v>1</v>
      </c>
      <c r="AB36" s="1352">
        <f t="shared" si="4"/>
        <v>1</v>
      </c>
      <c r="AC36" s="1352">
        <f t="shared" si="5"/>
        <v>1</v>
      </c>
    </row>
    <row r="37" spans="1:29" ht="15">
      <c r="A37" s="430" t="s">
        <v>1844</v>
      </c>
      <c r="B37" s="1972" t="s">
        <v>3350</v>
      </c>
      <c r="C37" s="1154" t="s">
        <v>0</v>
      </c>
      <c r="D37" s="1155"/>
      <c r="E37" s="1156"/>
      <c r="F37" s="1157"/>
      <c r="G37" s="1158"/>
      <c r="H37" s="1159"/>
      <c r="I37" s="1156"/>
      <c r="J37" s="1159"/>
      <c r="K37" s="568"/>
      <c r="L37" s="2723"/>
      <c r="M37" s="2724"/>
      <c r="N37" s="2715"/>
      <c r="O37" s="2724"/>
      <c r="P37" s="3651" t="str">
        <f>A37</f>
        <v>成交单价</v>
      </c>
      <c r="Q37" s="3651"/>
      <c r="R37" s="3724">
        <f>E37</f>
        <v>0</v>
      </c>
      <c r="S37" s="3724"/>
      <c r="T37" s="3724">
        <f>G37</f>
        <v>0</v>
      </c>
      <c r="U37" s="3724"/>
      <c r="V37" s="3724">
        <f>I37</f>
        <v>0</v>
      </c>
      <c r="W37" s="3724"/>
      <c r="X37" s="690"/>
      <c r="Y37" s="712"/>
      <c r="Z37" s="690"/>
      <c r="AA37" s="690"/>
      <c r="AB37" s="690"/>
      <c r="AC37" s="690"/>
    </row>
    <row r="38" spans="1:29" ht="15.75" thickBot="1">
      <c r="A38" s="437" t="s">
        <v>1845</v>
      </c>
      <c r="B38" s="438" t="str">
        <f>B37</f>
        <v>元/平方米</v>
      </c>
      <c r="C38" s="1160" t="e">
        <f>R39</f>
        <v>#DIV/0!</v>
      </c>
      <c r="D38" s="2316" t="s">
        <v>2137</v>
      </c>
      <c r="E38" s="1161" t="e">
        <f>R38</f>
        <v>#DIV/0!</v>
      </c>
      <c r="F38" s="2317"/>
      <c r="G38" s="1160" t="e">
        <f>T38</f>
        <v>#DIV/0!</v>
      </c>
      <c r="H38" s="2317"/>
      <c r="I38" s="1161" t="e">
        <f>V38</f>
        <v>#DIV/0!</v>
      </c>
      <c r="J38" s="2317"/>
      <c r="K38" s="2319">
        <f>F38+H38+J38</f>
        <v>0</v>
      </c>
      <c r="L38" s="2723"/>
      <c r="M38" s="2724"/>
      <c r="N38" s="2724"/>
      <c r="O38" s="2724"/>
      <c r="P38" s="3651" t="str">
        <f>A38</f>
        <v>比较价值（元/平方米）</v>
      </c>
      <c r="Q38" s="3651"/>
      <c r="R38" s="3724" t="e">
        <f>IF(F1="售价",ROUND(PRODUCT(R37,AA7:AA36),0),ROUND(PRODUCT(R37,AA7:AA36),1))</f>
        <v>#DIV/0!</v>
      </c>
      <c r="S38" s="3724"/>
      <c r="T38" s="3724" t="e">
        <f>IF(F1="售价",ROUND(PRODUCT(T37,AB7:AB36),0),ROUND(PRODUCT(T37,AB7:AB36),1))</f>
        <v>#DIV/0!</v>
      </c>
      <c r="U38" s="3724"/>
      <c r="V38" s="3724" t="e">
        <f>IF(F1="售价",ROUND(PRODUCT(V37,AC7:AC36),0),ROUND(PRODUCT(V37,AC7:AC36),1))</f>
        <v>#DIV/0!</v>
      </c>
      <c r="W38" s="372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48" t="str">
        <f>A39</f>
        <v>估价对象XX用房的比较价值（楼面单价，元/平方米）</v>
      </c>
      <c r="Q39" s="3649"/>
      <c r="R39" s="3748" t="e">
        <f>IF(F1="售价",ROUND(IF(D38="简单平均",AVERAGE(R38:W38),R38*F38+T38*H38+V38*J38),0),ROUND(IF(D38="简单平均",AVERAGE(R38:V38),R38*F38+T38*H38+V38*J38),1))</f>
        <v>#DIV/0!</v>
      </c>
      <c r="S39" s="3748"/>
      <c r="T39" s="3748"/>
      <c r="U39" s="3748"/>
      <c r="V39" s="3748"/>
      <c r="W39" s="3748"/>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2023-9</v>
      </c>
      <c r="D48" s="1184">
        <f>EDATE(C48,-1)</f>
        <v>45139</v>
      </c>
      <c r="E48" s="1184">
        <f t="shared" ref="E48:O48" si="16">EDATE(D48,-1)</f>
        <v>45108</v>
      </c>
      <c r="F48" s="1184">
        <f t="shared" si="16"/>
        <v>45078</v>
      </c>
      <c r="G48" s="1184">
        <f t="shared" si="16"/>
        <v>45047</v>
      </c>
      <c r="H48" s="1184">
        <f t="shared" si="16"/>
        <v>45017</v>
      </c>
      <c r="I48" s="1184">
        <f t="shared" si="16"/>
        <v>44986</v>
      </c>
      <c r="J48" s="1184">
        <f t="shared" si="16"/>
        <v>44958</v>
      </c>
      <c r="K48" s="1184">
        <f t="shared" si="16"/>
        <v>44927</v>
      </c>
      <c r="L48" s="1184">
        <f t="shared" si="16"/>
        <v>44896</v>
      </c>
      <c r="M48" s="1184">
        <f t="shared" si="16"/>
        <v>44866</v>
      </c>
      <c r="N48" s="1184">
        <f t="shared" si="16"/>
        <v>44835</v>
      </c>
      <c r="O48" s="1184">
        <f t="shared" si="16"/>
        <v>44805</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5" priority="18" stopIfTrue="1" operator="containsText" text="超过">
      <formula>NOT(ISERROR(SEARCH("超过",F42)))</formula>
    </cfRule>
  </conditionalFormatting>
  <conditionalFormatting sqref="J44">
    <cfRule type="containsText" dxfId="64" priority="17" stopIfTrue="1" operator="containsText" text="超过">
      <formula>NOT(ISERROR(SEARCH("超过",J44)))</formula>
    </cfRule>
  </conditionalFormatting>
  <conditionalFormatting sqref="H44">
    <cfRule type="containsText" dxfId="63" priority="16" stopIfTrue="1" operator="containsText" text="超过">
      <formula>NOT(ISERROR(SEARCH("超过",H44)))</formula>
    </cfRule>
  </conditionalFormatting>
  <conditionalFormatting sqref="F44">
    <cfRule type="containsText" dxfId="62" priority="15" stopIfTrue="1" operator="containsText" text="超过">
      <formula>NOT(ISERROR(SEARCH("超过",F44)))</formula>
    </cfRule>
  </conditionalFormatting>
  <conditionalFormatting sqref="F43 H43 J43">
    <cfRule type="containsText" dxfId="61" priority="14" stopIfTrue="1" operator="containsText" text="超过">
      <formula>NOT(ISERROR(SEARCH("超过",F43)))</formula>
    </cfRule>
  </conditionalFormatting>
  <conditionalFormatting sqref="E42">
    <cfRule type="expression" dxfId="60" priority="13" stopIfTrue="1">
      <formula>$F$42="超过30%"</formula>
    </cfRule>
  </conditionalFormatting>
  <conditionalFormatting sqref="G44">
    <cfRule type="expression" dxfId="59" priority="12" stopIfTrue="1">
      <formula>$H$54+$H$44="超过30%"</formula>
    </cfRule>
  </conditionalFormatting>
  <conditionalFormatting sqref="E43">
    <cfRule type="expression" dxfId="58" priority="11" stopIfTrue="1">
      <formula>$F$43="超过20%"</formula>
    </cfRule>
  </conditionalFormatting>
  <conditionalFormatting sqref="E44">
    <cfRule type="expression" dxfId="57" priority="10" stopIfTrue="1">
      <formula>$F$44="超过30%"</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F38">
    <cfRule type="expression" dxfId="51" priority="4">
      <formula>$D$38="简单平均"</formula>
    </cfRule>
  </conditionalFormatting>
  <conditionalFormatting sqref="H38">
    <cfRule type="expression" dxfId="50" priority="3">
      <formula>$D$38="简单平均"</formula>
    </cfRule>
  </conditionalFormatting>
  <conditionalFormatting sqref="J38">
    <cfRule type="expression" dxfId="49" priority="2">
      <formula>$D$38="简单平均"</formula>
    </cfRule>
  </conditionalFormatting>
  <conditionalFormatting sqref="F7:F36 H7:H36 J7:J36">
    <cfRule type="cellIs" dxfId="4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3" t="s">
        <v>1770</v>
      </c>
      <c r="D4" s="3664"/>
      <c r="E4" s="3665" t="s">
        <v>1771</v>
      </c>
      <c r="F4" s="3666"/>
      <c r="G4" s="3663" t="s">
        <v>1772</v>
      </c>
      <c r="H4" s="3664"/>
      <c r="I4" s="3663" t="s">
        <v>1773</v>
      </c>
      <c r="J4" s="3664"/>
      <c r="K4" s="559" t="s">
        <v>1774</v>
      </c>
      <c r="L4" s="2714"/>
      <c r="M4" s="2715"/>
      <c r="N4" s="2715"/>
      <c r="O4" s="2715"/>
      <c r="P4" s="3667" t="s">
        <v>1775</v>
      </c>
      <c r="Q4" s="3668"/>
      <c r="R4" s="3677" t="s">
        <v>1771</v>
      </c>
      <c r="S4" s="3678"/>
      <c r="T4" s="3677" t="s">
        <v>1772</v>
      </c>
      <c r="U4" s="3678"/>
      <c r="V4" s="3655" t="s">
        <v>1773</v>
      </c>
      <c r="W4" s="3655"/>
      <c r="X4" s="1354"/>
      <c r="Y4" s="3677" t="s">
        <v>1775</v>
      </c>
      <c r="Z4" s="3678"/>
      <c r="AA4" s="3660" t="s">
        <v>1771</v>
      </c>
      <c r="AB4" s="3661" t="s">
        <v>1772</v>
      </c>
      <c r="AC4" s="3660" t="s">
        <v>1773</v>
      </c>
    </row>
    <row r="5" spans="1:29" ht="15">
      <c r="A5" s="358"/>
      <c r="B5" s="359"/>
      <c r="C5" s="3681" t="s">
        <v>1673</v>
      </c>
      <c r="D5" s="3682"/>
      <c r="E5" s="3673" t="s">
        <v>1674</v>
      </c>
      <c r="F5" s="3674"/>
      <c r="G5" s="3681" t="s">
        <v>1675</v>
      </c>
      <c r="H5" s="3682"/>
      <c r="I5" s="3681" t="s">
        <v>1676</v>
      </c>
      <c r="J5" s="3682"/>
      <c r="K5" s="559"/>
      <c r="L5" s="2714"/>
      <c r="M5" s="2715"/>
      <c r="N5" s="2715"/>
      <c r="O5" s="2715"/>
      <c r="P5" s="3669"/>
      <c r="Q5" s="3670"/>
      <c r="R5" s="3679"/>
      <c r="S5" s="3680"/>
      <c r="T5" s="3679"/>
      <c r="U5" s="3680"/>
      <c r="V5" s="3655"/>
      <c r="W5" s="3655"/>
      <c r="X5" s="1354"/>
      <c r="Y5" s="3679"/>
      <c r="Z5" s="3680"/>
      <c r="AA5" s="3661"/>
      <c r="AB5" s="3661"/>
      <c r="AC5" s="3661"/>
    </row>
    <row r="6" spans="1:29" ht="15.75" thickBot="1">
      <c r="A6" s="360"/>
      <c r="B6" s="361"/>
      <c r="C6" s="3719" t="s">
        <v>1677</v>
      </c>
      <c r="D6" s="3720"/>
      <c r="E6" s="3721" t="s">
        <v>1677</v>
      </c>
      <c r="F6" s="3722"/>
      <c r="G6" s="3719" t="s">
        <v>1677</v>
      </c>
      <c r="H6" s="3720"/>
      <c r="I6" s="3719" t="s">
        <v>1677</v>
      </c>
      <c r="J6" s="3720"/>
      <c r="K6" s="559" t="s">
        <v>1678</v>
      </c>
      <c r="L6" s="2714"/>
      <c r="M6" s="2715"/>
      <c r="N6" s="2715"/>
      <c r="O6" s="2715"/>
      <c r="P6" s="3671"/>
      <c r="Q6" s="3672"/>
      <c r="R6" s="3679"/>
      <c r="S6" s="3680"/>
      <c r="T6" s="3688"/>
      <c r="U6" s="3689"/>
      <c r="V6" s="3655"/>
      <c r="W6" s="3655"/>
      <c r="X6" s="1354"/>
      <c r="Y6" s="3688"/>
      <c r="Z6" s="3689"/>
      <c r="AA6" s="3662"/>
      <c r="AB6" s="3662"/>
      <c r="AC6" s="3662"/>
    </row>
    <row r="7" spans="1:29" s="108" customFormat="1" ht="15.75" thickBot="1">
      <c r="A7" s="362" t="s">
        <v>1679</v>
      </c>
      <c r="B7" s="363"/>
      <c r="C7" s="364">
        <f>'数据-取费表'!B2</f>
        <v>45195</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53" t="s">
        <v>1680</v>
      </c>
      <c r="Q7" s="3685"/>
      <c r="R7" s="701" t="s">
        <v>14</v>
      </c>
      <c r="S7" s="702">
        <f t="shared" ref="S7:S14" si="0">F7</f>
        <v>0</v>
      </c>
      <c r="T7" s="701" t="s">
        <v>14</v>
      </c>
      <c r="U7" s="702">
        <f t="shared" ref="U7:U14" si="1">H7</f>
        <v>0</v>
      </c>
      <c r="V7" s="701" t="s">
        <v>14</v>
      </c>
      <c r="W7" s="702">
        <f t="shared" ref="W7:W14" si="2">J7</f>
        <v>0</v>
      </c>
      <c r="X7" s="703"/>
      <c r="Y7" s="3653" t="s">
        <v>1680</v>
      </c>
      <c r="Z7" s="365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53" t="s">
        <v>1683</v>
      </c>
      <c r="Q8" s="3654"/>
      <c r="R8" s="701" t="s">
        <v>14</v>
      </c>
      <c r="S8" s="702">
        <f t="shared" si="0"/>
        <v>100</v>
      </c>
      <c r="T8" s="701" t="s">
        <v>14</v>
      </c>
      <c r="U8" s="702">
        <f t="shared" si="1"/>
        <v>100</v>
      </c>
      <c r="V8" s="701" t="s">
        <v>14</v>
      </c>
      <c r="W8" s="702">
        <f t="shared" si="2"/>
        <v>100</v>
      </c>
      <c r="X8" s="703"/>
      <c r="Y8" s="3653" t="s">
        <v>1683</v>
      </c>
      <c r="Z8" s="365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51" t="s">
        <v>1686</v>
      </c>
      <c r="Q9" s="1342"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51"/>
      <c r="Q10" s="1342"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51"/>
      <c r="Q11" s="1342">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51"/>
      <c r="Q12" s="1342">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51"/>
      <c r="Q13" s="1342">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56" t="s">
        <v>1691</v>
      </c>
      <c r="Q14" s="1351" t="str">
        <f t="shared" si="6"/>
        <v>交通便捷度</v>
      </c>
      <c r="R14" s="705" t="s">
        <v>14</v>
      </c>
      <c r="S14" s="706">
        <f t="shared" si="0"/>
        <v>100</v>
      </c>
      <c r="T14" s="705" t="s">
        <v>14</v>
      </c>
      <c r="U14" s="706">
        <f t="shared" si="1"/>
        <v>100</v>
      </c>
      <c r="V14" s="705" t="s">
        <v>14</v>
      </c>
      <c r="W14" s="706">
        <f t="shared" si="2"/>
        <v>100</v>
      </c>
      <c r="X14" s="1354"/>
      <c r="Y14" s="3656"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57"/>
      <c r="Q15" s="1351"/>
      <c r="R15" s="705"/>
      <c r="S15" s="706"/>
      <c r="T15" s="705"/>
      <c r="U15" s="706"/>
      <c r="V15" s="705"/>
      <c r="W15" s="706"/>
      <c r="X15" s="1354"/>
      <c r="Y15" s="3657"/>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57"/>
      <c r="Q16" s="1351" t="str">
        <f>B16</f>
        <v>公共配套设施</v>
      </c>
      <c r="R16" s="705" t="s">
        <v>14</v>
      </c>
      <c r="S16" s="706">
        <f>F16</f>
        <v>100</v>
      </c>
      <c r="T16" s="705" t="s">
        <v>14</v>
      </c>
      <c r="U16" s="706">
        <f>H16</f>
        <v>100</v>
      </c>
      <c r="V16" s="705" t="s">
        <v>14</v>
      </c>
      <c r="W16" s="706">
        <f>J16</f>
        <v>100</v>
      </c>
      <c r="X16" s="1354"/>
      <c r="Y16" s="365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57"/>
      <c r="Q17" s="1351"/>
      <c r="R17" s="705"/>
      <c r="S17" s="706"/>
      <c r="T17" s="705"/>
      <c r="U17" s="706"/>
      <c r="V17" s="705"/>
      <c r="W17" s="706"/>
      <c r="X17" s="1354"/>
      <c r="Y17" s="3657"/>
      <c r="Z17" s="1355"/>
      <c r="AA17" s="1352">
        <v>1</v>
      </c>
      <c r="AB17" s="1352">
        <v>1</v>
      </c>
      <c r="AC17" s="1352">
        <v>1</v>
      </c>
    </row>
    <row r="18" spans="1:29" ht="15">
      <c r="A18" s="379"/>
      <c r="B18" s="1131"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57"/>
      <c r="Q18" s="1351" t="str">
        <f>B18</f>
        <v>基础设施水平</v>
      </c>
      <c r="R18" s="705" t="s">
        <v>14</v>
      </c>
      <c r="S18" s="706">
        <f>F18</f>
        <v>100</v>
      </c>
      <c r="T18" s="705" t="s">
        <v>14</v>
      </c>
      <c r="U18" s="706">
        <f>H18</f>
        <v>100</v>
      </c>
      <c r="V18" s="705" t="s">
        <v>14</v>
      </c>
      <c r="W18" s="706">
        <f>J18</f>
        <v>100</v>
      </c>
      <c r="X18" s="1354"/>
      <c r="Y18" s="3657"/>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657"/>
      <c r="Q19" s="1351"/>
      <c r="R19" s="705"/>
      <c r="S19" s="706"/>
      <c r="T19" s="705"/>
      <c r="U19" s="706"/>
      <c r="V19" s="705"/>
      <c r="W19" s="706"/>
      <c r="X19" s="1354"/>
      <c r="Y19" s="3657"/>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57"/>
      <c r="Q20" s="1351" t="str">
        <f>B20</f>
        <v>自然及人文环境</v>
      </c>
      <c r="R20" s="705" t="s">
        <v>14</v>
      </c>
      <c r="S20" s="706">
        <f>F20</f>
        <v>100</v>
      </c>
      <c r="T20" s="705" t="s">
        <v>14</v>
      </c>
      <c r="U20" s="706">
        <f>H20</f>
        <v>100</v>
      </c>
      <c r="V20" s="705" t="s">
        <v>14</v>
      </c>
      <c r="W20" s="706">
        <f>J20</f>
        <v>100</v>
      </c>
      <c r="X20" s="1354"/>
      <c r="Y20" s="365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57"/>
      <c r="Q21" s="1351"/>
      <c r="R21" s="705"/>
      <c r="S21" s="706"/>
      <c r="T21" s="705"/>
      <c r="U21" s="706"/>
      <c r="V21" s="705"/>
      <c r="W21" s="706"/>
      <c r="X21" s="1354"/>
      <c r="Y21" s="365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57"/>
      <c r="Q22" s="1351" t="str">
        <f>B22</f>
        <v>楼层</v>
      </c>
      <c r="R22" s="705" t="s">
        <v>14</v>
      </c>
      <c r="S22" s="706">
        <f>F22</f>
        <v>100</v>
      </c>
      <c r="T22" s="705" t="s">
        <v>14</v>
      </c>
      <c r="U22" s="706">
        <f>H22</f>
        <v>100</v>
      </c>
      <c r="V22" s="705" t="s">
        <v>14</v>
      </c>
      <c r="W22" s="706">
        <f>J22</f>
        <v>100</v>
      </c>
      <c r="X22" s="1354"/>
      <c r="Y22" s="365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57"/>
      <c r="Q23" s="1351">
        <f>B23</f>
        <v>111</v>
      </c>
      <c r="R23" s="705" t="s">
        <v>14</v>
      </c>
      <c r="S23" s="706">
        <f>F23</f>
        <v>100</v>
      </c>
      <c r="T23" s="705" t="s">
        <v>14</v>
      </c>
      <c r="U23" s="706">
        <f>H23</f>
        <v>100</v>
      </c>
      <c r="V23" s="705" t="s">
        <v>14</v>
      </c>
      <c r="W23" s="706">
        <f>J23</f>
        <v>100</v>
      </c>
      <c r="X23" s="1354"/>
      <c r="Y23" s="365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57"/>
      <c r="Q24" s="1351">
        <f t="shared" ref="Q24:Q34" si="11">B24</f>
        <v>111</v>
      </c>
      <c r="R24" s="705" t="s">
        <v>14</v>
      </c>
      <c r="S24" s="706">
        <f>F24</f>
        <v>100</v>
      </c>
      <c r="T24" s="705" t="s">
        <v>14</v>
      </c>
      <c r="U24" s="706">
        <f>H24</f>
        <v>100</v>
      </c>
      <c r="V24" s="705" t="s">
        <v>14</v>
      </c>
      <c r="W24" s="706">
        <f>J24</f>
        <v>100</v>
      </c>
      <c r="X24" s="1354"/>
      <c r="Y24" s="3657"/>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57"/>
      <c r="Q25" s="1342">
        <f t="shared" si="11"/>
        <v>111</v>
      </c>
      <c r="R25" s="701" t="s">
        <v>14</v>
      </c>
      <c r="S25" s="702">
        <f>F25</f>
        <v>100</v>
      </c>
      <c r="T25" s="701" t="s">
        <v>14</v>
      </c>
      <c r="U25" s="702">
        <f>H25</f>
        <v>100</v>
      </c>
      <c r="V25" s="701" t="s">
        <v>14</v>
      </c>
      <c r="W25" s="702">
        <f>J25</f>
        <v>100</v>
      </c>
      <c r="X25" s="703"/>
      <c r="Y25" s="3657"/>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658"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59"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59"/>
      <c r="Q27" s="707" t="str">
        <f t="shared" si="11"/>
        <v>成新率</v>
      </c>
      <c r="R27" s="708" t="s">
        <v>14</v>
      </c>
      <c r="S27" s="709" t="e">
        <f t="shared" si="12"/>
        <v>#N/A</v>
      </c>
      <c r="T27" s="708" t="s">
        <v>14</v>
      </c>
      <c r="U27" s="709" t="e">
        <f t="shared" si="13"/>
        <v>#N/A</v>
      </c>
      <c r="V27" s="708" t="s">
        <v>14</v>
      </c>
      <c r="W27" s="709" t="e">
        <f t="shared" si="14"/>
        <v>#N/A</v>
      </c>
      <c r="X27" s="710"/>
      <c r="Y27" s="3659"/>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59"/>
      <c r="Q28" s="1351" t="str">
        <f t="shared" si="11"/>
        <v>物业等级</v>
      </c>
      <c r="R28" s="705" t="s">
        <v>14</v>
      </c>
      <c r="S28" s="706">
        <f t="shared" si="12"/>
        <v>100</v>
      </c>
      <c r="T28" s="705" t="s">
        <v>14</v>
      </c>
      <c r="U28" s="706">
        <f t="shared" si="13"/>
        <v>100</v>
      </c>
      <c r="V28" s="705" t="s">
        <v>14</v>
      </c>
      <c r="W28" s="706">
        <f t="shared" si="14"/>
        <v>100</v>
      </c>
      <c r="X28" s="1354"/>
      <c r="Y28" s="3659"/>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59"/>
      <c r="Q29" s="1351" t="str">
        <f t="shared" si="11"/>
        <v>有无电梯</v>
      </c>
      <c r="R29" s="705" t="s">
        <v>14</v>
      </c>
      <c r="S29" s="706">
        <f t="shared" si="12"/>
        <v>100</v>
      </c>
      <c r="T29" s="705" t="s">
        <v>14</v>
      </c>
      <c r="U29" s="706">
        <f t="shared" si="13"/>
        <v>100</v>
      </c>
      <c r="V29" s="705" t="s">
        <v>14</v>
      </c>
      <c r="W29" s="706">
        <f t="shared" si="14"/>
        <v>100</v>
      </c>
      <c r="X29" s="1354"/>
      <c r="Y29" s="3659"/>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59"/>
      <c r="Q30" s="1351" t="str">
        <f t="shared" si="11"/>
        <v>建筑面积</v>
      </c>
      <c r="R30" s="705" t="s">
        <v>14</v>
      </c>
      <c r="S30" s="706" t="e">
        <f t="shared" si="12"/>
        <v>#N/A</v>
      </c>
      <c r="T30" s="705" t="s">
        <v>14</v>
      </c>
      <c r="U30" s="706" t="e">
        <f t="shared" si="13"/>
        <v>#N/A</v>
      </c>
      <c r="V30" s="705" t="s">
        <v>14</v>
      </c>
      <c r="W30" s="706" t="e">
        <f t="shared" si="14"/>
        <v>#N/A</v>
      </c>
      <c r="X30" s="1354"/>
      <c r="Y30" s="3659"/>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59"/>
      <c r="Q31" s="1342" t="str">
        <f t="shared" si="11"/>
        <v>是否封闭</v>
      </c>
      <c r="R31" s="701" t="s">
        <v>14</v>
      </c>
      <c r="S31" s="702">
        <f t="shared" si="12"/>
        <v>100</v>
      </c>
      <c r="T31" s="701" t="s">
        <v>14</v>
      </c>
      <c r="U31" s="702">
        <f t="shared" si="13"/>
        <v>100</v>
      </c>
      <c r="V31" s="701" t="s">
        <v>14</v>
      </c>
      <c r="W31" s="702">
        <f t="shared" si="14"/>
        <v>100</v>
      </c>
      <c r="X31" s="703"/>
      <c r="Y31" s="3659"/>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59" t="s">
        <v>1696</v>
      </c>
      <c r="Q32" s="1351">
        <f t="shared" si="11"/>
        <v>111</v>
      </c>
      <c r="R32" s="705" t="s">
        <v>14</v>
      </c>
      <c r="S32" s="706">
        <f t="shared" si="12"/>
        <v>100</v>
      </c>
      <c r="T32" s="705" t="s">
        <v>14</v>
      </c>
      <c r="U32" s="706">
        <f t="shared" si="13"/>
        <v>100</v>
      </c>
      <c r="V32" s="705" t="s">
        <v>14</v>
      </c>
      <c r="W32" s="706">
        <f t="shared" si="14"/>
        <v>100</v>
      </c>
      <c r="X32" s="1354"/>
      <c r="Y32" s="3659"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59"/>
      <c r="Q33" s="1351">
        <f t="shared" si="11"/>
        <v>111</v>
      </c>
      <c r="R33" s="705" t="s">
        <v>14</v>
      </c>
      <c r="S33" s="706">
        <f t="shared" si="12"/>
        <v>100</v>
      </c>
      <c r="T33" s="705" t="s">
        <v>14</v>
      </c>
      <c r="U33" s="706">
        <f t="shared" si="13"/>
        <v>100</v>
      </c>
      <c r="V33" s="705" t="s">
        <v>14</v>
      </c>
      <c r="W33" s="706">
        <f t="shared" si="14"/>
        <v>100</v>
      </c>
      <c r="X33" s="1354"/>
      <c r="Y33" s="3659"/>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59"/>
      <c r="Q34" s="1351">
        <f t="shared" si="11"/>
        <v>111</v>
      </c>
      <c r="R34" s="705" t="s">
        <v>14</v>
      </c>
      <c r="S34" s="706">
        <f t="shared" si="12"/>
        <v>100</v>
      </c>
      <c r="T34" s="705" t="s">
        <v>14</v>
      </c>
      <c r="U34" s="706">
        <f t="shared" si="13"/>
        <v>100</v>
      </c>
      <c r="V34" s="705" t="s">
        <v>14</v>
      </c>
      <c r="W34" s="706">
        <f t="shared" si="14"/>
        <v>100</v>
      </c>
      <c r="X34" s="1354"/>
      <c r="Y34" s="3659"/>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651" t="str">
        <f>A35</f>
        <v>成交单价（元/平方米）</v>
      </c>
      <c r="Q35" s="3651"/>
      <c r="R35" s="3724">
        <f>E35</f>
        <v>0</v>
      </c>
      <c r="S35" s="3724"/>
      <c r="T35" s="3724">
        <f>G35</f>
        <v>0</v>
      </c>
      <c r="U35" s="3724"/>
      <c r="V35" s="3724">
        <f>I35</f>
        <v>0</v>
      </c>
      <c r="W35" s="3724"/>
      <c r="X35" s="690"/>
      <c r="Y35" s="712"/>
      <c r="Z35" s="690"/>
      <c r="AA35" s="690"/>
      <c r="AB35" s="690"/>
      <c r="AC35" s="690"/>
    </row>
    <row r="36" spans="1:30" ht="15.75" thickBot="1">
      <c r="A36" s="437" t="s">
        <v>1793</v>
      </c>
      <c r="B36" s="438"/>
      <c r="C36" s="1160" t="e">
        <f>R37</f>
        <v>#DIV/0!</v>
      </c>
      <c r="D36" s="2316" t="s">
        <v>2137</v>
      </c>
      <c r="E36" s="1161" t="e">
        <f>R36</f>
        <v>#DIV/0!</v>
      </c>
      <c r="F36" s="2317"/>
      <c r="G36" s="1160" t="e">
        <f>T36</f>
        <v>#DIV/0!</v>
      </c>
      <c r="H36" s="2317"/>
      <c r="I36" s="1161" t="e">
        <f>V36</f>
        <v>#DIV/0!</v>
      </c>
      <c r="J36" s="2317"/>
      <c r="K36" s="2319">
        <f>F36+H36+J36</f>
        <v>0</v>
      </c>
      <c r="L36" s="2723"/>
      <c r="M36" s="2724"/>
      <c r="N36" s="2715"/>
      <c r="O36" s="2724"/>
      <c r="P36" s="3651" t="str">
        <f>A36</f>
        <v>比较价值（元/平方米）</v>
      </c>
      <c r="Q36" s="3651"/>
      <c r="R36" s="3724" t="e">
        <f>IF(F1="售价",ROUND(PRODUCT(R35,AA7:AA34),0),ROUND(PRODUCT(R35,AA7:AA34),1))</f>
        <v>#DIV/0!</v>
      </c>
      <c r="S36" s="3724"/>
      <c r="T36" s="3724" t="e">
        <f>IF(F1="售价",ROUND(PRODUCT(T35,AB7:AB34),0),ROUND(PRODUCT(T35,AB7:AB34),1))</f>
        <v>#DIV/0!</v>
      </c>
      <c r="U36" s="3724"/>
      <c r="V36" s="3724" t="e">
        <f>IF(F1="售价",ROUND(PRODUCT(V35,AC7:AC34),0),ROUND(PRODUCT(V35,AC7:AC34),1))</f>
        <v>#DIV/0!</v>
      </c>
      <c r="W36" s="372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48" t="str">
        <f>A37</f>
        <v>估价对象XX用房的比较价值（楼面单价，元/平方米）</v>
      </c>
      <c r="Q37" s="3649"/>
      <c r="R37" s="3748" t="e">
        <f>IF(F1="售价",ROUND(IF(D36="简单平均",AVERAGE(R36:W36),R36*F36+T36*H36+V36*J36),0),ROUND(IF(D36="简单平均",AVERAGE(R36:V36),R36*F36+T36*H36+V36*J36),1))</f>
        <v>#DIV/0!</v>
      </c>
      <c r="S37" s="3748"/>
      <c r="T37" s="3748"/>
      <c r="U37" s="3748"/>
      <c r="V37" s="3748"/>
      <c r="W37" s="3748"/>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2023-9</v>
      </c>
      <c r="D46" s="1184">
        <f>EDATE(C46,-1)</f>
        <v>45139</v>
      </c>
      <c r="E46" s="1184">
        <f t="shared" ref="E46:O46" si="16">EDATE(D46,-1)</f>
        <v>45108</v>
      </c>
      <c r="F46" s="1184">
        <f t="shared" si="16"/>
        <v>45078</v>
      </c>
      <c r="G46" s="1184">
        <f t="shared" si="16"/>
        <v>45047</v>
      </c>
      <c r="H46" s="1184">
        <f t="shared" si="16"/>
        <v>45017</v>
      </c>
      <c r="I46" s="1184">
        <f t="shared" si="16"/>
        <v>44986</v>
      </c>
      <c r="J46" s="1184">
        <f t="shared" si="16"/>
        <v>44958</v>
      </c>
      <c r="K46" s="1184">
        <f t="shared" si="16"/>
        <v>44927</v>
      </c>
      <c r="L46" s="1184">
        <f t="shared" si="16"/>
        <v>44896</v>
      </c>
      <c r="M46" s="1184">
        <f t="shared" si="16"/>
        <v>44866</v>
      </c>
      <c r="N46" s="1184">
        <f t="shared" si="16"/>
        <v>44835</v>
      </c>
      <c r="O46" s="1184">
        <f t="shared" si="16"/>
        <v>44805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7" priority="18" stopIfTrue="1" operator="containsText" text="超过">
      <formula>NOT(ISERROR(SEARCH("超过",F40)))</formula>
    </cfRule>
  </conditionalFormatting>
  <conditionalFormatting sqref="J42">
    <cfRule type="containsText" dxfId="46" priority="17" stopIfTrue="1" operator="containsText" text="超过">
      <formula>NOT(ISERROR(SEARCH("超过",J42)))</formula>
    </cfRule>
  </conditionalFormatting>
  <conditionalFormatting sqref="H42">
    <cfRule type="containsText" dxfId="45" priority="16" stopIfTrue="1" operator="containsText" text="超过">
      <formula>NOT(ISERROR(SEARCH("超过",H42)))</formula>
    </cfRule>
  </conditionalFormatting>
  <conditionalFormatting sqref="F42">
    <cfRule type="containsText" dxfId="44" priority="15" stopIfTrue="1" operator="containsText" text="超过">
      <formula>NOT(ISERROR(SEARCH("超过",F42)))</formula>
    </cfRule>
  </conditionalFormatting>
  <conditionalFormatting sqref="F41 H41 J41">
    <cfRule type="containsText" dxfId="43" priority="14" stopIfTrue="1" operator="containsText" text="超过">
      <formula>NOT(ISERROR(SEARCH("超过",F41)))</formula>
    </cfRule>
  </conditionalFormatting>
  <conditionalFormatting sqref="E40">
    <cfRule type="expression" dxfId="42" priority="13" stopIfTrue="1">
      <formula>$F$40="超过30%"</formula>
    </cfRule>
  </conditionalFormatting>
  <conditionalFormatting sqref="G42">
    <cfRule type="expression" dxfId="41" priority="12" stopIfTrue="1">
      <formula>$H$54+$H$42="超过30%"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G40">
    <cfRule type="expression" dxfId="38" priority="9" stopIfTrue="1">
      <formula>$H$52+$H$40="超过30%"</formula>
    </cfRule>
  </conditionalFormatting>
  <conditionalFormatting sqref="G41">
    <cfRule type="expression" dxfId="37" priority="8" stopIfTrue="1">
      <formula>$H$53+$H$41="超过20%"</formula>
    </cfRule>
  </conditionalFormatting>
  <conditionalFormatting sqref="I40">
    <cfRule type="expression" dxfId="36" priority="7" stopIfTrue="1">
      <formula>$J$40="超过30%"</formula>
    </cfRule>
  </conditionalFormatting>
  <conditionalFormatting sqref="I41">
    <cfRule type="expression" dxfId="35" priority="6" stopIfTrue="1">
      <formula>$J$41="超过20%"</formula>
    </cfRule>
  </conditionalFormatting>
  <conditionalFormatting sqref="I42">
    <cfRule type="expression" dxfId="34" priority="5" stopIfTrue="1">
      <formula>$J$42="超过30%"</formula>
    </cfRule>
  </conditionalFormatting>
  <conditionalFormatting sqref="F36">
    <cfRule type="expression" dxfId="33" priority="4">
      <formula>$D$36="简单平均"</formula>
    </cfRule>
  </conditionalFormatting>
  <conditionalFormatting sqref="H36">
    <cfRule type="expression" dxfId="32" priority="3">
      <formula>$D$36="简单平均"</formula>
    </cfRule>
  </conditionalFormatting>
  <conditionalFormatting sqref="J36">
    <cfRule type="expression" dxfId="31" priority="2">
      <formula>$D$36="简单平均"</formula>
    </cfRule>
  </conditionalFormatting>
  <conditionalFormatting sqref="F7:F34 H7:H34 J7:J34">
    <cfRule type="cellIs" dxfId="3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63" t="s">
        <v>1770</v>
      </c>
      <c r="D4" s="3664"/>
      <c r="E4" s="3665" t="s">
        <v>1771</v>
      </c>
      <c r="F4" s="3666"/>
      <c r="G4" s="3663" t="s">
        <v>1772</v>
      </c>
      <c r="H4" s="3664"/>
      <c r="I4" s="3663" t="s">
        <v>1773</v>
      </c>
      <c r="J4" s="3664"/>
      <c r="K4" s="559" t="s">
        <v>1774</v>
      </c>
      <c r="L4" s="2714"/>
      <c r="M4" s="2715"/>
      <c r="N4" s="2715"/>
      <c r="O4" s="2715"/>
      <c r="P4" s="3667" t="s">
        <v>1775</v>
      </c>
      <c r="Q4" s="3668"/>
      <c r="R4" s="3677" t="s">
        <v>1771</v>
      </c>
      <c r="S4" s="3678"/>
      <c r="T4" s="3677" t="s">
        <v>1772</v>
      </c>
      <c r="U4" s="3678"/>
      <c r="V4" s="3655" t="s">
        <v>1773</v>
      </c>
      <c r="W4" s="3655"/>
      <c r="X4" s="1354"/>
      <c r="Y4" s="3677" t="s">
        <v>1775</v>
      </c>
      <c r="Z4" s="3678"/>
      <c r="AA4" s="3660" t="s">
        <v>1771</v>
      </c>
      <c r="AB4" s="3661" t="s">
        <v>1772</v>
      </c>
      <c r="AC4" s="3660" t="s">
        <v>1773</v>
      </c>
    </row>
    <row r="5" spans="1:30" ht="15">
      <c r="A5" s="358"/>
      <c r="B5" s="359"/>
      <c r="C5" s="3681" t="s">
        <v>1673</v>
      </c>
      <c r="D5" s="3682"/>
      <c r="E5" s="3673" t="s">
        <v>1674</v>
      </c>
      <c r="F5" s="3674"/>
      <c r="G5" s="3681" t="s">
        <v>1675</v>
      </c>
      <c r="H5" s="3682"/>
      <c r="I5" s="3681" t="s">
        <v>1676</v>
      </c>
      <c r="J5" s="3682"/>
      <c r="K5" s="559"/>
      <c r="L5" s="2714"/>
      <c r="M5" s="2715"/>
      <c r="N5" s="2715"/>
      <c r="O5" s="2715"/>
      <c r="P5" s="3669"/>
      <c r="Q5" s="3670"/>
      <c r="R5" s="3679"/>
      <c r="S5" s="3680"/>
      <c r="T5" s="3679"/>
      <c r="U5" s="3680"/>
      <c r="V5" s="3655"/>
      <c r="W5" s="3655"/>
      <c r="X5" s="1354"/>
      <c r="Y5" s="3679"/>
      <c r="Z5" s="3680"/>
      <c r="AA5" s="3661"/>
      <c r="AB5" s="3661"/>
      <c r="AC5" s="3661"/>
    </row>
    <row r="6" spans="1:30" ht="15.75" thickBot="1">
      <c r="A6" s="360"/>
      <c r="B6" s="361"/>
      <c r="C6" s="3719" t="s">
        <v>1677</v>
      </c>
      <c r="D6" s="3720"/>
      <c r="E6" s="3721" t="s">
        <v>1677</v>
      </c>
      <c r="F6" s="3722"/>
      <c r="G6" s="3719" t="s">
        <v>1677</v>
      </c>
      <c r="H6" s="3720"/>
      <c r="I6" s="3719" t="s">
        <v>1677</v>
      </c>
      <c r="J6" s="3720"/>
      <c r="K6" s="559" t="s">
        <v>1678</v>
      </c>
      <c r="L6" s="2714"/>
      <c r="M6" s="2715"/>
      <c r="N6" s="2715"/>
      <c r="O6" s="2715"/>
      <c r="P6" s="3671"/>
      <c r="Q6" s="3672"/>
      <c r="R6" s="3679"/>
      <c r="S6" s="3680"/>
      <c r="T6" s="3688"/>
      <c r="U6" s="3689"/>
      <c r="V6" s="3655"/>
      <c r="W6" s="3655"/>
      <c r="X6" s="1354"/>
      <c r="Y6" s="3688"/>
      <c r="Z6" s="3689"/>
      <c r="AA6" s="3662"/>
      <c r="AB6" s="3662"/>
      <c r="AC6" s="3662"/>
    </row>
    <row r="7" spans="1:30" s="108" customFormat="1" ht="15.75" thickBot="1">
      <c r="A7" s="362" t="s">
        <v>1679</v>
      </c>
      <c r="B7" s="363"/>
      <c r="C7" s="364">
        <f>'数据-取费表'!B2</f>
        <v>45195</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53" t="s">
        <v>1680</v>
      </c>
      <c r="Q7" s="3685"/>
      <c r="R7" s="701" t="s">
        <v>14</v>
      </c>
      <c r="S7" s="702">
        <f t="shared" ref="S7:S15" si="0">F7</f>
        <v>0</v>
      </c>
      <c r="T7" s="701" t="s">
        <v>14</v>
      </c>
      <c r="U7" s="702">
        <f t="shared" ref="U7:U15" si="1">H7</f>
        <v>0</v>
      </c>
      <c r="V7" s="701" t="s">
        <v>14</v>
      </c>
      <c r="W7" s="702">
        <f t="shared" ref="W7:W15" si="2">J7</f>
        <v>0</v>
      </c>
      <c r="X7" s="703"/>
      <c r="Y7" s="3653" t="s">
        <v>1680</v>
      </c>
      <c r="Z7" s="365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53" t="s">
        <v>1683</v>
      </c>
      <c r="Q8" s="3654"/>
      <c r="R8" s="701" t="s">
        <v>14</v>
      </c>
      <c r="S8" s="702">
        <f t="shared" si="0"/>
        <v>0</v>
      </c>
      <c r="T8" s="701" t="s">
        <v>14</v>
      </c>
      <c r="U8" s="702">
        <f t="shared" si="1"/>
        <v>0</v>
      </c>
      <c r="V8" s="701" t="s">
        <v>14</v>
      </c>
      <c r="W8" s="702">
        <f t="shared" si="2"/>
        <v>0</v>
      </c>
      <c r="X8" s="703"/>
      <c r="Y8" s="3653" t="s">
        <v>1683</v>
      </c>
      <c r="Z8" s="3654"/>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51" t="s">
        <v>1686</v>
      </c>
      <c r="Q9" s="1342"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8"/>
      <c r="M10" s="2719"/>
      <c r="N10" s="2719"/>
      <c r="O10" s="2772"/>
      <c r="P10" s="3651"/>
      <c r="Q10" s="1342" t="str">
        <f t="shared" si="6"/>
        <v>土地使用年限（年）</v>
      </c>
      <c r="R10" s="701" t="s">
        <v>14</v>
      </c>
      <c r="S10" s="702">
        <f t="shared" si="0"/>
        <v>107</v>
      </c>
      <c r="T10" s="701" t="s">
        <v>14</v>
      </c>
      <c r="U10" s="702">
        <f t="shared" si="1"/>
        <v>107</v>
      </c>
      <c r="V10" s="701" t="s">
        <v>14</v>
      </c>
      <c r="W10" s="702">
        <f t="shared" si="2"/>
        <v>107</v>
      </c>
      <c r="X10" s="703"/>
      <c r="Y10" s="3624"/>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51"/>
      <c r="Q11" s="1342"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51"/>
      <c r="Q12" s="1342" t="str">
        <f t="shared" si="6"/>
        <v>配建</v>
      </c>
      <c r="R12" s="701" t="s">
        <v>14</v>
      </c>
      <c r="S12" s="702">
        <f t="shared" si="0"/>
        <v>100</v>
      </c>
      <c r="T12" s="701" t="s">
        <v>14</v>
      </c>
      <c r="U12" s="702">
        <f t="shared" si="1"/>
        <v>100</v>
      </c>
      <c r="V12" s="701" t="s">
        <v>14</v>
      </c>
      <c r="W12" s="702">
        <f t="shared" si="2"/>
        <v>100</v>
      </c>
      <c r="X12" s="703"/>
      <c r="Y12" s="3624"/>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51"/>
      <c r="Q13" s="1342">
        <f t="shared" si="6"/>
        <v>111</v>
      </c>
      <c r="R13" s="701" t="s">
        <v>14</v>
      </c>
      <c r="S13" s="702">
        <f t="shared" si="0"/>
        <v>100</v>
      </c>
      <c r="T13" s="701" t="s">
        <v>14</v>
      </c>
      <c r="U13" s="702">
        <f t="shared" si="1"/>
        <v>100</v>
      </c>
      <c r="V13" s="701" t="s">
        <v>14</v>
      </c>
      <c r="W13" s="702">
        <f t="shared" si="2"/>
        <v>100</v>
      </c>
      <c r="X13" s="703"/>
      <c r="Y13" s="3624"/>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51"/>
      <c r="Q14" s="1342">
        <f t="shared" si="6"/>
        <v>111</v>
      </c>
      <c r="R14" s="701" t="s">
        <v>14</v>
      </c>
      <c r="S14" s="702">
        <f t="shared" si="0"/>
        <v>100</v>
      </c>
      <c r="T14" s="701" t="s">
        <v>14</v>
      </c>
      <c r="U14" s="702">
        <f t="shared" si="1"/>
        <v>100</v>
      </c>
      <c r="V14" s="701" t="s">
        <v>14</v>
      </c>
      <c r="W14" s="702">
        <f t="shared" si="2"/>
        <v>100</v>
      </c>
      <c r="X14" s="703"/>
      <c r="Y14" s="3624"/>
      <c r="Z14" s="52">
        <f t="shared" si="7"/>
        <v>111</v>
      </c>
      <c r="AA14" s="704">
        <f>D14/F14</f>
        <v>1</v>
      </c>
      <c r="AB14" s="704">
        <f>D14/H14</f>
        <v>1</v>
      </c>
      <c r="AC14" s="704">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56" t="s">
        <v>1691</v>
      </c>
      <c r="Q15" s="1351" t="str">
        <f t="shared" si="6"/>
        <v>居住社区成熟度</v>
      </c>
      <c r="R15" s="705" t="s">
        <v>14</v>
      </c>
      <c r="S15" s="706">
        <f t="shared" si="0"/>
        <v>100</v>
      </c>
      <c r="T15" s="705" t="s">
        <v>14</v>
      </c>
      <c r="U15" s="706">
        <f t="shared" si="1"/>
        <v>100</v>
      </c>
      <c r="V15" s="705" t="s">
        <v>14</v>
      </c>
      <c r="W15" s="706">
        <f t="shared" si="2"/>
        <v>100</v>
      </c>
      <c r="X15" s="1354"/>
      <c r="Y15" s="3656"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57"/>
      <c r="Q16" s="1351"/>
      <c r="R16" s="705"/>
      <c r="S16" s="706"/>
      <c r="T16" s="705"/>
      <c r="U16" s="706"/>
      <c r="V16" s="705"/>
      <c r="W16" s="706"/>
      <c r="X16" s="1354"/>
      <c r="Y16" s="3657"/>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57"/>
      <c r="Q17" s="1351" t="str">
        <f>B17</f>
        <v>商业繁华度</v>
      </c>
      <c r="R17" s="705" t="s">
        <v>14</v>
      </c>
      <c r="S17" s="706">
        <f>F17</f>
        <v>100</v>
      </c>
      <c r="T17" s="705" t="s">
        <v>14</v>
      </c>
      <c r="U17" s="706">
        <f>H17</f>
        <v>100</v>
      </c>
      <c r="V17" s="705" t="s">
        <v>14</v>
      </c>
      <c r="W17" s="706">
        <f>J17</f>
        <v>100</v>
      </c>
      <c r="X17" s="1354"/>
      <c r="Y17" s="3657"/>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57"/>
      <c r="Q18" s="1351"/>
      <c r="R18" s="705"/>
      <c r="S18" s="706"/>
      <c r="T18" s="705"/>
      <c r="U18" s="706"/>
      <c r="V18" s="705"/>
      <c r="W18" s="706"/>
      <c r="X18" s="1354"/>
      <c r="Y18" s="3657"/>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57"/>
      <c r="Q19" s="1351" t="str">
        <f>B19</f>
        <v>办公集聚程度</v>
      </c>
      <c r="R19" s="705" t="s">
        <v>14</v>
      </c>
      <c r="S19" s="706">
        <f>F19</f>
        <v>100</v>
      </c>
      <c r="T19" s="705" t="s">
        <v>14</v>
      </c>
      <c r="U19" s="706">
        <f>H19</f>
        <v>100</v>
      </c>
      <c r="V19" s="705" t="s">
        <v>14</v>
      </c>
      <c r="W19" s="706">
        <f>J19</f>
        <v>100</v>
      </c>
      <c r="X19" s="1354"/>
      <c r="Y19" s="3657"/>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57"/>
      <c r="Q20" s="1351"/>
      <c r="R20" s="705"/>
      <c r="S20" s="706"/>
      <c r="T20" s="705"/>
      <c r="U20" s="706"/>
      <c r="V20" s="705"/>
      <c r="W20" s="706"/>
      <c r="X20" s="1354"/>
      <c r="Y20" s="3657"/>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57"/>
      <c r="Q21" s="1351" t="str">
        <f>B21</f>
        <v>交通便捷度</v>
      </c>
      <c r="R21" s="705" t="s">
        <v>14</v>
      </c>
      <c r="S21" s="706">
        <f>F21</f>
        <v>100</v>
      </c>
      <c r="T21" s="705" t="s">
        <v>14</v>
      </c>
      <c r="U21" s="706">
        <f>H21</f>
        <v>100</v>
      </c>
      <c r="V21" s="705" t="s">
        <v>14</v>
      </c>
      <c r="W21" s="706">
        <f>J21</f>
        <v>100</v>
      </c>
      <c r="X21" s="1354"/>
      <c r="Y21" s="3657"/>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657"/>
      <c r="Q22" s="1351"/>
      <c r="R22" s="705"/>
      <c r="S22" s="706"/>
      <c r="T22" s="705"/>
      <c r="U22" s="706"/>
      <c r="V22" s="705"/>
      <c r="W22" s="706"/>
      <c r="X22" s="1354"/>
      <c r="Y22" s="3657"/>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57"/>
      <c r="Q23" s="1351" t="str">
        <f t="shared" ref="Q23:Q37" si="8">B23</f>
        <v>区域土地利用方向</v>
      </c>
      <c r="R23" s="705" t="s">
        <v>14</v>
      </c>
      <c r="S23" s="706">
        <f>F23</f>
        <v>100</v>
      </c>
      <c r="T23" s="705" t="s">
        <v>14</v>
      </c>
      <c r="U23" s="706">
        <f>H23</f>
        <v>100</v>
      </c>
      <c r="V23" s="705" t="s">
        <v>14</v>
      </c>
      <c r="W23" s="706">
        <f>J23</f>
        <v>100</v>
      </c>
      <c r="X23" s="1354"/>
      <c r="Y23" s="3657"/>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657"/>
      <c r="Q24" s="1351"/>
      <c r="R24" s="705"/>
      <c r="S24" s="706"/>
      <c r="T24" s="705"/>
      <c r="U24" s="706"/>
      <c r="V24" s="705"/>
      <c r="W24" s="706"/>
      <c r="X24" s="1354"/>
      <c r="Y24" s="3657"/>
      <c r="Z24" s="1355"/>
      <c r="AA24" s="1352"/>
      <c r="AB24" s="1352"/>
      <c r="AC24" s="1352"/>
    </row>
    <row r="25" spans="1:29" ht="27">
      <c r="A25" s="358"/>
      <c r="B25" s="1131"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57"/>
      <c r="Q25" s="1351" t="str">
        <f t="shared" si="8"/>
        <v>自然及人文环境状况</v>
      </c>
      <c r="R25" s="705" t="s">
        <v>14</v>
      </c>
      <c r="S25" s="706">
        <f>F25</f>
        <v>100</v>
      </c>
      <c r="T25" s="705" t="s">
        <v>14</v>
      </c>
      <c r="U25" s="706">
        <f>H25</f>
        <v>100</v>
      </c>
      <c r="V25" s="705" t="s">
        <v>14</v>
      </c>
      <c r="W25" s="706">
        <f>J25</f>
        <v>100</v>
      </c>
      <c r="X25" s="1354"/>
      <c r="Y25" s="3657"/>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57"/>
      <c r="Q26" s="1351"/>
      <c r="R26" s="705"/>
      <c r="S26" s="706"/>
      <c r="T26" s="705"/>
      <c r="U26" s="706"/>
      <c r="V26" s="705"/>
      <c r="W26" s="706"/>
      <c r="X26" s="1354"/>
      <c r="Y26" s="3657"/>
      <c r="Z26" s="1355"/>
      <c r="AA26" s="1352">
        <v>1</v>
      </c>
      <c r="AB26" s="1352">
        <v>1</v>
      </c>
      <c r="AC26" s="1352">
        <v>1</v>
      </c>
    </row>
    <row r="27" spans="1:29" s="108" customFormat="1" ht="15">
      <c r="A27" s="597"/>
      <c r="B27" s="1131"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57"/>
      <c r="Q27" s="1342" t="str">
        <f t="shared" si="8"/>
        <v>公共配套设施</v>
      </c>
      <c r="R27" s="701" t="s">
        <v>14</v>
      </c>
      <c r="S27" s="702">
        <f>F27</f>
        <v>100</v>
      </c>
      <c r="T27" s="701" t="s">
        <v>14</v>
      </c>
      <c r="U27" s="702">
        <f>H27</f>
        <v>100</v>
      </c>
      <c r="V27" s="701" t="s">
        <v>14</v>
      </c>
      <c r="W27" s="702">
        <f>J27</f>
        <v>100</v>
      </c>
      <c r="X27" s="703"/>
      <c r="Y27" s="3657"/>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57"/>
      <c r="Q28" s="1342"/>
      <c r="R28" s="701"/>
      <c r="S28" s="702"/>
      <c r="T28" s="701"/>
      <c r="U28" s="702"/>
      <c r="V28" s="701"/>
      <c r="W28" s="702"/>
      <c r="X28" s="703"/>
      <c r="Y28" s="3657"/>
      <c r="Z28" s="52"/>
      <c r="AA28" s="1352">
        <v>1</v>
      </c>
      <c r="AB28" s="1352">
        <v>1</v>
      </c>
      <c r="AC28" s="1352">
        <v>1</v>
      </c>
    </row>
    <row r="29" spans="1:29" s="108" customFormat="1" ht="15">
      <c r="A29" s="597"/>
      <c r="B29" s="1131"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57"/>
      <c r="Q29" s="1342" t="str">
        <f t="shared" ref="Q29" si="9">B29</f>
        <v>基础设施水平</v>
      </c>
      <c r="R29" s="701" t="s">
        <v>14</v>
      </c>
      <c r="S29" s="702">
        <f>F29</f>
        <v>100</v>
      </c>
      <c r="T29" s="701" t="s">
        <v>14</v>
      </c>
      <c r="U29" s="702">
        <f>H29</f>
        <v>100</v>
      </c>
      <c r="V29" s="701" t="s">
        <v>14</v>
      </c>
      <c r="W29" s="702">
        <f>J29</f>
        <v>100</v>
      </c>
      <c r="X29" s="703"/>
      <c r="Y29" s="3657"/>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57"/>
      <c r="Q30" s="1342"/>
      <c r="R30" s="701"/>
      <c r="S30" s="702"/>
      <c r="T30" s="701"/>
      <c r="U30" s="702"/>
      <c r="V30" s="701"/>
      <c r="W30" s="702"/>
      <c r="X30" s="703"/>
      <c r="Y30" s="3657"/>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57"/>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57"/>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57"/>
      <c r="Q32" s="1351" t="str">
        <f t="shared" si="8"/>
        <v>毗邻道路的类型与等级</v>
      </c>
      <c r="R32" s="705" t="s">
        <v>14</v>
      </c>
      <c r="S32" s="706">
        <f t="shared" si="10"/>
        <v>100</v>
      </c>
      <c r="T32" s="705" t="s">
        <v>14</v>
      </c>
      <c r="U32" s="706">
        <f t="shared" si="11"/>
        <v>100</v>
      </c>
      <c r="V32" s="705" t="s">
        <v>14</v>
      </c>
      <c r="W32" s="706">
        <f t="shared" si="12"/>
        <v>100</v>
      </c>
      <c r="X32" s="1354"/>
      <c r="Y32" s="365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57"/>
      <c r="Q33" s="1351"/>
      <c r="R33" s="705"/>
      <c r="S33" s="706"/>
      <c r="T33" s="705"/>
      <c r="U33" s="706"/>
      <c r="V33" s="705"/>
      <c r="W33" s="706"/>
      <c r="X33" s="1354"/>
      <c r="Y33" s="3657"/>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57"/>
      <c r="Q34" s="1351" t="str">
        <f t="shared" si="8"/>
        <v>土地级别</v>
      </c>
      <c r="R34" s="705" t="s">
        <v>14</v>
      </c>
      <c r="S34" s="706">
        <f t="shared" si="10"/>
        <v>100</v>
      </c>
      <c r="T34" s="705" t="s">
        <v>14</v>
      </c>
      <c r="U34" s="706">
        <f t="shared" si="11"/>
        <v>100</v>
      </c>
      <c r="V34" s="705" t="s">
        <v>14</v>
      </c>
      <c r="W34" s="706">
        <f t="shared" si="12"/>
        <v>100</v>
      </c>
      <c r="X34" s="1354"/>
      <c r="Y34" s="3657"/>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57"/>
      <c r="Q35" s="1351">
        <f t="shared" si="8"/>
        <v>111</v>
      </c>
      <c r="R35" s="705" t="s">
        <v>14</v>
      </c>
      <c r="S35" s="706">
        <f t="shared" si="10"/>
        <v>100</v>
      </c>
      <c r="T35" s="705" t="s">
        <v>14</v>
      </c>
      <c r="U35" s="706">
        <f t="shared" si="11"/>
        <v>100</v>
      </c>
      <c r="V35" s="705" t="s">
        <v>14</v>
      </c>
      <c r="W35" s="706">
        <f t="shared" si="12"/>
        <v>100</v>
      </c>
      <c r="X35" s="1354"/>
      <c r="Y35" s="3657"/>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658" t="s">
        <v>1696</v>
      </c>
      <c r="Q36" s="1351">
        <f t="shared" si="8"/>
        <v>111</v>
      </c>
      <c r="R36" s="705" t="s">
        <v>14</v>
      </c>
      <c r="S36" s="706">
        <f t="shared" si="10"/>
        <v>100</v>
      </c>
      <c r="T36" s="705" t="s">
        <v>14</v>
      </c>
      <c r="U36" s="706">
        <f t="shared" si="11"/>
        <v>100</v>
      </c>
      <c r="V36" s="705" t="s">
        <v>14</v>
      </c>
      <c r="W36" s="706">
        <f t="shared" si="12"/>
        <v>100</v>
      </c>
      <c r="X36" s="1354"/>
      <c r="Y36" s="3659"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59"/>
      <c r="Q37" s="1351">
        <f t="shared" si="8"/>
        <v>111</v>
      </c>
      <c r="R37" s="708" t="s">
        <v>14</v>
      </c>
      <c r="S37" s="709">
        <f t="shared" si="10"/>
        <v>100</v>
      </c>
      <c r="T37" s="708" t="s">
        <v>14</v>
      </c>
      <c r="U37" s="709">
        <f t="shared" si="11"/>
        <v>100</v>
      </c>
      <c r="V37" s="708" t="s">
        <v>14</v>
      </c>
      <c r="W37" s="709">
        <f t="shared" si="12"/>
        <v>100</v>
      </c>
      <c r="X37" s="710"/>
      <c r="Y37" s="3659"/>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59"/>
      <c r="Q38" s="1351" t="str">
        <f>B38</f>
        <v>宗地面积</v>
      </c>
      <c r="R38" s="705" t="s">
        <v>14</v>
      </c>
      <c r="S38" s="706" t="e">
        <f t="shared" si="10"/>
        <v>#N/A</v>
      </c>
      <c r="T38" s="705" t="s">
        <v>14</v>
      </c>
      <c r="U38" s="706" t="e">
        <f t="shared" si="11"/>
        <v>#N/A</v>
      </c>
      <c r="V38" s="705" t="s">
        <v>14</v>
      </c>
      <c r="W38" s="706" t="e">
        <f t="shared" si="12"/>
        <v>#N/A</v>
      </c>
      <c r="X38" s="1354"/>
      <c r="Y38" s="3659"/>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59"/>
      <c r="Q39" s="1351" t="str">
        <f t="shared" ref="Q39:Q45" si="14">B39</f>
        <v>宗地形状</v>
      </c>
      <c r="R39" s="705" t="s">
        <v>14</v>
      </c>
      <c r="S39" s="706">
        <f t="shared" si="10"/>
        <v>100</v>
      </c>
      <c r="T39" s="705" t="s">
        <v>14</v>
      </c>
      <c r="U39" s="706">
        <f t="shared" si="11"/>
        <v>100</v>
      </c>
      <c r="V39" s="705" t="s">
        <v>14</v>
      </c>
      <c r="W39" s="706">
        <f t="shared" si="12"/>
        <v>100</v>
      </c>
      <c r="X39" s="1354"/>
      <c r="Y39" s="3659"/>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59"/>
      <c r="Q40" s="1351" t="str">
        <f t="shared" si="14"/>
        <v>临街宽度及深度</v>
      </c>
      <c r="R40" s="705" t="s">
        <v>14</v>
      </c>
      <c r="S40" s="706">
        <f t="shared" si="10"/>
        <v>100</v>
      </c>
      <c r="T40" s="705" t="s">
        <v>14</v>
      </c>
      <c r="U40" s="706">
        <f t="shared" si="11"/>
        <v>100</v>
      </c>
      <c r="V40" s="705" t="s">
        <v>14</v>
      </c>
      <c r="W40" s="706">
        <f t="shared" si="12"/>
        <v>100</v>
      </c>
      <c r="X40" s="1354"/>
      <c r="Y40" s="3659"/>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59"/>
      <c r="Q41" s="1351" t="str">
        <f t="shared" si="14"/>
        <v>宗地开发程度</v>
      </c>
      <c r="R41" s="701" t="s">
        <v>14</v>
      </c>
      <c r="S41" s="702">
        <f t="shared" si="10"/>
        <v>100</v>
      </c>
      <c r="T41" s="701" t="s">
        <v>14</v>
      </c>
      <c r="U41" s="702">
        <f t="shared" si="11"/>
        <v>100</v>
      </c>
      <c r="V41" s="701" t="s">
        <v>14</v>
      </c>
      <c r="W41" s="702">
        <f t="shared" si="12"/>
        <v>100</v>
      </c>
      <c r="X41" s="703"/>
      <c r="Y41" s="3659"/>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59" t="s">
        <v>1696</v>
      </c>
      <c r="Q42" s="1351" t="str">
        <f t="shared" si="14"/>
        <v>工程地质条件</v>
      </c>
      <c r="R42" s="705" t="s">
        <v>14</v>
      </c>
      <c r="S42" s="706">
        <f t="shared" si="10"/>
        <v>100</v>
      </c>
      <c r="T42" s="705" t="s">
        <v>14</v>
      </c>
      <c r="U42" s="706">
        <f t="shared" si="11"/>
        <v>100</v>
      </c>
      <c r="V42" s="705" t="s">
        <v>14</v>
      </c>
      <c r="W42" s="706">
        <f t="shared" si="12"/>
        <v>100</v>
      </c>
      <c r="X42" s="1354"/>
      <c r="Y42" s="3659"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59"/>
      <c r="Q43" s="1351">
        <f t="shared" si="14"/>
        <v>111</v>
      </c>
      <c r="R43" s="705" t="s">
        <v>14</v>
      </c>
      <c r="S43" s="706">
        <f t="shared" si="10"/>
        <v>100</v>
      </c>
      <c r="T43" s="705" t="s">
        <v>14</v>
      </c>
      <c r="U43" s="706">
        <f t="shared" si="11"/>
        <v>100</v>
      </c>
      <c r="V43" s="705" t="s">
        <v>14</v>
      </c>
      <c r="W43" s="706">
        <f t="shared" si="12"/>
        <v>100</v>
      </c>
      <c r="X43" s="1354"/>
      <c r="Y43" s="3659"/>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59"/>
      <c r="Q44" s="1351">
        <f t="shared" si="14"/>
        <v>111</v>
      </c>
      <c r="R44" s="705" t="s">
        <v>14</v>
      </c>
      <c r="S44" s="706">
        <f t="shared" si="10"/>
        <v>100</v>
      </c>
      <c r="T44" s="705" t="s">
        <v>14</v>
      </c>
      <c r="U44" s="706">
        <f t="shared" si="11"/>
        <v>100</v>
      </c>
      <c r="V44" s="705" t="s">
        <v>14</v>
      </c>
      <c r="W44" s="706">
        <f t="shared" si="12"/>
        <v>100</v>
      </c>
      <c r="X44" s="1354"/>
      <c r="Y44" s="3659"/>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59"/>
      <c r="Q45" s="1351">
        <f t="shared" si="14"/>
        <v>111</v>
      </c>
      <c r="R45" s="708" t="s">
        <v>14</v>
      </c>
      <c r="S45" s="709">
        <f t="shared" si="10"/>
        <v>100</v>
      </c>
      <c r="T45" s="708" t="s">
        <v>14</v>
      </c>
      <c r="U45" s="709">
        <f t="shared" si="11"/>
        <v>100</v>
      </c>
      <c r="V45" s="708" t="s">
        <v>14</v>
      </c>
      <c r="W45" s="709">
        <f t="shared" si="12"/>
        <v>100</v>
      </c>
      <c r="X45" s="710"/>
      <c r="Y45" s="3659"/>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651" t="str">
        <f>A46</f>
        <v>成交单价</v>
      </c>
      <c r="Q46" s="3651"/>
      <c r="R46" s="3655">
        <f>E46</f>
        <v>0</v>
      </c>
      <c r="S46" s="3655"/>
      <c r="T46" s="3655">
        <f>G46</f>
        <v>0</v>
      </c>
      <c r="U46" s="3655"/>
      <c r="V46" s="3655">
        <f>I46</f>
        <v>0</v>
      </c>
      <c r="W46" s="3655"/>
      <c r="X46" s="690"/>
      <c r="Y46" s="712"/>
      <c r="Z46" s="690"/>
      <c r="AA46" s="690"/>
      <c r="AB46" s="690"/>
      <c r="AC46" s="690"/>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651" t="str">
        <f>A47</f>
        <v>比较价值（元/平方米）</v>
      </c>
      <c r="Q47" s="3651"/>
      <c r="R47" s="3652" t="e">
        <f>ROUND(PRODUCT(R46,AA7:AA45),0)</f>
        <v>#DIV/0!</v>
      </c>
      <c r="S47" s="3652"/>
      <c r="T47" s="3652" t="e">
        <f>ROUND(PRODUCT(T46,AB7:AB45),0)</f>
        <v>#DIV/0!</v>
      </c>
      <c r="U47" s="3652"/>
      <c r="V47" s="3652" t="e">
        <f>ROUND(PRODUCT(V46,AC7:AC45),0)</f>
        <v>#DIV/0!</v>
      </c>
      <c r="W47" s="365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48" t="str">
        <f>A48</f>
        <v>估价对象XX用房的比较价值（楼面单价，元/平方米）</v>
      </c>
      <c r="Q48" s="3649"/>
      <c r="R48" s="3650" t="e">
        <f>ROUND(IF(D47="简单平均",AVERAGE(R47:W47),R47*F47+T47*H47+V47*J47),0)</f>
        <v>#DIV/0!</v>
      </c>
      <c r="S48" s="3650"/>
      <c r="T48" s="3650"/>
      <c r="U48" s="3650"/>
      <c r="V48" s="3650"/>
      <c r="W48" s="3650"/>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63" t="s">
        <v>1887</v>
      </c>
      <c r="H55" s="3675"/>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27113.21</v>
      </c>
      <c r="F56" s="886" t="e">
        <f t="shared" ref="F56:F64" si="15">ROUND(B56*E56/10000,0)</f>
        <v>#DIV/0!</v>
      </c>
      <c r="G56" s="3676"/>
      <c r="H56" s="3651"/>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27113.21</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29" priority="18" stopIfTrue="1" operator="containsText" text="超过">
      <formula>NOT(ISERROR(SEARCH("超过",F51)))</formula>
    </cfRule>
  </conditionalFormatting>
  <conditionalFormatting sqref="J53">
    <cfRule type="containsText" dxfId="28" priority="17" stopIfTrue="1" operator="containsText" text="超过">
      <formula>NOT(ISERROR(SEARCH("超过",J53)))</formula>
    </cfRule>
  </conditionalFormatting>
  <conditionalFormatting sqref="H53">
    <cfRule type="containsText" dxfId="27" priority="16" stopIfTrue="1" operator="containsText" text="超过">
      <formula>NOT(ISERROR(SEARCH("超过",H53)))</formula>
    </cfRule>
  </conditionalFormatting>
  <conditionalFormatting sqref="F53">
    <cfRule type="containsText" dxfId="26" priority="15" stopIfTrue="1" operator="containsText" text="超过">
      <formula>NOT(ISERROR(SEARCH("超过",F53)))</formula>
    </cfRule>
  </conditionalFormatting>
  <conditionalFormatting sqref="F52 H52 J52">
    <cfRule type="containsText" dxfId="25" priority="14" stopIfTrue="1" operator="containsText" text="超过">
      <formula>NOT(ISERROR(SEARCH("超过",F52)))</formula>
    </cfRule>
  </conditionalFormatting>
  <conditionalFormatting sqref="E51">
    <cfRule type="expression" dxfId="24" priority="13" stopIfTrue="1">
      <formula>$F$51="超过30%"</formula>
    </cfRule>
  </conditionalFormatting>
  <conditionalFormatting sqref="G53">
    <cfRule type="expression" dxfId="23" priority="12" stopIfTrue="1">
      <formula>$H$53="超过30%"</formula>
    </cfRule>
  </conditionalFormatting>
  <conditionalFormatting sqref="E52">
    <cfRule type="expression" dxfId="22" priority="11" stopIfTrue="1">
      <formula>$F$52="超过20%"</formula>
    </cfRule>
  </conditionalFormatting>
  <conditionalFormatting sqref="E53">
    <cfRule type="expression" dxfId="21" priority="10" stopIfTrue="1">
      <formula>$F$53="超过30%"</formula>
    </cfRule>
  </conditionalFormatting>
  <conditionalFormatting sqref="G51">
    <cfRule type="expression" dxfId="20" priority="9" stopIfTrue="1">
      <formula>$H$53+$H$51="超过30%"</formula>
    </cfRule>
  </conditionalFormatting>
  <conditionalFormatting sqref="G52">
    <cfRule type="expression" dxfId="19" priority="8" stopIfTrue="1">
      <formula>$H$52="超过20%"</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F47">
    <cfRule type="expression" dxfId="15" priority="4">
      <formula>$D$47="简单平均"</formula>
    </cfRule>
  </conditionalFormatting>
  <conditionalFormatting sqref="H47">
    <cfRule type="expression" dxfId="14" priority="3">
      <formula>$D$47="简单平均"</formula>
    </cfRule>
  </conditionalFormatting>
  <conditionalFormatting sqref="J47">
    <cfRule type="expression" dxfId="13" priority="2">
      <formula>$D$47="简单平均"</formula>
    </cfRule>
  </conditionalFormatting>
  <conditionalFormatting sqref="F7:F45 H7:H45 J7:J45">
    <cfRule type="cellIs" dxfId="1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52" t="s">
        <v>2083</v>
      </c>
      <c r="D1" s="3753"/>
      <c r="E1" s="3753"/>
      <c r="F1" s="3753"/>
      <c r="G1" s="3753"/>
      <c r="H1" s="3753"/>
      <c r="I1" s="3753"/>
      <c r="J1" s="3753"/>
      <c r="K1" s="3753"/>
      <c r="L1" s="3753"/>
      <c r="M1" s="3753"/>
      <c r="N1" s="3753"/>
      <c r="O1" s="3753"/>
      <c r="P1" s="3753"/>
      <c r="Q1" s="3753"/>
      <c r="R1" s="3753"/>
      <c r="S1" s="3754"/>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2086</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39"/>
      <c r="F19" s="1339"/>
      <c r="G19" s="1339"/>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0"/>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49" t="s">
        <v>27</v>
      </c>
      <c r="D22" s="3750"/>
      <c r="E22" s="3750"/>
      <c r="F22" s="3750"/>
      <c r="G22" s="3750"/>
      <c r="H22" s="3750"/>
      <c r="I22" s="3750"/>
      <c r="J22" s="3750"/>
      <c r="K22" s="3750"/>
      <c r="L22" s="3750"/>
      <c r="M22" s="3750"/>
      <c r="N22" s="3750"/>
      <c r="O22" s="3750"/>
      <c r="P22" s="3750"/>
      <c r="Q22" s="3751"/>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2"/>
      <c r="G1" s="2792"/>
      <c r="H1" s="2792"/>
      <c r="I1" s="2792"/>
      <c r="J1" s="2792"/>
      <c r="K1" s="2792"/>
      <c r="L1" s="2792"/>
      <c r="M1" s="2792"/>
      <c r="N1" s="2792"/>
      <c r="O1" s="2792"/>
      <c r="P1" s="2792"/>
    </row>
    <row r="2" spans="1:16" ht="15.75">
      <c r="A2" s="2144" t="s">
        <v>2072</v>
      </c>
      <c r="B2" s="2601">
        <f ca="1">SUMIF(B6:B13,"&lt;&gt;#ref!",B6:B13)</f>
        <v>5030</v>
      </c>
      <c r="C2" s="2144" t="s">
        <v>2073</v>
      </c>
      <c r="D2" s="2144" t="s">
        <v>2074</v>
      </c>
      <c r="E2" s="2611">
        <f ca="1">SUMIF(E6:E13,"&lt;&gt;#ref!",E6:E13)</f>
        <v>52503.79</v>
      </c>
      <c r="F2" s="2792"/>
      <c r="G2" s="2792"/>
      <c r="H2" s="2792"/>
      <c r="I2" s="2792"/>
      <c r="J2" s="2792"/>
      <c r="K2" s="2792"/>
      <c r="L2" s="2792"/>
      <c r="M2" s="2792"/>
      <c r="N2" s="2792"/>
      <c r="O2" s="2792"/>
      <c r="P2" s="2792"/>
    </row>
    <row r="3" spans="1:16" ht="15.75">
      <c r="A3" s="2144" t="s">
        <v>2075</v>
      </c>
      <c r="B3" s="2601">
        <f ca="1">ROUND(B2*10000/E2,0)</f>
        <v>958</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5030</v>
      </c>
      <c r="C6" s="2144" t="s">
        <v>2073</v>
      </c>
      <c r="D6" s="2792"/>
      <c r="E6" s="2611">
        <f ca="1">SUMIF(INDIRECT("'"&amp;A6&amp;"'"&amp;"!C:C"),"建筑面积",INDIRECT("'"&amp;A6&amp;"'"&amp;"!D:D"))</f>
        <v>52503.79</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6" zoomScale="85" zoomScaleNormal="80" zoomScaleSheetLayoutView="85" workbookViewId="0">
      <selection activeCell="D33" sqref="D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52503.79</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5030</v>
      </c>
      <c r="C2" s="1998" t="s">
        <v>1934</v>
      </c>
      <c r="D2" s="1999" t="s">
        <v>1935</v>
      </c>
      <c r="E2" s="3421" t="s">
        <v>3</v>
      </c>
      <c r="F2" s="1999" t="s">
        <v>1936</v>
      </c>
      <c r="G2" s="2000" t="str">
        <f>IF(E2="商业",项目基本情况!B37,IF(E2="办公",项目基本情况!C37,IF(E2="住宅",项目基本情况!D37,IF(E2="工业",项目基本情况!E37,项目基本情况!F37))))</f>
        <v>九级</v>
      </c>
      <c r="H2" s="1999" t="s">
        <v>1937</v>
      </c>
      <c r="I2" s="2000" t="str">
        <f>IF(E2="商业",项目基本情况!B38,IF(E2="办公",项目基本情况!C38,IF(E2="住宅",项目基本情况!D38,IF(E2="工业",项目基本情况!E38,项目基本情况!F38))))</f>
        <v>Ⅸ-房1</v>
      </c>
      <c r="J2" s="2001"/>
      <c r="K2" s="1119"/>
      <c r="L2" s="2002" t="s">
        <v>1938</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1.5418000000000001</v>
      </c>
      <c r="T2" s="3360">
        <f t="shared" ref="T2:T16" si="0">ROUND($C$5*$C$22*$C$23*$C$24*S2*$C$28,0)</f>
        <v>1477</v>
      </c>
      <c r="U2" s="1212"/>
      <c r="V2" s="3360">
        <f>ROUND(T2*U2/10000,0)</f>
        <v>0</v>
      </c>
      <c r="W2" s="1215"/>
      <c r="X2" s="1215"/>
      <c r="Y2" s="1215"/>
      <c r="Z2" s="1215"/>
      <c r="AA2" s="1215"/>
      <c r="AB2" s="1215"/>
      <c r="AC2" s="1216"/>
      <c r="AD2" s="1217"/>
      <c r="AE2" s="1217"/>
      <c r="AF2" s="1217"/>
      <c r="AG2" s="1217"/>
      <c r="AH2" s="1217"/>
      <c r="AI2" s="1217"/>
      <c r="AJ2" s="1218"/>
    </row>
    <row r="3" spans="1:36" ht="15.75">
      <c r="A3" s="203" t="s">
        <v>1939</v>
      </c>
      <c r="B3" s="204">
        <f>ROUND(B2*10000/D1,0)</f>
        <v>958</v>
      </c>
      <c r="C3" s="1998" t="s">
        <v>1940</v>
      </c>
      <c r="D3" s="1999" t="s">
        <v>1941</v>
      </c>
      <c r="E3" s="3419" t="s">
        <v>2473</v>
      </c>
      <c r="F3" s="2003" t="s">
        <v>3375</v>
      </c>
      <c r="G3" s="752">
        <f>IF(F3="宗地容积率",'数据-汇总表'!I4,IF(F3="估价对象容积率",'数据-汇总表'!I6,'数据-汇总表'!I7))</f>
        <v>1</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1.1883999999999999</v>
      </c>
      <c r="T3" s="3360">
        <f t="shared" si="0"/>
        <v>1138</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62"/>
      <c r="B4" s="3763"/>
      <c r="C4" s="3763"/>
      <c r="D4" s="3764"/>
      <c r="E4" s="3764"/>
      <c r="F4" s="3764"/>
      <c r="G4" s="3764"/>
      <c r="H4" s="3764"/>
      <c r="I4" s="3764"/>
      <c r="J4" s="3765"/>
      <c r="K4" s="1119"/>
      <c r="L4" s="2002" t="s">
        <v>1945</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0.96940000000000004</v>
      </c>
      <c r="T4" s="3360">
        <f t="shared" si="0"/>
        <v>929</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3">
        <f>ROUND(IF(E2="商业",C6*C7*C17+C20,(IF(E2="住宅",C6*C13*C17+C20,IF(E2="办公",C6*C12*C17+C20,C6+C20)))),0)</f>
        <v>950</v>
      </c>
      <c r="D5" s="1338">
        <f>ROUND(C6*C17+C20,0)</f>
        <v>950</v>
      </c>
      <c r="E5" s="1338"/>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0.82299999999999995</v>
      </c>
      <c r="T5" s="3360">
        <f t="shared" si="0"/>
        <v>788</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4">
        <f>SUMIF(L1:L12,G2,M1:M12)</f>
        <v>950</v>
      </c>
      <c r="D6" s="2016"/>
      <c r="E6" s="2017"/>
      <c r="F6" s="2017"/>
      <c r="G6" s="2018"/>
      <c r="H6" s="2018"/>
      <c r="I6" s="2018"/>
      <c r="J6" s="2019"/>
      <c r="K6" s="1383"/>
      <c r="L6" s="2002" t="s">
        <v>1950</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0.74980000000000002</v>
      </c>
      <c r="T6" s="3360">
        <f t="shared" si="0"/>
        <v>718</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3233</v>
      </c>
      <c r="B7" s="2020" t="s">
        <v>1951</v>
      </c>
      <c r="C7" s="755" t="e">
        <f>IF(C8="不临65条商业街",1,ROUND(1+(1.6*E8+1.2*E9+0.8*E10+0.4*E11)*C9,4))</f>
        <v>#DIV/0!</v>
      </c>
      <c r="D7" s="2021" t="s">
        <v>1952</v>
      </c>
      <c r="E7" s="776"/>
      <c r="F7" s="2022"/>
      <c r="G7" s="2023"/>
      <c r="H7" s="2023"/>
      <c r="I7" s="2023"/>
      <c r="J7" s="2024"/>
      <c r="K7" s="1383"/>
      <c r="L7" s="2002" t="s">
        <v>1953</v>
      </c>
      <c r="M7" s="864">
        <f>SUMPRODUCT((区片价!B190:B233=I2)*(区片价!C3:G3=E2)*(区片价!C190:G233))</f>
        <v>0</v>
      </c>
      <c r="N7" s="866">
        <f>SUMPRODUCT((因素修正幅度!B190:B233=I2)*(因素修正幅度!C3:G3=E2)*(因素修正幅度!C190:G233))</f>
        <v>0</v>
      </c>
      <c r="O7" s="1119"/>
      <c r="P7" s="1119"/>
      <c r="Q7" s="1119"/>
      <c r="R7" s="1211">
        <v>6</v>
      </c>
      <c r="S7" s="3418"/>
      <c r="T7" s="3360">
        <f t="shared" si="0"/>
        <v>0</v>
      </c>
      <c r="U7" s="1212"/>
      <c r="V7" s="3360">
        <f t="shared" si="1"/>
        <v>0</v>
      </c>
      <c r="W7" s="1357" t="s">
        <v>1954</v>
      </c>
      <c r="X7" s="1213" t="str">
        <f>G2</f>
        <v>九级</v>
      </c>
      <c r="Y7" s="1213" t="s">
        <v>1955</v>
      </c>
      <c r="Z7" s="1214">
        <f>G3</f>
        <v>1</v>
      </c>
      <c r="AA7" s="1215"/>
      <c r="AB7" s="1215"/>
      <c r="AC7" s="1216"/>
      <c r="AD7" s="1217"/>
      <c r="AE7" s="1217"/>
      <c r="AF7" s="1217"/>
      <c r="AG7" s="1217"/>
      <c r="AH7" s="1217"/>
      <c r="AI7" s="1217"/>
      <c r="AJ7" s="1218"/>
    </row>
    <row r="8" spans="1:36" ht="15">
      <c r="A8" s="3298"/>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59" t="s">
        <v>1959</v>
      </c>
      <c r="X8" s="3760"/>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950</v>
      </c>
      <c r="N9" s="866">
        <f>SUMPRODUCT((因素修正幅度!B277:B326=I2)*(因素修正幅度!C3:G3=E2)*(因素修正幅度!C277:G326))</f>
        <v>0.14499999999999999</v>
      </c>
      <c r="O9" s="1119"/>
      <c r="P9" s="1119"/>
      <c r="Q9" s="1119"/>
      <c r="R9" s="1211">
        <v>8</v>
      </c>
      <c r="S9" s="1212"/>
      <c r="T9" s="3360">
        <f t="shared" si="0"/>
        <v>0</v>
      </c>
      <c r="U9" s="1212"/>
      <c r="V9" s="3360">
        <f t="shared" si="1"/>
        <v>0</v>
      </c>
      <c r="W9" s="3761"/>
      <c r="X9" s="3361" t="s">
        <v>3264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6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c r="D12" s="3306" t="s">
        <v>3236</v>
      </c>
      <c r="E12" s="3307" t="s">
        <v>3237</v>
      </c>
      <c r="F12" s="3308"/>
      <c r="G12" s="3309"/>
      <c r="H12" s="3309"/>
      <c r="I12" s="3309"/>
      <c r="J12" s="331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1981</v>
      </c>
      <c r="C13" s="755">
        <f>ROUND(C16*D16*E16*F16*G16*H16*I16*J16,4)</f>
        <v>0</v>
      </c>
      <c r="D13" s="2034" t="s">
        <v>1982</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1984</v>
      </c>
      <c r="C14" s="2040" t="s">
        <v>1985</v>
      </c>
      <c r="D14" s="1349" t="s">
        <v>1986</v>
      </c>
      <c r="E14" s="27" t="s">
        <v>1987</v>
      </c>
      <c r="F14" s="3311" t="s">
        <v>3239</v>
      </c>
      <c r="G14" s="3311" t="s">
        <v>3239</v>
      </c>
      <c r="H14" s="3311" t="s">
        <v>3239</v>
      </c>
      <c r="I14" s="3311" t="s">
        <v>3239</v>
      </c>
      <c r="J14" s="3311" t="s">
        <v>3239</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f>ROUND(G18/I18,2)</f>
        <v>0</v>
      </c>
      <c r="F17" s="3321" t="s">
        <v>3246</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3245</v>
      </c>
      <c r="E19" s="3337"/>
      <c r="F19" s="3338" t="s">
        <v>3248</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66" t="s">
        <v>3250</v>
      </c>
      <c r="B20" s="167" t="s">
        <v>1993</v>
      </c>
      <c r="C20" s="3324">
        <f>ROUND(IF(F21="与级别开发程度一致",0,(G21-E21)/C21),0)</f>
        <v>0</v>
      </c>
      <c r="D20" s="3340" t="s">
        <v>1997</v>
      </c>
      <c r="E20" s="3341"/>
      <c r="F20" s="3772" t="s">
        <v>1994</v>
      </c>
      <c r="G20" s="3773"/>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67"/>
      <c r="B21" s="2163" t="s">
        <v>1996</v>
      </c>
      <c r="C21" s="2164">
        <f>IF(E3="M4科研用地",SUMPRODUCT((修正!A2:A7=E3)*(修正!B1:M1=G2)*(修正!B2:M7)),SUMPRODUCT((修正!A2:A7=E2)*(修正!B1:M1=G2)*(修正!B2:M7)))</f>
        <v>1</v>
      </c>
      <c r="D21" s="187" t="str">
        <f>IF(OR(G2="八级",G2="九级",G2="十级",G2="十一级",G2="十二级"),"五通一平","七通一平")</f>
        <v>五通一平</v>
      </c>
      <c r="E21" s="2154">
        <f>SUMPRODUCT((修正!B1:M1=G2)*(修正!B17:M17))</f>
        <v>185</v>
      </c>
      <c r="F21" s="2155" t="s">
        <v>3376</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1999</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3" t="s">
        <v>2001</v>
      </c>
      <c r="E23" s="761">
        <v>44197</v>
      </c>
      <c r="F23" s="2053" t="s">
        <v>2002</v>
      </c>
      <c r="G23" s="762">
        <f>'数据-取费表'!B2</f>
        <v>45195</v>
      </c>
      <c r="H23" s="3342" t="s">
        <v>3252</v>
      </c>
      <c r="I23" s="3343" t="str">
        <f>IF(H23="季度增幅（自定义）",SUMIF(N25:N28,E2,O25:O28),"")</f>
        <v/>
      </c>
      <c r="J23" s="3445" t="s">
        <v>3251</v>
      </c>
      <c r="K23" s="1125"/>
      <c r="L23" s="2054" t="s">
        <v>2003</v>
      </c>
      <c r="M23" s="1327">
        <f>ROUND(SUMIF(地价!B2:G2,E2,地价!B16:G16),0)</f>
        <v>318</v>
      </c>
      <c r="N23" s="2055" t="s">
        <v>2004</v>
      </c>
      <c r="O23" s="763">
        <f>ROUNDDOWN(DATEDIF(E23,G23,"M")/3,0)</f>
        <v>10</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f>ROUND(POWER(1+G24,J24-I24)*(POWER(1+G24,I24)-1)/(POWER(1+G24,J24)-1),4)</f>
        <v>0.93110000000000004</v>
      </c>
      <c r="D24" s="2059" t="s">
        <v>2006</v>
      </c>
      <c r="E24" s="1334">
        <f>存贷款利率!E24/100</f>
        <v>4.3499999999999997E-2</v>
      </c>
      <c r="F24" s="2059" t="s">
        <v>1998</v>
      </c>
      <c r="G24" s="768">
        <f>SUMIF(M30:Q30,E2,M33:Q33)</f>
        <v>0.05</v>
      </c>
      <c r="H24" s="2059" t="s">
        <v>2007</v>
      </c>
      <c r="I24" s="769">
        <f>SUMIF('数据-取费表'!C6:C15,E2,'数据-取费表'!F6:F15)/COUNTIF('数据-取费表'!C6:C15,E2)</f>
        <v>38.869999999999997</v>
      </c>
      <c r="J24" s="770">
        <f>IF(E2="住宅",70,IF(E2="商业",40,50))</f>
        <v>50</v>
      </c>
      <c r="K24" s="1125"/>
      <c r="L24" s="2060" t="s">
        <v>2008</v>
      </c>
      <c r="M24" s="1328">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3331</v>
      </c>
      <c r="C25" s="771">
        <f>IF(B25="容积率修正",IF(G3&lt;10,D26,J26),C27)</f>
        <v>1</v>
      </c>
      <c r="D25" s="2066"/>
      <c r="E25" s="2066"/>
      <c r="F25" s="2066"/>
      <c r="G25" s="2066"/>
      <c r="H25" s="2066"/>
      <c r="I25" s="2066"/>
      <c r="J25" s="2067"/>
      <c r="K25" s="1125"/>
      <c r="L25" s="2787"/>
      <c r="M25" s="2787"/>
      <c r="N25" s="2068"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44" t="s">
        <v>3253</v>
      </c>
      <c r="D26" s="1351">
        <f>IF(E26=G26,F26,IF(G3&lt;10,ROUND(F26+(H26-F26)*(G3-E26)/(G26-E26),4),"——"))</f>
        <v>1</v>
      </c>
      <c r="E26" s="752">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3254</v>
      </c>
      <c r="J26" s="772" t="str">
        <f>IF(G3&gt;=10,D115,"——")</f>
        <v>——</v>
      </c>
      <c r="K26" s="1125"/>
      <c r="L26" s="2787"/>
      <c r="M26" s="278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1.0187999999999999</v>
      </c>
      <c r="D28" s="2051"/>
      <c r="E28" s="2076"/>
      <c r="F28" s="2076"/>
      <c r="G28" s="2076"/>
      <c r="H28" s="2076"/>
      <c r="I28" s="2076"/>
      <c r="J28" s="2077"/>
      <c r="K28" s="1125"/>
      <c r="L28" s="2787"/>
      <c r="M28" s="278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f>IF(B25="容积率修正",E33+SUM(E37:E42),SUM(V2:V16)+SUM(E37:E42))</f>
        <v>5030</v>
      </c>
      <c r="D30" s="2082"/>
      <c r="E30" s="2045"/>
      <c r="F30" s="2083"/>
      <c r="G30" s="2045"/>
      <c r="H30" s="2045"/>
      <c r="I30" s="2045"/>
      <c r="J30" s="2084"/>
      <c r="K30" s="1119"/>
      <c r="L30" s="3350" t="s">
        <v>1935</v>
      </c>
      <c r="M30" s="3351" t="s">
        <v>1989</v>
      </c>
      <c r="N30" s="3351" t="s">
        <v>1990</v>
      </c>
      <c r="O30" s="3351" t="s">
        <v>1991</v>
      </c>
      <c r="P30" s="3351" t="s">
        <v>1992</v>
      </c>
      <c r="Q30" s="3354" t="s">
        <v>3258</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f>E34+SUM(I37:I42)</f>
        <v>0</v>
      </c>
      <c r="D31" s="2086"/>
      <c r="E31" s="2087"/>
      <c r="F31" s="2088"/>
      <c r="G31" s="2087"/>
      <c r="H31" s="2087"/>
      <c r="I31" s="2087"/>
      <c r="J31" s="2089"/>
      <c r="K31" s="1119"/>
      <c r="L31" s="3352" t="s">
        <v>1995</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f>ROUND(C5*C22*C23*C24*C25*C28,0)</f>
        <v>958</v>
      </c>
      <c r="D33" s="2097">
        <f>'数据-汇总表'!D3</f>
        <v>52503.79</v>
      </c>
      <c r="E33" s="773">
        <f>ROUND(C33*D33/10000,0)</f>
        <v>5030</v>
      </c>
      <c r="F33" s="3345" t="s">
        <v>3256</v>
      </c>
      <c r="G33" s="2098"/>
      <c r="H33" s="2098"/>
      <c r="I33" s="2098"/>
      <c r="J33" s="2099"/>
      <c r="K33" s="1119"/>
      <c r="L33" s="3348" t="s">
        <v>3259</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f>ROUND(IF(E2="工业",C33*M42,IF(B25="楼层修正",SUM(V2:V16)*M41*10000/D34,C33*M41)),0)</f>
        <v>144</v>
      </c>
      <c r="D34" s="2102"/>
      <c r="E34" s="773">
        <f>ROUND(IF(B25="楼层修正",SUM(V2:V16)*M40,C34*D34/10000),0)</f>
        <v>0</v>
      </c>
      <c r="F34" s="2103" t="s">
        <v>2031</v>
      </c>
      <c r="G34" s="2104"/>
      <c r="H34" s="2104"/>
      <c r="I34" s="2104"/>
      <c r="J34" s="2105"/>
      <c r="K34" s="1119"/>
      <c r="L34" s="3348" t="s">
        <v>3260</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6" t="s">
        <v>3257</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6" t="s">
        <v>3261</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70"/>
      <c r="B37" s="2112" t="s">
        <v>2035</v>
      </c>
      <c r="C37" s="175">
        <f>ROUND(D5*C22*C23*C24*C28*F37,0)</f>
        <v>479</v>
      </c>
      <c r="D37" s="2097"/>
      <c r="E37" s="171">
        <f>ROUND(C37*D37/10000,0)</f>
        <v>0</v>
      </c>
      <c r="F37" s="171">
        <f>SUMIF(修正!A57:A68,G2,修正!B57:B68)</f>
        <v>0.5</v>
      </c>
      <c r="G37" s="171">
        <f>ROUND(IF(E2="工业",C37*$M$42,C37*$M$41),0)</f>
        <v>72</v>
      </c>
      <c r="H37" s="171">
        <f>D37</f>
        <v>0</v>
      </c>
      <c r="I37" s="171">
        <f>ROUND(G37*H37/10000,0)</f>
        <v>0</v>
      </c>
      <c r="J37" s="3011"/>
      <c r="K37" s="3358" t="s">
        <v>3262</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71"/>
      <c r="B38" s="2040" t="s">
        <v>2036</v>
      </c>
      <c r="C38" s="175">
        <f>ROUND(D5*C22*C23*C24*C28*F38,0)</f>
        <v>192</v>
      </c>
      <c r="D38" s="2097"/>
      <c r="E38" s="171">
        <f t="shared" ref="E38:E42" si="4">ROUND(C38*D38/10000,0)</f>
        <v>0</v>
      </c>
      <c r="F38" s="171">
        <f>SUMIF(修正!A57:A68,G2,修正!C57:C68)</f>
        <v>0.2</v>
      </c>
      <c r="G38" s="171">
        <f>ROUND(IF(E2="工业",C38*$M$42,C38*$M$41),0)</f>
        <v>29</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1"/>
      <c r="B39" s="2040" t="s">
        <v>3255</v>
      </c>
      <c r="C39" s="175">
        <f>ROUND(D5*C22*C23*C24*C28*F39,0)</f>
        <v>192</v>
      </c>
      <c r="D39" s="2097"/>
      <c r="E39" s="171">
        <f t="shared" si="4"/>
        <v>0</v>
      </c>
      <c r="F39" s="171">
        <f>SUMIF(修正!A57:A68,G2,修正!D57:D68)</f>
        <v>0.2</v>
      </c>
      <c r="G39" s="171">
        <f>ROUND(IF(E2="工业",C39*$M$42,C39*$M$41),0)</f>
        <v>29</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192</v>
      </c>
      <c r="D40" s="2097"/>
      <c r="E40" s="171">
        <f t="shared" si="4"/>
        <v>0</v>
      </c>
      <c r="F40" s="175">
        <f>SUMIF(修正!A57:A68,G2,修正!E57:E68)</f>
        <v>0.2</v>
      </c>
      <c r="G40" s="171">
        <f>ROUND(IF(E2="工业",C40*$M$42,C40*$M$41),0)</f>
        <v>29</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192</v>
      </c>
      <c r="D41" s="2097"/>
      <c r="E41" s="171">
        <f t="shared" si="4"/>
        <v>0</v>
      </c>
      <c r="F41" s="175">
        <f>SUMIF(修正!A57:A68,G2,修正!F57:F68)</f>
        <v>0.2</v>
      </c>
      <c r="G41" s="171">
        <f>ROUND(IF(E2="工业",C41*$M$42,C41*$M$41),0)</f>
        <v>29</v>
      </c>
      <c r="H41" s="171">
        <f t="shared" si="5"/>
        <v>0</v>
      </c>
      <c r="I41" s="171">
        <f t="shared" si="6"/>
        <v>0</v>
      </c>
      <c r="J41" s="2113"/>
      <c r="L41" s="3359" t="s">
        <v>3263</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96</v>
      </c>
      <c r="D42" s="2102"/>
      <c r="E42" s="187">
        <f t="shared" si="4"/>
        <v>0</v>
      </c>
      <c r="F42" s="767">
        <f>SUMIF(修正!A57:A68,G2,修正!G57:G68)</f>
        <v>0.1</v>
      </c>
      <c r="G42" s="187">
        <f>ROUND(IF(E2="工业",C42*$M$42,C42*$M$41),0)</f>
        <v>14</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0.93110000000000004</v>
      </c>
      <c r="D44" s="171" t="s">
        <v>1998</v>
      </c>
      <c r="E44" s="2152">
        <f>G24</f>
        <v>0.05</v>
      </c>
      <c r="F44" s="171" t="s">
        <v>2007</v>
      </c>
      <c r="G44" s="183">
        <f>项目基本情况!H15</f>
        <v>38.869999999999997</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2042</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2043</v>
      </c>
      <c r="B49" s="1350" t="s">
        <v>2044</v>
      </c>
      <c r="C49" s="1350" t="s">
        <v>2045</v>
      </c>
      <c r="D49" s="1350" t="s">
        <v>2046</v>
      </c>
      <c r="E49" s="743" t="s">
        <v>2047</v>
      </c>
      <c r="F49" s="2130" t="s">
        <v>2048</v>
      </c>
      <c r="G49" s="1350" t="s">
        <v>310</v>
      </c>
      <c r="H49" s="2131" t="s">
        <v>2049</v>
      </c>
      <c r="I49" s="1350"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29" t="s">
        <v>2051</v>
      </c>
      <c r="B50" s="2132">
        <f>估价对象房地状况!C4</f>
        <v>0</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29" t="s">
        <v>2052</v>
      </c>
      <c r="B51" s="2133">
        <f>估价对象房地状况!C18</f>
        <v>0</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3265</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2053</v>
      </c>
      <c r="B53" s="2134" t="s">
        <v>2054</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2056</v>
      </c>
      <c r="B55" s="2135" t="s">
        <v>2057</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6" t="s">
        <v>2058</v>
      </c>
      <c r="B56" s="1325">
        <f>估价对象房地状况!C21</f>
        <v>0</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6" t="s">
        <v>2059</v>
      </c>
      <c r="B57" s="2133">
        <f>估价对象房地状况!C22</f>
        <v>0</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7" t="s">
        <v>2060</v>
      </c>
      <c r="B58" s="2138">
        <f>估价对象房地状况!C20</f>
        <v>0</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0"/>
      <c r="C60" s="1350" t="s">
        <v>2045</v>
      </c>
      <c r="D60" s="1350" t="s">
        <v>2046</v>
      </c>
      <c r="E60" s="743" t="s">
        <v>2047</v>
      </c>
      <c r="F60" s="2130" t="s">
        <v>2062</v>
      </c>
      <c r="G60" s="1350" t="s">
        <v>310</v>
      </c>
      <c r="H60" s="2131" t="s">
        <v>2049</v>
      </c>
      <c r="I60" s="1350"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29" t="s">
        <v>2063</v>
      </c>
      <c r="B61" s="2132">
        <f>估价对象房地状况!C17</f>
        <v>0</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9" t="s">
        <v>2052</v>
      </c>
      <c r="B62" s="2133">
        <f>估价对象房地状况!C18</f>
        <v>0</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3265</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2053</v>
      </c>
      <c r="B64" s="2134" t="s">
        <v>2054</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2056</v>
      </c>
      <c r="B66" s="2135" t="s">
        <v>2057</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9" t="s">
        <v>2058</v>
      </c>
      <c r="B67" s="1325">
        <f>估价对象房地状况!C21</f>
        <v>0</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9" t="s">
        <v>2059</v>
      </c>
      <c r="B68" s="1325">
        <f>估价对象房地状况!C22</f>
        <v>0</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7" t="s">
        <v>2060</v>
      </c>
      <c r="B69" s="2139">
        <f>估价对象房地状况!C20</f>
        <v>0</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0"/>
      <c r="C71" s="1350" t="s">
        <v>2045</v>
      </c>
      <c r="D71" s="1350" t="s">
        <v>2046</v>
      </c>
      <c r="E71" s="743" t="s">
        <v>2047</v>
      </c>
      <c r="F71" s="2130" t="s">
        <v>2062</v>
      </c>
      <c r="G71" s="1350" t="s">
        <v>310</v>
      </c>
      <c r="H71" s="2131" t="s">
        <v>2049</v>
      </c>
      <c r="I71" s="1350"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29" t="s">
        <v>2065</v>
      </c>
      <c r="B72" s="2132">
        <f>估价对象房地状况!C15</f>
        <v>0</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9" t="s">
        <v>2052</v>
      </c>
      <c r="B73" s="2133">
        <f>估价对象房地状况!C18</f>
        <v>0</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3265</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4">
      <c r="A76" s="2129" t="s">
        <v>2058</v>
      </c>
      <c r="B76" s="1325">
        <f>估价对象房地状况!C21</f>
        <v>0</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4">
      <c r="A77" s="2129" t="s">
        <v>2059</v>
      </c>
      <c r="B77" s="1325">
        <f>估价对象房地状况!C22</f>
        <v>0</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2056</v>
      </c>
      <c r="B78" s="2135" t="s">
        <v>2057</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4">
      <c r="A79" s="2129" t="s">
        <v>2060</v>
      </c>
      <c r="B79" s="2132">
        <f>估价对象房地状况!C20</f>
        <v>0</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2067</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2068</v>
      </c>
      <c r="B81" s="2126">
        <f>1+E83</f>
        <v>1.0187999999999999</v>
      </c>
      <c r="C81" s="741"/>
      <c r="D81" s="741"/>
      <c r="E81" s="742"/>
      <c r="F81" s="2128"/>
      <c r="G81" s="3"/>
      <c r="H81" s="3"/>
      <c r="I81" s="3"/>
      <c r="J81" s="4"/>
      <c r="K81" s="4"/>
      <c r="L81" s="4"/>
      <c r="M81" s="4"/>
      <c r="N81" s="4"/>
      <c r="Z81" s="1997"/>
      <c r="AA81" s="2052"/>
      <c r="AG81" s="1121"/>
      <c r="AK81" s="2052"/>
    </row>
    <row r="82" spans="1:37" ht="24.75">
      <c r="A82" s="2129" t="s">
        <v>2043</v>
      </c>
      <c r="B82" s="1350"/>
      <c r="C82" s="1350" t="s">
        <v>2045</v>
      </c>
      <c r="D82" s="1350" t="s">
        <v>2046</v>
      </c>
      <c r="E82" s="743" t="s">
        <v>2047</v>
      </c>
      <c r="F82" s="2130" t="s">
        <v>2062</v>
      </c>
      <c r="G82" s="1350" t="s">
        <v>310</v>
      </c>
      <c r="H82" s="2131" t="s">
        <v>2049</v>
      </c>
      <c r="I82" s="1350" t="s">
        <v>2050</v>
      </c>
      <c r="J82" s="552" t="s">
        <v>1721</v>
      </c>
      <c r="K82" s="552" t="s">
        <v>1722</v>
      </c>
      <c r="L82" s="552" t="s">
        <v>1723</v>
      </c>
      <c r="M82" s="552" t="s">
        <v>1724</v>
      </c>
      <c r="N82" s="552" t="s">
        <v>1725</v>
      </c>
      <c r="Z82" s="1997"/>
      <c r="AA82" s="2052"/>
      <c r="AG82" s="1121"/>
      <c r="AK82" s="2052"/>
    </row>
    <row r="83" spans="1:37" ht="24">
      <c r="A83" s="2129" t="s">
        <v>2069</v>
      </c>
      <c r="B83" s="2133">
        <f>估价对象房地状况!G15</f>
        <v>0</v>
      </c>
      <c r="C83" s="2043" t="s">
        <v>3377</v>
      </c>
      <c r="D83" s="1065">
        <f t="shared" ref="D83:D90" si="22">SUMIF($J$82:$N$82,C83,J83:N83)</f>
        <v>1.8800000000000001E-2</v>
      </c>
      <c r="E83" s="744">
        <f>ROUND(SUM(D83:D90),4)</f>
        <v>1.8800000000000001E-2</v>
      </c>
      <c r="F83" s="1813">
        <f>IF(E2="工业",SUMIF(L1:L12,G2,N1:N12),"——")</f>
        <v>0.14499999999999999</v>
      </c>
      <c r="G83" s="1063">
        <f>H83</f>
        <v>1.8800000000000001E-2</v>
      </c>
      <c r="H83" s="1066">
        <f t="shared" ref="H83:H90" si="23">IFERROR(ROUNDDOWN($F$83*I83/2,4),"——")</f>
        <v>1.8800000000000001E-2</v>
      </c>
      <c r="I83" s="3366">
        <v>0.26</v>
      </c>
      <c r="J83" s="1064">
        <f t="shared" ref="J83:J90" si="24">K83+$G83</f>
        <v>3.7600000000000001E-2</v>
      </c>
      <c r="K83" s="1064">
        <f t="shared" ref="K83:K90" si="25">$L83+$G83</f>
        <v>1.8800000000000001E-2</v>
      </c>
      <c r="L83" s="1064">
        <v>0</v>
      </c>
      <c r="M83" s="1064">
        <f t="shared" ref="M83:N90" si="26">L83-$G83</f>
        <v>-1.8800000000000001E-2</v>
      </c>
      <c r="N83" s="1064">
        <f t="shared" si="26"/>
        <v>-3.7600000000000001E-2</v>
      </c>
      <c r="Z83" s="1997"/>
      <c r="AA83" s="2052"/>
      <c r="AG83" s="1121"/>
      <c r="AK83" s="2052"/>
    </row>
    <row r="84" spans="1:37" ht="14.25">
      <c r="A84" s="2129" t="s">
        <v>2052</v>
      </c>
      <c r="B84" s="2133">
        <f>估价对象房地状况!G16</f>
        <v>0</v>
      </c>
      <c r="C84" s="2043" t="s">
        <v>3378</v>
      </c>
      <c r="D84" s="1065">
        <f t="shared" si="22"/>
        <v>0</v>
      </c>
      <c r="E84" s="747"/>
      <c r="F84" s="1813"/>
      <c r="G84" s="1063">
        <f t="shared" ref="G84:G90" si="27">H84</f>
        <v>2.1700000000000001E-2</v>
      </c>
      <c r="H84" s="1066">
        <f t="shared" si="23"/>
        <v>2.1700000000000001E-2</v>
      </c>
      <c r="I84" s="3366">
        <v>0.3</v>
      </c>
      <c r="J84" s="1064">
        <f t="shared" si="24"/>
        <v>4.3400000000000001E-2</v>
      </c>
      <c r="K84" s="1064">
        <f t="shared" si="25"/>
        <v>2.1700000000000001E-2</v>
      </c>
      <c r="L84" s="1064">
        <v>0</v>
      </c>
      <c r="M84" s="1064">
        <f t="shared" si="26"/>
        <v>-2.1700000000000001E-2</v>
      </c>
      <c r="N84" s="1064">
        <f t="shared" si="26"/>
        <v>-4.3400000000000001E-2</v>
      </c>
      <c r="Z84" s="1997"/>
      <c r="AA84" s="2052"/>
      <c r="AG84" s="1121"/>
      <c r="AK84" s="2052"/>
    </row>
    <row r="85" spans="1:37" ht="36">
      <c r="A85" s="3368" t="s">
        <v>3266</v>
      </c>
      <c r="B85" s="2133">
        <f>估价对象房地状况!G17</f>
        <v>0</v>
      </c>
      <c r="C85" s="2043" t="s">
        <v>3378</v>
      </c>
      <c r="D85" s="1065">
        <f t="shared" si="22"/>
        <v>0</v>
      </c>
      <c r="E85" s="747"/>
      <c r="F85" s="1813"/>
      <c r="G85" s="1063">
        <f t="shared" si="27"/>
        <v>7.1999999999999998E-3</v>
      </c>
      <c r="H85" s="1066">
        <f t="shared" si="23"/>
        <v>7.1999999999999998E-3</v>
      </c>
      <c r="I85" s="3366">
        <v>0.1</v>
      </c>
      <c r="J85" s="1064">
        <f t="shared" si="24"/>
        <v>1.44E-2</v>
      </c>
      <c r="K85" s="1064">
        <f t="shared" si="25"/>
        <v>7.1999999999999998E-3</v>
      </c>
      <c r="L85" s="1064">
        <v>0</v>
      </c>
      <c r="M85" s="1064">
        <f t="shared" si="26"/>
        <v>-7.1999999999999998E-3</v>
      </c>
      <c r="N85" s="1064">
        <f t="shared" si="26"/>
        <v>-1.44E-2</v>
      </c>
      <c r="Z85" s="1997"/>
      <c r="AA85" s="2052"/>
      <c r="AG85" s="1121"/>
      <c r="AK85" s="2052"/>
    </row>
    <row r="86" spans="1:37" ht="14.25">
      <c r="A86" s="2129" t="s">
        <v>2066</v>
      </c>
      <c r="B86" s="2133">
        <f>估价对象房地状况!G22</f>
        <v>0</v>
      </c>
      <c r="C86" s="2043" t="s">
        <v>3378</v>
      </c>
      <c r="D86" s="1065">
        <f t="shared" si="22"/>
        <v>0</v>
      </c>
      <c r="E86" s="747"/>
      <c r="F86" s="1813"/>
      <c r="G86" s="1063">
        <f t="shared" si="27"/>
        <v>3.5999999999999999E-3</v>
      </c>
      <c r="H86" s="1066">
        <f t="shared" si="23"/>
        <v>3.5999999999999999E-3</v>
      </c>
      <c r="I86" s="3366">
        <v>0.05</v>
      </c>
      <c r="J86" s="1064">
        <f t="shared" si="24"/>
        <v>7.1999999999999998E-3</v>
      </c>
      <c r="K86" s="1064">
        <f t="shared" si="25"/>
        <v>3.5999999999999999E-3</v>
      </c>
      <c r="L86" s="1064">
        <v>0</v>
      </c>
      <c r="M86" s="1064">
        <f t="shared" si="26"/>
        <v>-3.5999999999999999E-3</v>
      </c>
      <c r="N86" s="1064">
        <f t="shared" si="26"/>
        <v>-7.1999999999999998E-3</v>
      </c>
      <c r="Z86" s="1997"/>
      <c r="AA86" s="2052"/>
      <c r="AG86" s="1121"/>
      <c r="AK86" s="2052"/>
    </row>
    <row r="87" spans="1:37" ht="24">
      <c r="A87" s="2129" t="s">
        <v>2058</v>
      </c>
      <c r="B87" s="1325">
        <f>估价对象房地状况!G19</f>
        <v>0</v>
      </c>
      <c r="C87" s="2043" t="s">
        <v>3379</v>
      </c>
      <c r="D87" s="1065">
        <f t="shared" si="22"/>
        <v>-4.3E-3</v>
      </c>
      <c r="E87" s="747"/>
      <c r="F87" s="1813"/>
      <c r="G87" s="1063">
        <f t="shared" si="27"/>
        <v>4.3E-3</v>
      </c>
      <c r="H87" s="1066">
        <f t="shared" si="23"/>
        <v>4.3E-3</v>
      </c>
      <c r="I87" s="3366">
        <v>0.06</v>
      </c>
      <c r="J87" s="1064">
        <f t="shared" si="24"/>
        <v>8.6E-3</v>
      </c>
      <c r="K87" s="1064">
        <f t="shared" si="25"/>
        <v>4.3E-3</v>
      </c>
      <c r="L87" s="1064">
        <v>0</v>
      </c>
      <c r="M87" s="1064">
        <f t="shared" si="26"/>
        <v>-4.3E-3</v>
      </c>
      <c r="N87" s="1064">
        <f t="shared" si="26"/>
        <v>-8.6E-3</v>
      </c>
    </row>
    <row r="88" spans="1:37" ht="24">
      <c r="A88" s="2129" t="s">
        <v>2059</v>
      </c>
      <c r="B88" s="1325">
        <f>估价对象房地状况!G20</f>
        <v>0</v>
      </c>
      <c r="C88" s="2043" t="s">
        <v>3378</v>
      </c>
      <c r="D88" s="1065">
        <f t="shared" si="22"/>
        <v>0</v>
      </c>
      <c r="E88" s="747"/>
      <c r="F88" s="1813"/>
      <c r="G88" s="1063">
        <f t="shared" si="27"/>
        <v>8.6999999999999994E-3</v>
      </c>
      <c r="H88" s="1066">
        <f t="shared" si="23"/>
        <v>8.6999999999999994E-3</v>
      </c>
      <c r="I88" s="3366">
        <v>0.12</v>
      </c>
      <c r="J88" s="1064">
        <f t="shared" si="24"/>
        <v>1.7399999999999999E-2</v>
      </c>
      <c r="K88" s="1064">
        <f t="shared" si="25"/>
        <v>8.6999999999999994E-3</v>
      </c>
      <c r="L88" s="1064">
        <v>0</v>
      </c>
      <c r="M88" s="1064">
        <f t="shared" si="26"/>
        <v>-8.6999999999999994E-3</v>
      </c>
      <c r="N88" s="1064">
        <f t="shared" si="26"/>
        <v>-1.7399999999999999E-2</v>
      </c>
    </row>
    <row r="89" spans="1:37" ht="24">
      <c r="A89" s="2129" t="s">
        <v>2056</v>
      </c>
      <c r="B89" s="2135" t="s">
        <v>2070</v>
      </c>
      <c r="C89" s="2043" t="s">
        <v>3377</v>
      </c>
      <c r="D89" s="1065">
        <f t="shared" si="22"/>
        <v>4.3E-3</v>
      </c>
      <c r="E89" s="747"/>
      <c r="F89" s="1813"/>
      <c r="G89" s="1063">
        <f t="shared" si="27"/>
        <v>4.3E-3</v>
      </c>
      <c r="H89" s="1066">
        <f t="shared" si="23"/>
        <v>4.3E-3</v>
      </c>
      <c r="I89" s="3366">
        <v>0.06</v>
      </c>
      <c r="J89" s="1064">
        <f t="shared" si="24"/>
        <v>8.6E-3</v>
      </c>
      <c r="K89" s="1064">
        <f t="shared" si="25"/>
        <v>4.3E-3</v>
      </c>
      <c r="L89" s="1064">
        <v>0</v>
      </c>
      <c r="M89" s="1064">
        <f t="shared" si="26"/>
        <v>-4.3E-3</v>
      </c>
      <c r="N89" s="1064">
        <f t="shared" si="26"/>
        <v>-8.6E-3</v>
      </c>
    </row>
    <row r="90" spans="1:37" ht="15" thickBot="1">
      <c r="A90" s="2137" t="s">
        <v>2071</v>
      </c>
      <c r="B90" s="2142">
        <f>估价对象房地状况!G18</f>
        <v>0</v>
      </c>
      <c r="C90" s="2043" t="s">
        <v>3378</v>
      </c>
      <c r="D90" s="1065">
        <f t="shared" si="22"/>
        <v>0</v>
      </c>
      <c r="E90" s="748"/>
      <c r="F90" s="1813"/>
      <c r="G90" s="1063">
        <f t="shared" si="27"/>
        <v>3.5999999999999999E-3</v>
      </c>
      <c r="H90" s="1066">
        <f t="shared" si="23"/>
        <v>3.5999999999999999E-3</v>
      </c>
      <c r="I90" s="3367">
        <v>0.05</v>
      </c>
      <c r="J90" s="1064">
        <f t="shared" si="24"/>
        <v>7.1999999999999998E-3</v>
      </c>
      <c r="K90" s="1064">
        <f t="shared" si="25"/>
        <v>3.5999999999999999E-3</v>
      </c>
      <c r="L90" s="1064">
        <v>0</v>
      </c>
      <c r="M90" s="1064">
        <f t="shared" si="26"/>
        <v>-3.5999999999999999E-3</v>
      </c>
      <c r="N90" s="1064">
        <f t="shared" si="26"/>
        <v>-7.1999999999999998E-3</v>
      </c>
    </row>
    <row r="91" spans="1:37" ht="15">
      <c r="A91" s="3376" t="s">
        <v>2606</v>
      </c>
      <c r="B91" s="3377">
        <f>1+E93</f>
        <v>1</v>
      </c>
      <c r="C91" s="3370"/>
      <c r="D91" s="3371"/>
      <c r="E91" s="1813"/>
      <c r="F91" s="1813"/>
      <c r="G91" s="3372"/>
      <c r="H91" s="3373"/>
      <c r="I91" s="3374"/>
      <c r="J91" s="3375"/>
      <c r="K91" s="3375"/>
      <c r="L91" s="3375"/>
      <c r="M91" s="3375"/>
      <c r="N91" s="3375"/>
    </row>
    <row r="92" spans="1:37" ht="24.75">
      <c r="A92" s="3378" t="s">
        <v>3267</v>
      </c>
      <c r="B92" s="3365"/>
      <c r="C92" s="3365" t="s">
        <v>3276</v>
      </c>
      <c r="D92" s="3365" t="s">
        <v>3277</v>
      </c>
      <c r="E92" s="3347" t="s">
        <v>3278</v>
      </c>
      <c r="F92" s="3380" t="s">
        <v>3279</v>
      </c>
      <c r="G92" s="3365" t="s">
        <v>3280</v>
      </c>
      <c r="H92" s="3387" t="s">
        <v>3283</v>
      </c>
      <c r="I92" s="3365" t="s">
        <v>3284</v>
      </c>
      <c r="J92" s="3388" t="s">
        <v>3285</v>
      </c>
      <c r="K92" s="3388" t="s">
        <v>3286</v>
      </c>
      <c r="L92" s="3388" t="s">
        <v>3287</v>
      </c>
      <c r="M92" s="3388" t="s">
        <v>3288</v>
      </c>
      <c r="N92" s="3388" t="s">
        <v>3289</v>
      </c>
    </row>
    <row r="93" spans="1:37" ht="24">
      <c r="A93" s="3368" t="s">
        <v>3268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14.25">
      <c r="A94" s="3378" t="s">
        <v>3269</v>
      </c>
      <c r="B94" s="3369">
        <f>估价对象房地状况!C18</f>
        <v>0</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3265</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3270</v>
      </c>
      <c r="B96" s="3384" t="s">
        <v>3281</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3271</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3272</v>
      </c>
      <c r="B98" s="3385" t="s">
        <v>3282</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4">
      <c r="A99" s="3378" t="s">
        <v>3273</v>
      </c>
      <c r="B99" s="3369">
        <f>估价对象房地状况!C21</f>
        <v>0</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4">
      <c r="A100" s="3378" t="s">
        <v>3274</v>
      </c>
      <c r="B100" s="3369">
        <f>估价对象房地状况!C22</f>
        <v>0</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4.75" thickBot="1">
      <c r="A101" s="3379" t="s">
        <v>3275</v>
      </c>
      <c r="B101" s="3386">
        <f>估价对象房地状况!C20</f>
        <v>0</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68" t="s">
        <v>3290</v>
      </c>
      <c r="B103" s="3768"/>
      <c r="C103" s="3768"/>
      <c r="D103" s="3768"/>
      <c r="E103" s="3768"/>
      <c r="F103" s="3768"/>
      <c r="G103" s="3768"/>
      <c r="H103" s="3768"/>
      <c r="I103" s="3768"/>
      <c r="J103" s="3768"/>
      <c r="K103" s="3389"/>
      <c r="L103" s="3389"/>
      <c r="M103" s="3389"/>
      <c r="N103" s="3389"/>
    </row>
    <row r="104" spans="1:14">
      <c r="A104" s="3769" t="s">
        <v>3291</v>
      </c>
      <c r="B104" s="3769" t="s">
        <v>3292</v>
      </c>
      <c r="C104" s="3390" t="s">
        <v>3293</v>
      </c>
      <c r="D104" s="3391"/>
      <c r="E104" s="3391"/>
      <c r="F104" s="3391"/>
      <c r="G104" s="3391"/>
      <c r="H104" s="3391"/>
      <c r="I104" s="3391"/>
      <c r="J104" s="3392"/>
      <c r="K104" s="3393"/>
      <c r="L104" s="3393"/>
      <c r="M104" s="3393"/>
      <c r="N104" s="3393"/>
    </row>
    <row r="105" spans="1:14">
      <c r="A105" s="3769"/>
      <c r="B105" s="3769"/>
      <c r="C105" s="3394" t="s">
        <v>3294</v>
      </c>
      <c r="D105" s="3394" t="s">
        <v>3295</v>
      </c>
      <c r="E105" s="3394" t="s">
        <v>3296</v>
      </c>
      <c r="F105" s="3394" t="s">
        <v>3297</v>
      </c>
      <c r="G105" s="3394" t="s">
        <v>3298</v>
      </c>
      <c r="H105" s="3394" t="s">
        <v>3299</v>
      </c>
      <c r="I105" s="3394" t="s">
        <v>3300</v>
      </c>
      <c r="J105" s="3394" t="s">
        <v>3301</v>
      </c>
      <c r="K105" s="3394" t="s">
        <v>3302</v>
      </c>
      <c r="L105" s="3394" t="s">
        <v>3303</v>
      </c>
      <c r="M105" s="3394" t="s">
        <v>3304</v>
      </c>
      <c r="N105" s="3394" t="s">
        <v>3305</v>
      </c>
    </row>
    <row r="106" spans="1:14">
      <c r="A106" s="3755" t="s">
        <v>3306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6"/>
      <c r="B111" s="3394" t="s">
        <v>3264</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57"/>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58" t="s">
        <v>3307</v>
      </c>
      <c r="B113" s="3758"/>
      <c r="C113" s="3758"/>
      <c r="D113" s="3758"/>
      <c r="E113" s="3758"/>
      <c r="F113" s="3758"/>
      <c r="G113" s="3758"/>
      <c r="H113" s="3758"/>
      <c r="I113" s="3758"/>
      <c r="J113" s="375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3308</v>
      </c>
      <c r="B116" s="3415">
        <f>G3</f>
        <v>1</v>
      </c>
      <c r="C116" s="3399" t="s">
        <v>3309</v>
      </c>
      <c r="D116" s="3400">
        <f>SUMPRODUCT((A118:A122=F116)*(B117:M117=H116)*B118:M122)</f>
        <v>0.57150000000000001</v>
      </c>
      <c r="E116" s="1999" t="s">
        <v>3310</v>
      </c>
      <c r="F116" s="3401" t="str">
        <f>E2</f>
        <v>工业</v>
      </c>
      <c r="G116" s="1999" t="s">
        <v>3311</v>
      </c>
      <c r="H116" s="3401" t="str">
        <f>G2</f>
        <v>九级</v>
      </c>
      <c r="I116" s="1999"/>
      <c r="J116" s="3402"/>
      <c r="K116" s="3402"/>
      <c r="L116" s="3402"/>
      <c r="M116" s="3402"/>
      <c r="N116" s="3397"/>
    </row>
    <row r="117" spans="1:14">
      <c r="A117" s="3403"/>
      <c r="B117" s="3404" t="s">
        <v>3312</v>
      </c>
      <c r="C117" s="3404" t="s">
        <v>3313</v>
      </c>
      <c r="D117" s="3404" t="s">
        <v>3314</v>
      </c>
      <c r="E117" s="3405" t="s">
        <v>3315</v>
      </c>
      <c r="F117" s="3405" t="s">
        <v>3316</v>
      </c>
      <c r="G117" s="3405" t="s">
        <v>3317</v>
      </c>
      <c r="H117" s="3406" t="s">
        <v>3318</v>
      </c>
      <c r="I117" s="3406" t="s">
        <v>3319</v>
      </c>
      <c r="J117" s="3407" t="s">
        <v>3320</v>
      </c>
      <c r="K117" s="3407" t="s">
        <v>3321</v>
      </c>
      <c r="L117" s="3407" t="s">
        <v>3322</v>
      </c>
      <c r="M117" s="3408" t="s">
        <v>3323</v>
      </c>
      <c r="N117" s="3397"/>
    </row>
    <row r="118" spans="1:14">
      <c r="A118" s="3409" t="s">
        <v>3324</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3325</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3326</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3327</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2606</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21301</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7856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12716</v>
      </c>
      <c r="D5" s="211" t="s">
        <v>1469</v>
      </c>
      <c r="E5" s="212" t="s">
        <v>1470</v>
      </c>
      <c r="F5" s="212" t="s">
        <v>1471</v>
      </c>
      <c r="G5" s="213"/>
    </row>
    <row r="6" spans="1:9" s="214" customFormat="1" ht="13.5" customHeight="1">
      <c r="A6" s="778" t="s">
        <v>1472</v>
      </c>
      <c r="B6" s="215" t="s">
        <v>1473</v>
      </c>
      <c r="C6" s="216">
        <f>ROUND('土地比较法-工业'!C43*'数据-汇总表'!D3/10000,0)</f>
        <v>11840</v>
      </c>
      <c r="D6" s="217"/>
      <c r="E6" s="218"/>
      <c r="F6" s="218"/>
      <c r="G6" s="219"/>
    </row>
    <row r="7" spans="1:9" s="214" customFormat="1" ht="13.5" customHeight="1">
      <c r="A7" s="778" t="s">
        <v>1474</v>
      </c>
      <c r="B7" s="215" t="s">
        <v>1475</v>
      </c>
      <c r="C7" s="220">
        <f>ROUND(C6*F7,0)</f>
        <v>361</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515</v>
      </c>
      <c r="D8" s="222"/>
      <c r="E8" s="220"/>
      <c r="F8" s="221"/>
      <c r="G8" s="1855" t="s">
        <v>3380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6" t="s">
        <v>3381</v>
      </c>
      <c r="H9" s="1137"/>
      <c r="I9" s="1857" t="s">
        <v>1479</v>
      </c>
    </row>
    <row r="10" spans="1:9" s="214" customFormat="1" ht="13.5" customHeight="1">
      <c r="A10" s="779" t="s">
        <v>356</v>
      </c>
      <c r="B10" s="224" t="s">
        <v>1480</v>
      </c>
      <c r="C10" s="225">
        <f ca="1">ROUND(D10*E10/10000,0)</f>
        <v>515</v>
      </c>
      <c r="D10" s="845">
        <f ca="1">IF(B1="",'数据-汇总表'!E6,IF(INDIRECT("'数据-取费表'!c"&amp;$G$1)="住宅",INDIRECT("'数据-取费表'!s"&amp;$G$1),INDIRECT("'数据-取费表'!k"&amp;$G$1)+INDIRECT("'数据-取费表'!s"&amp;$G$1)))</f>
        <v>27113.21</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27113.21</v>
      </c>
      <c r="E19" s="211">
        <f>'数据-取费表'!B31</f>
        <v>200</v>
      </c>
      <c r="F19" s="231"/>
      <c r="G19" s="1855" t="s">
        <v>3382</v>
      </c>
    </row>
    <row r="20" spans="1:7" s="214" customFormat="1" ht="13.5" customHeight="1">
      <c r="A20" s="255" t="s">
        <v>1493</v>
      </c>
      <c r="B20" s="210" t="s">
        <v>1494</v>
      </c>
      <c r="C20" s="232">
        <f ca="1">ROUND((C5+C19)*F20,0)</f>
        <v>254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443</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439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649</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649</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15181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6350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5558</v>
      </c>
      <c r="D34" s="217"/>
      <c r="E34" s="220"/>
      <c r="F34" s="257">
        <f ca="1">IF('数据-取费表'!B24=0,1,IF(B1="",'数据-取费表'!N16,INDIRECT("'数据-取费表'!n"&amp;$G$1)))</f>
        <v>1</v>
      </c>
      <c r="G34" s="219" t="s">
        <v>1526</v>
      </c>
    </row>
    <row r="35" spans="1:7" ht="13.5" customHeight="1">
      <c r="A35" s="780" t="s">
        <v>351</v>
      </c>
      <c r="B35" s="215" t="s">
        <v>1527</v>
      </c>
      <c r="C35" s="220">
        <f ca="1">ROUND(C34*F35,0)</f>
        <v>167</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542</v>
      </c>
      <c r="D37" s="217">
        <f ca="1">D19</f>
        <v>27113.21</v>
      </c>
      <c r="E37" s="249">
        <f>'数据-取费表'!B35</f>
        <v>200</v>
      </c>
      <c r="F37" s="259"/>
      <c r="G37" s="261" t="s">
        <v>1532</v>
      </c>
    </row>
    <row r="38" spans="1:7" ht="13.5" customHeight="1">
      <c r="A38" s="780" t="s">
        <v>354</v>
      </c>
      <c r="B38" s="215" t="s">
        <v>1533</v>
      </c>
      <c r="C38" s="220">
        <f ca="1">ROUND(C34*F38,0)</f>
        <v>83</v>
      </c>
      <c r="D38" s="220"/>
      <c r="E38" s="220"/>
      <c r="F38" s="259">
        <f>'数据-取费表'!B36</f>
        <v>1.4999999999999999E-2</v>
      </c>
      <c r="G38" s="219" t="s">
        <v>1528</v>
      </c>
    </row>
    <row r="39" spans="1:7" s="214" customFormat="1" ht="13.5" customHeight="1">
      <c r="A39" s="255" t="s">
        <v>1534</v>
      </c>
      <c r="B39" s="210" t="s">
        <v>1535</v>
      </c>
      <c r="C39" s="232">
        <f ca="1">ROUND(C33*F20,0)</f>
        <v>127</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112</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110</v>
      </c>
      <c r="D42" s="238"/>
      <c r="E42" s="238"/>
      <c r="F42" s="239"/>
      <c r="G42" s="3690" t="s">
        <v>1544</v>
      </c>
    </row>
    <row r="43" spans="1:7" ht="13.5" customHeight="1">
      <c r="A43" s="780" t="s">
        <v>347</v>
      </c>
      <c r="B43" s="215" t="s">
        <v>1545</v>
      </c>
      <c r="C43" s="238">
        <f ca="1">ROUND(IF('数据-取费表'!B22&lt;=1,C39*F22*'数据-取费表'!B21/2,C39*(POWER((1+F22),'数据-取费表'!B21/2)-1)),0)</f>
        <v>2</v>
      </c>
      <c r="D43" s="238"/>
      <c r="E43" s="238"/>
      <c r="F43" s="239"/>
      <c r="G43" s="3691"/>
    </row>
    <row r="44" spans="1:7" ht="13.5" customHeight="1">
      <c r="A44" s="780" t="s">
        <v>348</v>
      </c>
      <c r="B44" s="215" t="s">
        <v>1546</v>
      </c>
      <c r="C44" s="238">
        <f ca="1">ROUND(IF('数据-取费表'!B22&lt;=1,C40*F22*'数据-取费表'!B21/2,C40*(POWER((1+F22),'数据-取费表'!B21/2)-1)),4)</f>
        <v>2.9999999999999997E-4</v>
      </c>
      <c r="D44" s="238"/>
      <c r="E44" s="238"/>
      <c r="F44" s="239"/>
      <c r="G44" s="3692"/>
    </row>
    <row r="45" spans="1:7" s="214" customFormat="1" ht="13.5" customHeight="1">
      <c r="A45" s="255" t="s">
        <v>1547</v>
      </c>
      <c r="B45" s="244" t="s">
        <v>1513</v>
      </c>
      <c r="C45" s="245">
        <f ca="1">C46</f>
        <v>324</v>
      </c>
      <c r="D45" s="235">
        <f ca="1">C47</f>
        <v>1E-3</v>
      </c>
      <c r="E45" s="236" t="s">
        <v>1539</v>
      </c>
      <c r="F45" s="246">
        <f ca="1">F27</f>
        <v>0.05</v>
      </c>
      <c r="G45" s="247" t="s">
        <v>1548</v>
      </c>
    </row>
    <row r="46" spans="1:7" s="214" customFormat="1" ht="13.5" customHeight="1">
      <c r="A46" s="780" t="s">
        <v>346</v>
      </c>
      <c r="B46" s="248" t="s">
        <v>1549</v>
      </c>
      <c r="C46" s="249">
        <f ca="1">ROUND((C33+C39)*F27,0)</f>
        <v>324</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7463</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6120</v>
      </c>
      <c r="D51" s="232"/>
      <c r="E51" s="232"/>
      <c r="F51" s="264"/>
      <c r="G51" s="234" t="s">
        <v>1560</v>
      </c>
    </row>
    <row r="52" spans="1:7" s="208" customFormat="1" ht="16.5" thickBot="1">
      <c r="A52" s="265" t="s">
        <v>1561</v>
      </c>
      <c r="B52" s="266"/>
      <c r="C52" s="267">
        <f ca="1">C31+C51</f>
        <v>21301</v>
      </c>
      <c r="D52" s="266"/>
      <c r="E52" s="266"/>
      <c r="F52" s="266"/>
      <c r="G52" s="268"/>
    </row>
    <row r="55" spans="1:7" ht="15">
      <c r="B55" s="270" t="s">
        <v>1562</v>
      </c>
      <c r="C55" s="271"/>
    </row>
    <row r="56" spans="1:7">
      <c r="B56" s="273" t="s">
        <v>802</v>
      </c>
      <c r="C56" s="275">
        <f ca="1">1-C57</f>
        <v>0.71300000000000008</v>
      </c>
    </row>
    <row r="57" spans="1:7">
      <c r="B57" s="273" t="s">
        <v>803</v>
      </c>
      <c r="C57" s="274">
        <f ca="1">ROUND(C51/C52,3)</f>
        <v>0.28699999999999998</v>
      </c>
    </row>
  </sheetData>
  <sheetProtection password="CEE9" sheet="1" objects="1" scenarios="1" formatCells="0"/>
  <mergeCells count="1">
    <mergeCell ref="G42:G44"/>
  </mergeCells>
  <phoneticPr fontId="13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1" sqref="J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38.869999999999997</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15626</v>
      </c>
      <c r="C2" s="1386" t="s">
        <v>805</v>
      </c>
      <c r="D2" s="1386"/>
      <c r="E2" s="1387"/>
      <c r="F2" s="1388"/>
      <c r="G2" s="2705"/>
      <c r="H2" s="2694"/>
      <c r="I2" s="2694"/>
      <c r="J2" s="2694"/>
      <c r="K2" s="2695"/>
      <c r="L2" s="2694"/>
      <c r="M2" s="2694"/>
    </row>
    <row r="3" spans="1:37" ht="18" customHeight="1" thickBot="1">
      <c r="A3" s="1389" t="s">
        <v>806</v>
      </c>
      <c r="B3" s="1390">
        <f ca="1">IF(ISERROR(B2*10000/F43),0,ROUND(B2*10000/F43,0))</f>
        <v>5763</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1010</v>
      </c>
      <c r="D5" s="1363" t="s">
        <v>693</v>
      </c>
      <c r="E5" s="1071"/>
      <c r="F5" s="1072"/>
      <c r="G5" s="1383"/>
      <c r="H5" s="299">
        <v>1</v>
      </c>
      <c r="I5" s="300" t="s">
        <v>692</v>
      </c>
      <c r="J5" s="1070">
        <f ca="1">J6+J10+J12</f>
        <v>0</v>
      </c>
      <c r="K5" s="1363" t="s">
        <v>693</v>
      </c>
      <c r="L5" s="1071"/>
      <c r="M5" s="1072"/>
    </row>
    <row r="6" spans="1:37" ht="18" customHeight="1">
      <c r="A6" s="1069" t="s">
        <v>398</v>
      </c>
      <c r="B6" s="3693" t="s">
        <v>694</v>
      </c>
      <c r="C6" s="1074">
        <f ca="1">ROUND(F6*F8*F7*(1-F9)/10000,0)</f>
        <v>1009</v>
      </c>
      <c r="D6" s="155" t="s">
        <v>2108</v>
      </c>
      <c r="E6" s="302" t="s">
        <v>696</v>
      </c>
      <c r="F6" s="303">
        <f ca="1">INDIRECT("'数据-取费表'!u"&amp;$G$1)</f>
        <v>1.2</v>
      </c>
      <c r="G6" s="1383"/>
      <c r="H6" s="1069" t="s">
        <v>398</v>
      </c>
      <c r="I6" s="3693" t="s">
        <v>694</v>
      </c>
      <c r="J6" s="301">
        <f ca="1">ROUND(M6*M8*M7*(1-M9)/10000,0)</f>
        <v>0</v>
      </c>
      <c r="K6" s="155" t="s">
        <v>2107</v>
      </c>
      <c r="L6" s="302" t="s">
        <v>696</v>
      </c>
      <c r="M6" s="303">
        <f ca="1">INDIRECT("'数据-取费表'!z"&amp;$G$1)</f>
        <v>0</v>
      </c>
    </row>
    <row r="7" spans="1:37" ht="18" customHeight="1">
      <c r="A7" s="1073"/>
      <c r="B7" s="3694"/>
      <c r="C7" s="1075"/>
      <c r="D7" s="307"/>
      <c r="E7" s="1076" t="s">
        <v>697</v>
      </c>
      <c r="F7" s="303">
        <f ca="1">IF(INDIRECT("'数据-取费表'!ah"&amp;$G$1)="",INDIRECT("'数据-取费表'!k"&amp;$G$1),INDIRECT("'数据-取费表'!ah"&amp;$G$1))</f>
        <v>27113.21</v>
      </c>
      <c r="G7" s="1383"/>
      <c r="H7" s="304"/>
      <c r="I7" s="3694"/>
      <c r="J7" s="306"/>
      <c r="K7" s="307"/>
      <c r="L7" s="302" t="s">
        <v>697</v>
      </c>
      <c r="M7" s="303">
        <f ca="1">F7</f>
        <v>27113.21</v>
      </c>
    </row>
    <row r="8" spans="1:37" ht="18" customHeight="1">
      <c r="A8" s="304"/>
      <c r="B8" s="3694"/>
      <c r="C8" s="306"/>
      <c r="D8" s="307"/>
      <c r="E8" s="302" t="s">
        <v>698</v>
      </c>
      <c r="F8" s="303">
        <f ca="1">INDIRECT("'数据-取费表'!ai"&amp;$G$1)</f>
        <v>365</v>
      </c>
      <c r="G8" s="1383"/>
      <c r="H8" s="304"/>
      <c r="I8" s="3694"/>
      <c r="J8" s="306"/>
      <c r="K8" s="307"/>
      <c r="L8" s="302" t="s">
        <v>698</v>
      </c>
      <c r="M8" s="303">
        <f ca="1">INDIRECT("'数据-取费表'!ai"&amp;$G$1)</f>
        <v>365</v>
      </c>
    </row>
    <row r="9" spans="1:37" ht="18" customHeight="1">
      <c r="A9" s="304"/>
      <c r="B9" s="3695"/>
      <c r="C9" s="306"/>
      <c r="D9" s="307"/>
      <c r="E9" s="302" t="s">
        <v>699</v>
      </c>
      <c r="F9" s="312">
        <f ca="1">INDIRECT("'数据-取费表'!w"&amp;$G$1)</f>
        <v>0.15</v>
      </c>
      <c r="G9" s="1383"/>
      <c r="H9" s="304"/>
      <c r="I9" s="3695"/>
      <c r="J9" s="306"/>
      <c r="K9" s="307"/>
      <c r="L9" s="313" t="s">
        <v>699</v>
      </c>
      <c r="M9" s="314">
        <f ca="1">INDIRECT("'数据-取费表'!ab"&amp;$G$1)</f>
        <v>0</v>
      </c>
    </row>
    <row r="10" spans="1:37" ht="18" customHeight="1">
      <c r="A10" s="1069" t="s">
        <v>402</v>
      </c>
      <c r="B10" s="1364" t="s">
        <v>700</v>
      </c>
      <c r="C10" s="316">
        <f ca="1">ROUND(IF(F10="押一",C6/12*F11,IF(F10="押二",C6/12*2*F11,IF(F10="押三",C6/12*3*F11,C11*F11))),0)</f>
        <v>1</v>
      </c>
      <c r="D10" s="1365" t="s">
        <v>2116</v>
      </c>
      <c r="E10" s="313" t="s">
        <v>701</v>
      </c>
      <c r="F10" s="1116" t="s">
        <v>3383</v>
      </c>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6120</v>
      </c>
      <c r="D13" s="1081" t="s">
        <v>705</v>
      </c>
      <c r="E13" s="1081" t="s">
        <v>706</v>
      </c>
      <c r="F13" s="1082">
        <f ca="1">INDIRECT("'数据-取费表'!y"&amp;$G$1)</f>
        <v>0.82</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5558</v>
      </c>
      <c r="D14" s="1344" t="s">
        <v>708</v>
      </c>
      <c r="E14" s="1341"/>
      <c r="F14" s="319"/>
      <c r="G14" s="1383"/>
      <c r="H14" s="982" t="s">
        <v>398</v>
      </c>
      <c r="I14" s="302" t="s">
        <v>709</v>
      </c>
      <c r="J14" s="21">
        <f ca="1">C29</f>
        <v>7463</v>
      </c>
      <c r="K14" s="12"/>
      <c r="L14" s="807"/>
      <c r="M14" s="808"/>
    </row>
    <row r="15" spans="1:37" s="1396" customFormat="1" ht="18" customHeight="1" thickBot="1">
      <c r="A15" s="982" t="s">
        <v>399</v>
      </c>
      <c r="B15" s="302" t="s">
        <v>710</v>
      </c>
      <c r="C15" s="21">
        <f ca="1">ROUND(C14*F15,0)</f>
        <v>167</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83</v>
      </c>
      <c r="K16" s="1087" t="s">
        <v>715</v>
      </c>
      <c r="L16" s="1088"/>
      <c r="M16" s="1072"/>
    </row>
    <row r="17" spans="1:37" s="1396" customFormat="1" ht="18" customHeight="1">
      <c r="A17" s="982" t="s">
        <v>681</v>
      </c>
      <c r="B17" s="302" t="s">
        <v>716</v>
      </c>
      <c r="C17" s="21">
        <f ca="1">ROUND(F17*(F43+INDIRECT("'数据-取费表'!S"&amp;$G$1))/10000,0)</f>
        <v>542</v>
      </c>
      <c r="D17" s="302" t="s">
        <v>717</v>
      </c>
      <c r="E17" s="302" t="s">
        <v>718</v>
      </c>
      <c r="F17" s="23">
        <f>'数据-取费表'!B35</f>
        <v>200</v>
      </c>
      <c r="G17" s="1395"/>
      <c r="H17" s="982" t="s">
        <v>398</v>
      </c>
      <c r="I17" s="302" t="s">
        <v>719</v>
      </c>
      <c r="J17" s="2315">
        <f ca="1">ROUND(IF(AND(项目基本情况!B11="自然人",项目基本情况!B10="北京市"),J6*M17/(1+'数据-取费表'!C42),J18+J19+J20),2)</f>
        <v>7.88</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83</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6350</v>
      </c>
      <c r="D19" s="131" t="s">
        <v>726</v>
      </c>
      <c r="E19" s="1359"/>
      <c r="F19" s="23"/>
      <c r="G19" s="1383"/>
      <c r="H19" s="982" t="s">
        <v>399</v>
      </c>
      <c r="I19" s="302" t="s">
        <v>727</v>
      </c>
      <c r="J19" s="21">
        <f ca="1">IF(K19="按租金收入计税",ROUND(J6*M19/(1+'数据-取费表'!C42),2),ROUND(C29*M19*0.7,2))</f>
        <v>0</v>
      </c>
      <c r="K19" s="1369" t="s">
        <v>3332</v>
      </c>
      <c r="L19" s="302" t="s">
        <v>712</v>
      </c>
      <c r="M19" s="322">
        <f>IF(K19="按租金收入计税",'数据-取费表'!B51,'数据-取费表'!B50)</f>
        <v>0.12</v>
      </c>
    </row>
    <row r="20" spans="1:37" s="1396" customFormat="1" ht="18" customHeight="1">
      <c r="A20" s="982" t="s">
        <v>402</v>
      </c>
      <c r="B20" s="302" t="s">
        <v>728</v>
      </c>
      <c r="C20" s="21">
        <f ca="1">ROUND(C19*F20,0)</f>
        <v>127</v>
      </c>
      <c r="D20" s="323" t="s">
        <v>729</v>
      </c>
      <c r="E20" s="302" t="s">
        <v>712</v>
      </c>
      <c r="F20" s="322">
        <f>'数据-取费表'!B37</f>
        <v>0.02</v>
      </c>
      <c r="G20" s="1395"/>
      <c r="H20" s="982" t="s">
        <v>680</v>
      </c>
      <c r="I20" s="155" t="s">
        <v>730</v>
      </c>
      <c r="J20" s="22">
        <f ca="1">ROUND(M20*M21/10000,2)</f>
        <v>7.88</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52503.79</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ROUND(J14*M22,2)</f>
        <v>74.63</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112</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-83</v>
      </c>
      <c r="K25" s="1095" t="s">
        <v>753</v>
      </c>
      <c r="L25" s="1096"/>
      <c r="M25" s="1097"/>
    </row>
    <row r="26" spans="1:37">
      <c r="A26" s="982" t="s">
        <v>397</v>
      </c>
      <c r="B26" s="302" t="s">
        <v>754</v>
      </c>
      <c r="C26" s="21">
        <f ca="1">ROUND((C19+C20)*F26,0)</f>
        <v>324</v>
      </c>
      <c r="D26" s="323"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7463</v>
      </c>
      <c r="D29" s="1092"/>
      <c r="E29" s="1090"/>
      <c r="F29" s="1093"/>
      <c r="G29" s="1395"/>
      <c r="H29" s="334" t="s">
        <v>396</v>
      </c>
      <c r="I29" s="335" t="s">
        <v>768</v>
      </c>
      <c r="J29" s="336">
        <f ca="1">ROUND(J26/(1+F40)^F41,0)</f>
        <v>0</v>
      </c>
      <c r="K29" s="337" t="s">
        <v>769</v>
      </c>
      <c r="L29" s="338"/>
      <c r="M29" s="339">
        <f ca="1">INDIRECT("'数据-取费表'!k"&amp;$G$1)</f>
        <v>27113.21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270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176.04</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2" t="s">
        <v>397</v>
      </c>
      <c r="B32" s="302" t="s">
        <v>723</v>
      </c>
      <c r="C32" s="21">
        <f ca="1">IF(项目基本情况!B11="自然人","——",ROUND(C6*F32/(1+'数据-取费表'!C42),2))</f>
        <v>52.85</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115.31</v>
      </c>
      <c r="D33" s="1369" t="s">
        <v>3332</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7.88</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52503.79</v>
      </c>
      <c r="G35" s="1383"/>
      <c r="H35" s="2696"/>
      <c r="I35" s="1397"/>
      <c r="J35" s="1398"/>
      <c r="K35" s="2700"/>
      <c r="L35" s="2699"/>
      <c r="M35" s="2699"/>
    </row>
    <row r="36" spans="1:18" ht="18" customHeight="1">
      <c r="A36" s="1102" t="s">
        <v>402</v>
      </c>
      <c r="B36" s="302" t="s">
        <v>738</v>
      </c>
      <c r="C36" s="21">
        <f ca="1">ROUND(C29*F36,2)</f>
        <v>74.63</v>
      </c>
      <c r="D36" s="1343"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ROUND(C13*F37,2)</f>
        <v>9.18</v>
      </c>
      <c r="D37" s="1343" t="s">
        <v>743</v>
      </c>
      <c r="E37" s="302" t="s">
        <v>744</v>
      </c>
      <c r="F37" s="330">
        <f ca="1">INDIRECT("'数据-取费表'!Al"&amp;$G$1)</f>
        <v>1.5E-3</v>
      </c>
      <c r="G37" s="1383"/>
      <c r="H37" s="2699"/>
      <c r="I37" s="1397"/>
      <c r="J37" s="1398"/>
      <c r="K37" s="2543"/>
      <c r="L37" s="2699"/>
      <c r="M37" s="2699"/>
    </row>
    <row r="38" spans="1:18" ht="18" customHeight="1" thickBot="1">
      <c r="A38" s="1089" t="s">
        <v>684</v>
      </c>
      <c r="B38" s="1090" t="s">
        <v>728</v>
      </c>
      <c r="C38" s="1091">
        <f ca="1">ROUND(C5*F38,2)</f>
        <v>10.1</v>
      </c>
      <c r="D38" s="1092" t="s">
        <v>748</v>
      </c>
      <c r="E38" s="1090" t="s">
        <v>744</v>
      </c>
      <c r="F38" s="1086">
        <f ca="1">INDIRECT("'数据-取费表'!Am"&amp;$G$1)</f>
        <v>0.01</v>
      </c>
      <c r="G38" s="1383"/>
      <c r="H38" s="2699">
        <f ca="1">C39/C5</f>
        <v>0.73267326732673266</v>
      </c>
      <c r="I38" s="1397"/>
      <c r="J38" s="1398"/>
      <c r="K38" s="2703"/>
      <c r="L38" s="2699"/>
      <c r="M38" s="2699"/>
    </row>
    <row r="39" spans="1:18" ht="24.6" customHeight="1" thickTop="1">
      <c r="A39" s="1079" t="s">
        <v>394</v>
      </c>
      <c r="B39" s="1094" t="s">
        <v>772</v>
      </c>
      <c r="C39" s="310">
        <f ca="1">C5-C30</f>
        <v>740</v>
      </c>
      <c r="D39" s="1095" t="s">
        <v>773</v>
      </c>
      <c r="E39" s="1096"/>
      <c r="F39" s="1097"/>
      <c r="G39" s="1383"/>
      <c r="H39" s="2699"/>
      <c r="I39" s="1397"/>
      <c r="J39" s="1398"/>
      <c r="K39" s="2703"/>
      <c r="L39" s="2699"/>
      <c r="M39" s="2699"/>
    </row>
    <row r="40" spans="1:18" ht="18" customHeight="1">
      <c r="A40" s="299" t="s">
        <v>395</v>
      </c>
      <c r="B40" s="300" t="s">
        <v>774</v>
      </c>
      <c r="C40" s="301">
        <f ca="1">ROUND(C39*(1-((1+F42)/(1+F40))^F41)/(F40-F42),0)</f>
        <v>15446</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38.869999999999997</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5697</v>
      </c>
      <c r="D43" s="337" t="s">
        <v>777</v>
      </c>
      <c r="E43" s="338" t="s">
        <v>778</v>
      </c>
      <c r="F43" s="339">
        <f ca="1">INDIRECT("'数据-取费表'!k"&amp;$G$1)</f>
        <v>27113.21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-16910</v>
      </c>
      <c r="D46" s="1405" t="str">
        <f>C2</f>
        <v>万元</v>
      </c>
      <c r="E46" s="1399"/>
      <c r="F46" s="1399"/>
      <c r="I46" s="1406" t="s">
        <v>810</v>
      </c>
      <c r="J46" s="1407"/>
      <c r="K46" s="1408"/>
      <c r="L46" s="1409">
        <f ca="1">IF(M47="住宅",0,IF(L48&gt;J51,L60,J60))</f>
        <v>180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3384</v>
      </c>
      <c r="K47" s="1415" t="s">
        <v>816</v>
      </c>
      <c r="L47" s="1416">
        <f ca="1">INDIRECT("'数据-取费表'!d"&amp;$G$1)</f>
        <v>50</v>
      </c>
      <c r="M47" s="1379" t="str">
        <f>IF(ISNUMBER(FIND("住宅",C1)),"住宅","非住宅")</f>
        <v>非住宅</v>
      </c>
      <c r="O47" s="1417" t="s">
        <v>403</v>
      </c>
      <c r="P47" s="1418" t="s">
        <v>817</v>
      </c>
      <c r="Q47" s="1419">
        <f ca="1">C40+J29</f>
        <v>15446</v>
      </c>
      <c r="R47" s="1419" t="s">
        <v>818</v>
      </c>
    </row>
    <row r="48" spans="1:18" s="1383" customFormat="1" ht="28.5" thickBot="1">
      <c r="A48" s="1110" t="s">
        <v>438</v>
      </c>
      <c r="B48" s="300" t="s">
        <v>692</v>
      </c>
      <c r="C48" s="1358">
        <f ca="1">C49+C53+C55</f>
        <v>0</v>
      </c>
      <c r="D48" s="1112"/>
      <c r="E48" s="1113"/>
      <c r="F48" s="962"/>
      <c r="G48" s="722"/>
      <c r="H48" s="723"/>
      <c r="I48" s="1420" t="s">
        <v>819</v>
      </c>
      <c r="J48" s="1421" t="s">
        <v>3385</v>
      </c>
      <c r="K48" s="1422" t="s">
        <v>820</v>
      </c>
      <c r="L48" s="1423">
        <f ca="1">INDIRECT("'数据-取费表'!f"&amp;$G$1)</f>
        <v>38.869999999999997</v>
      </c>
      <c r="O48" s="1417" t="s">
        <v>404</v>
      </c>
      <c r="P48" s="1418" t="s">
        <v>821</v>
      </c>
      <c r="Q48" s="1419">
        <f ca="1">J60</f>
        <v>180</v>
      </c>
      <c r="R48" s="1419" t="s">
        <v>822</v>
      </c>
    </row>
    <row r="49" spans="1:18" s="1383" customFormat="1" ht="13.5" thickBot="1">
      <c r="A49" s="975" t="s">
        <v>439</v>
      </c>
      <c r="B49" s="1370" t="s">
        <v>779</v>
      </c>
      <c r="C49" s="1114">
        <f ca="1">ROUND(F49*F51*F50*(1-F52)/10000,0)</f>
        <v>0</v>
      </c>
      <c r="D49" s="1055" t="s">
        <v>2109</v>
      </c>
      <c r="E49" s="1371" t="s">
        <v>780</v>
      </c>
      <c r="F49" s="1060"/>
      <c r="G49" s="1424"/>
      <c r="H49" s="723"/>
      <c r="I49" s="1420" t="s">
        <v>823</v>
      </c>
      <c r="J49" s="1425">
        <v>2015</v>
      </c>
      <c r="K49" s="1422" t="s">
        <v>824</v>
      </c>
      <c r="L49" s="1426"/>
      <c r="O49" s="1427" t="s">
        <v>405</v>
      </c>
      <c r="P49" s="1418" t="s">
        <v>825</v>
      </c>
      <c r="Q49" s="1419">
        <f ca="1">C29</f>
        <v>7463</v>
      </c>
      <c r="R49" s="1419" t="s">
        <v>818</v>
      </c>
    </row>
    <row r="50" spans="1:18" s="1383" customFormat="1" ht="13.5" thickBot="1">
      <c r="A50" s="976"/>
      <c r="B50" s="979"/>
      <c r="C50" s="1118"/>
      <c r="D50" s="953"/>
      <c r="E50" s="1056" t="s">
        <v>697</v>
      </c>
      <c r="F50" s="1057">
        <f ca="1">F7</f>
        <v>27113.21</v>
      </c>
      <c r="H50" s="723"/>
      <c r="I50" s="1420" t="s">
        <v>826</v>
      </c>
      <c r="J50" s="1428">
        <f>SUMPRODUCT((I63:I65=J47)*(J62:L62=J48)*(J63:L65))</f>
        <v>50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42</v>
      </c>
      <c r="K51" s="1433" t="s">
        <v>830</v>
      </c>
      <c r="L51" s="1434">
        <f ca="1">ROUND(-PV(INDIRECT("'数据-取费表'!h"&amp;$G$1),J51,(C39-C13*C76),0),0)</f>
        <v>5429</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38.869999999999997</v>
      </c>
      <c r="R52" s="1419" t="s">
        <v>835</v>
      </c>
    </row>
    <row r="53" spans="1:18" s="1383" customFormat="1" ht="24.75"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38.869999999999997</v>
      </c>
      <c r="K53" s="3696" t="s">
        <v>837</v>
      </c>
      <c r="L53" s="3697"/>
      <c r="O53" s="1417" t="s">
        <v>409</v>
      </c>
      <c r="P53" s="1418" t="s">
        <v>838</v>
      </c>
      <c r="Q53" s="1419">
        <f ca="1">Q47+Q48</f>
        <v>15626</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8.1000000000000003E-2</v>
      </c>
      <c r="K55" s="1444" t="s">
        <v>841</v>
      </c>
      <c r="L55" s="1445"/>
      <c r="O55" s="1410" t="s">
        <v>811</v>
      </c>
      <c r="P55" s="1411" t="s">
        <v>812</v>
      </c>
      <c r="Q55" s="1412" t="s">
        <v>813</v>
      </c>
      <c r="R55" s="1412" t="s">
        <v>814</v>
      </c>
    </row>
    <row r="56" spans="1:18" s="1383" customFormat="1" ht="25.5" thickTop="1" thickBot="1">
      <c r="A56" s="957">
        <v>2</v>
      </c>
      <c r="B56" s="958" t="s">
        <v>704</v>
      </c>
      <c r="C56" s="232">
        <f ca="1">C13</f>
        <v>6120</v>
      </c>
      <c r="D56" s="1446"/>
      <c r="E56" s="1447"/>
      <c r="F56" s="1439"/>
      <c r="I56" s="1448" t="s">
        <v>842</v>
      </c>
      <c r="J56" s="1449" t="s">
        <v>3434</v>
      </c>
      <c r="K56" s="1420" t="s">
        <v>843</v>
      </c>
      <c r="L56" s="1423" t="str">
        <f ca="1">IF(L48&lt;J51,"——",L48-J53)</f>
        <v>——</v>
      </c>
      <c r="O56" s="1417" t="s">
        <v>403</v>
      </c>
      <c r="P56" s="1418" t="s">
        <v>817</v>
      </c>
      <c r="Q56" s="1419">
        <f ca="1">C40+J29</f>
        <v>15446</v>
      </c>
      <c r="R56" s="1419" t="s">
        <v>818</v>
      </c>
    </row>
    <row r="57" spans="1:18" s="1383" customFormat="1" ht="24.75" thickBot="1">
      <c r="A57" s="1450"/>
      <c r="B57" s="950" t="s">
        <v>767</v>
      </c>
      <c r="C57" s="238">
        <f ca="1">C29</f>
        <v>7463</v>
      </c>
      <c r="D57" s="1451"/>
      <c r="E57" s="1452"/>
      <c r="F57" s="1453"/>
      <c r="I57" s="1454" t="s">
        <v>844</v>
      </c>
      <c r="J57" s="1455">
        <f ca="1">IF(OR(M47="住宅",J51&lt;L48,J56="是"),"——",J51-L48)</f>
        <v>3.1300000000000026</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92</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8</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2985</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180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3332</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7.88</v>
      </c>
      <c r="D62" s="965" t="s">
        <v>786</v>
      </c>
      <c r="E62" s="950" t="s">
        <v>787</v>
      </c>
      <c r="F62" s="325">
        <f t="shared" si="0"/>
        <v>1.5</v>
      </c>
      <c r="I62" s="1461" t="s">
        <v>858</v>
      </c>
      <c r="J62" s="1462" t="s">
        <v>859</v>
      </c>
      <c r="K62" s="1462" t="s">
        <v>860</v>
      </c>
      <c r="L62" s="1462" t="s">
        <v>861</v>
      </c>
      <c r="M62" s="1463" t="s">
        <v>862</v>
      </c>
      <c r="O62" s="1417" t="s">
        <v>409</v>
      </c>
      <c r="P62" s="1418" t="s">
        <v>863</v>
      </c>
      <c r="Q62" s="1419">
        <f ca="1">Q56+Q57</f>
        <v>15446</v>
      </c>
      <c r="R62" s="1419" t="s">
        <v>410</v>
      </c>
    </row>
    <row r="63" spans="1:18" s="1383" customFormat="1" ht="13.5" thickBot="1">
      <c r="A63" s="326"/>
      <c r="B63" s="956"/>
      <c r="C63" s="26"/>
      <c r="D63" s="966"/>
      <c r="E63" s="950" t="s">
        <v>788</v>
      </c>
      <c r="F63" s="303">
        <f t="shared" ca="1" si="0"/>
        <v>52503.79</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74.63</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9.18</v>
      </c>
      <c r="D65" s="964" t="s">
        <v>743</v>
      </c>
      <c r="E65" s="950" t="s">
        <v>744</v>
      </c>
      <c r="F65" s="330">
        <f t="shared" ca="1" si="0"/>
        <v>1.5E-3</v>
      </c>
      <c r="I65" s="1461" t="s">
        <v>867</v>
      </c>
      <c r="J65" s="1462">
        <v>40</v>
      </c>
      <c r="K65" s="1462">
        <v>30</v>
      </c>
      <c r="L65" s="1462">
        <v>50</v>
      </c>
      <c r="M65" s="1464">
        <v>0.02</v>
      </c>
      <c r="O65" s="1417" t="s">
        <v>403</v>
      </c>
      <c r="P65" s="1418" t="s">
        <v>868</v>
      </c>
      <c r="Q65" s="1419">
        <f ca="1">C40+J29</f>
        <v>15446</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-92</v>
      </c>
      <c r="D67" s="963" t="s">
        <v>753</v>
      </c>
      <c r="E67" s="968"/>
      <c r="F67" s="969"/>
      <c r="O67" s="1427" t="s">
        <v>405</v>
      </c>
      <c r="P67" s="1418" t="s">
        <v>850</v>
      </c>
      <c r="Q67" s="1465">
        <f ca="1">L51</f>
        <v>5429</v>
      </c>
      <c r="R67" s="1419" t="s">
        <v>870</v>
      </c>
    </row>
    <row r="68" spans="1:18" s="1383" customFormat="1" ht="16.5" thickBot="1">
      <c r="A68" s="947" t="s">
        <v>395</v>
      </c>
      <c r="B68" s="948" t="s">
        <v>774</v>
      </c>
      <c r="C68" s="301">
        <f ca="1">ROUND(C67*(1-((1+F70)/(1+F68))^F69)/(F68-F70),0)</f>
        <v>-1464</v>
      </c>
      <c r="D68" s="965" t="s">
        <v>758</v>
      </c>
      <c r="E68" s="950" t="s">
        <v>759</v>
      </c>
      <c r="F68" s="312">
        <f ca="1">F40</f>
        <v>5.5E-2</v>
      </c>
      <c r="O68" s="1427" t="s">
        <v>406</v>
      </c>
      <c r="P68" s="1466" t="s">
        <v>871</v>
      </c>
      <c r="Q68" s="1419">
        <f ca="1">ROUND(Q69-Q70*Q71,0)</f>
        <v>312</v>
      </c>
      <c r="R68" s="1419" t="s">
        <v>414</v>
      </c>
    </row>
    <row r="69" spans="1:18" s="1383" customFormat="1" ht="13.5" thickBot="1">
      <c r="A69" s="951"/>
      <c r="B69" s="952"/>
      <c r="C69" s="306"/>
      <c r="D69" s="970" t="s">
        <v>762</v>
      </c>
      <c r="E69" s="950" t="s">
        <v>763</v>
      </c>
      <c r="F69" s="333">
        <f ca="1">F41</f>
        <v>38.869999999999997</v>
      </c>
      <c r="O69" s="1427" t="s">
        <v>411</v>
      </c>
      <c r="P69" s="1466" t="s">
        <v>872</v>
      </c>
      <c r="Q69" s="1419">
        <f ca="1">C39</f>
        <v>740</v>
      </c>
      <c r="R69" s="1419" t="s">
        <v>818</v>
      </c>
    </row>
    <row r="70" spans="1:18" s="1383" customFormat="1" ht="13.5" thickBot="1">
      <c r="A70" s="954"/>
      <c r="B70" s="955"/>
      <c r="C70" s="310"/>
      <c r="D70" s="966"/>
      <c r="E70" s="950" t="s">
        <v>766</v>
      </c>
      <c r="F70" s="1054"/>
      <c r="O70" s="1427" t="s">
        <v>412</v>
      </c>
      <c r="P70" s="1466" t="s">
        <v>873</v>
      </c>
      <c r="Q70" s="1419">
        <f ca="1">C13</f>
        <v>6120</v>
      </c>
      <c r="R70" s="1419" t="s">
        <v>818</v>
      </c>
    </row>
    <row r="71" spans="1:18" s="1383" customFormat="1" ht="13.5" thickBot="1">
      <c r="A71" s="971" t="s">
        <v>396</v>
      </c>
      <c r="B71" s="972" t="s">
        <v>776</v>
      </c>
      <c r="C71" s="336">
        <f ca="1">ROUND(C68*10000/F71,0)</f>
        <v>-540</v>
      </c>
      <c r="D71" s="973" t="s">
        <v>777</v>
      </c>
      <c r="E71" s="974" t="s">
        <v>778</v>
      </c>
      <c r="F71" s="339">
        <f ca="1">F43</f>
        <v>27113.21</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428</v>
      </c>
      <c r="D75" s="1383"/>
      <c r="E75" s="1383"/>
      <c r="F75" s="1383"/>
      <c r="K75" s="1401"/>
      <c r="L75" s="1383"/>
      <c r="O75" s="1417" t="s">
        <v>409</v>
      </c>
      <c r="P75" s="1418" t="s">
        <v>838</v>
      </c>
      <c r="Q75" s="1419">
        <f ca="1">Q65+Q66</f>
        <v>15446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0.42200000000000004</v>
      </c>
    </row>
    <row r="80" spans="1:18">
      <c r="B80" s="340" t="s">
        <v>800</v>
      </c>
      <c r="C80" s="274">
        <f ca="1">ROUND(C75/C39,3)</f>
        <v>0.57799999999999996</v>
      </c>
    </row>
    <row r="81" spans="2:3">
      <c r="B81" s="270" t="s">
        <v>801</v>
      </c>
      <c r="C81" s="238"/>
    </row>
    <row r="82" spans="2:3">
      <c r="B82" s="273" t="s">
        <v>802</v>
      </c>
      <c r="C82" s="275">
        <f ca="1">1-C83</f>
        <v>0.60399999999999998</v>
      </c>
    </row>
    <row r="83" spans="2:3">
      <c r="B83" s="273" t="s">
        <v>803</v>
      </c>
      <c r="C83" s="274">
        <f ca="1">ROUND(C13/C40,3)</f>
        <v>0.39600000000000002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2588</v>
      </c>
      <c r="B1" s="3071" t="s">
        <v>2589</v>
      </c>
      <c r="C1" s="3071" t="s">
        <v>2590</v>
      </c>
      <c r="D1" s="3071" t="s">
        <v>2591</v>
      </c>
      <c r="E1" s="3071" t="s">
        <v>2592</v>
      </c>
      <c r="F1" s="3071" t="s">
        <v>2593</v>
      </c>
      <c r="G1" s="3071" t="s">
        <v>2594</v>
      </c>
      <c r="H1" s="3071" t="s">
        <v>2595</v>
      </c>
      <c r="I1" s="3071" t="s">
        <v>2596</v>
      </c>
      <c r="J1" s="3071" t="s">
        <v>2597</v>
      </c>
      <c r="K1" s="3071" t="s">
        <v>2598</v>
      </c>
      <c r="L1" s="3071" t="s">
        <v>2599</v>
      </c>
      <c r="M1" s="3072" t="s">
        <v>2600</v>
      </c>
    </row>
    <row r="2" spans="1:13" ht="19.5" customHeight="1">
      <c r="A2" s="3074" t="s">
        <v>2601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2609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2617</v>
      </c>
      <c r="B18" s="3096"/>
      <c r="C18" s="3097"/>
      <c r="D18" s="3097"/>
      <c r="E18" s="3096"/>
      <c r="F18" s="3097"/>
      <c r="G18" s="3097"/>
    </row>
    <row r="19" spans="1:13" ht="19.5" customHeight="1" thickBot="1">
      <c r="A19" s="3094" t="s">
        <v>2618</v>
      </c>
      <c r="B19" s="3099" t="s">
        <v>2619</v>
      </c>
      <c r="C19" s="3099" t="s">
        <v>2620</v>
      </c>
      <c r="D19" s="3100"/>
      <c r="E19" s="3094" t="s">
        <v>2621</v>
      </c>
      <c r="F19" s="3101"/>
      <c r="G19" s="3101"/>
    </row>
    <row r="20" spans="1:13" ht="19.5" customHeight="1">
      <c r="A20" s="3781" t="s">
        <v>2601</v>
      </c>
      <c r="B20" s="3774" t="s">
        <v>2622</v>
      </c>
      <c r="C20" s="3102" t="s">
        <v>2433</v>
      </c>
      <c r="D20" s="3103"/>
      <c r="E20" s="3104">
        <v>1</v>
      </c>
      <c r="F20" s="3105" t="s">
        <v>2434</v>
      </c>
      <c r="G20" s="3105"/>
    </row>
    <row r="21" spans="1:13" ht="19.5" customHeight="1">
      <c r="A21" s="3782"/>
      <c r="B21" s="3775"/>
      <c r="C21" s="3106" t="s">
        <v>2435</v>
      </c>
      <c r="D21" s="3107"/>
      <c r="E21" s="3108">
        <v>1</v>
      </c>
      <c r="F21" s="3105" t="s">
        <v>2436</v>
      </c>
      <c r="G21" s="3105"/>
    </row>
    <row r="22" spans="1:13" ht="19.5" customHeight="1">
      <c r="A22" s="3782"/>
      <c r="B22" s="3775"/>
      <c r="C22" s="3106" t="s">
        <v>2437</v>
      </c>
      <c r="D22" s="3107"/>
      <c r="E22" s="3108">
        <v>0.9</v>
      </c>
      <c r="F22" s="3105" t="s">
        <v>2438</v>
      </c>
      <c r="G22" s="3105"/>
    </row>
    <row r="23" spans="1:13" ht="19.5" customHeight="1">
      <c r="A23" s="3782"/>
      <c r="B23" s="3775"/>
      <c r="C23" s="3106" t="s">
        <v>2439</v>
      </c>
      <c r="D23" s="3107"/>
      <c r="E23" s="3108">
        <v>0.9</v>
      </c>
      <c r="F23" s="3105" t="s">
        <v>2440</v>
      </c>
      <c r="G23" s="3105"/>
    </row>
    <row r="24" spans="1:13" ht="19.5" customHeight="1">
      <c r="A24" s="3782"/>
      <c r="B24" s="3775"/>
      <c r="C24" s="3106" t="s">
        <v>2441</v>
      </c>
      <c r="D24" s="3107"/>
      <c r="E24" s="3108">
        <v>0.8</v>
      </c>
      <c r="F24" s="3105" t="s">
        <v>2442</v>
      </c>
      <c r="G24" s="3105"/>
    </row>
    <row r="25" spans="1:13" ht="19.5" customHeight="1" thickBot="1">
      <c r="A25" s="3783"/>
      <c r="B25" s="3776"/>
      <c r="C25" s="3109" t="s">
        <v>2443</v>
      </c>
      <c r="D25" s="3110"/>
      <c r="E25" s="3111">
        <v>0.8</v>
      </c>
      <c r="F25" s="3105" t="s">
        <v>2444</v>
      </c>
      <c r="G25" s="3105"/>
    </row>
    <row r="26" spans="1:13" ht="19.5" customHeight="1" thickBot="1">
      <c r="A26" s="3112" t="s">
        <v>2623</v>
      </c>
      <c r="B26" s="3113" t="s">
        <v>2622</v>
      </c>
      <c r="C26" s="3114" t="s">
        <v>2624</v>
      </c>
      <c r="D26" s="3115"/>
      <c r="E26" s="3116">
        <v>1</v>
      </c>
      <c r="F26" s="3105" t="s">
        <v>2445</v>
      </c>
      <c r="G26" s="3105"/>
    </row>
    <row r="27" spans="1:13" ht="19.5" customHeight="1">
      <c r="A27" s="3777" t="s">
        <v>2625</v>
      </c>
      <c r="B27" s="3774" t="s">
        <v>2606</v>
      </c>
      <c r="C27" s="3102" t="s">
        <v>2446</v>
      </c>
      <c r="D27" s="3103"/>
      <c r="E27" s="3104">
        <v>1</v>
      </c>
      <c r="F27" s="3105" t="s">
        <v>2447</v>
      </c>
      <c r="G27" s="3105"/>
    </row>
    <row r="28" spans="1:13" ht="19.5" customHeight="1">
      <c r="A28" s="3778"/>
      <c r="B28" s="3775"/>
      <c r="C28" s="3106" t="s">
        <v>2448</v>
      </c>
      <c r="D28" s="3107"/>
      <c r="E28" s="3108">
        <v>1</v>
      </c>
      <c r="F28" s="3105" t="s">
        <v>2449</v>
      </c>
      <c r="G28" s="3105"/>
    </row>
    <row r="29" spans="1:13" ht="19.5" customHeight="1">
      <c r="A29" s="3778"/>
      <c r="B29" s="3775"/>
      <c r="C29" s="3106" t="s">
        <v>2450</v>
      </c>
      <c r="D29" s="3107"/>
      <c r="E29" s="3108">
        <v>0.8</v>
      </c>
      <c r="F29" s="3105" t="s">
        <v>2451</v>
      </c>
      <c r="G29" s="3105"/>
    </row>
    <row r="30" spans="1:13" ht="19.5" customHeight="1">
      <c r="A30" s="3778"/>
      <c r="B30" s="3775"/>
      <c r="C30" s="3106" t="s">
        <v>2452</v>
      </c>
      <c r="D30" s="3107"/>
      <c r="E30" s="3108">
        <v>0.8</v>
      </c>
      <c r="F30" s="3105" t="s">
        <v>2453</v>
      </c>
      <c r="G30" s="3105"/>
    </row>
    <row r="31" spans="1:13" ht="19.5" customHeight="1">
      <c r="A31" s="3778"/>
      <c r="B31" s="3775"/>
      <c r="C31" s="3106" t="s">
        <v>2454</v>
      </c>
      <c r="D31" s="3107"/>
      <c r="E31" s="3108">
        <v>0.8</v>
      </c>
      <c r="F31" s="3105" t="s">
        <v>2455</v>
      </c>
      <c r="G31" s="3105"/>
    </row>
    <row r="32" spans="1:13" ht="19.5" customHeight="1">
      <c r="A32" s="3778"/>
      <c r="B32" s="3775"/>
      <c r="C32" s="3106" t="s">
        <v>2456</v>
      </c>
      <c r="D32" s="3107"/>
      <c r="E32" s="3108">
        <v>0.7</v>
      </c>
      <c r="F32" s="3105" t="s">
        <v>2457</v>
      </c>
      <c r="G32" s="3105"/>
    </row>
    <row r="33" spans="1:7" ht="19.5" customHeight="1">
      <c r="A33" s="3778"/>
      <c r="B33" s="3775"/>
      <c r="C33" s="3106" t="s">
        <v>2458</v>
      </c>
      <c r="D33" s="3107"/>
      <c r="E33" s="3108">
        <v>0.8</v>
      </c>
      <c r="F33" s="3105" t="s">
        <v>2459</v>
      </c>
      <c r="G33" s="3105"/>
    </row>
    <row r="34" spans="1:7" ht="19.5" customHeight="1">
      <c r="A34" s="3778"/>
      <c r="B34" s="3775"/>
      <c r="C34" s="3106" t="s">
        <v>2460</v>
      </c>
      <c r="D34" s="3107"/>
      <c r="E34" s="3108">
        <v>0.6</v>
      </c>
      <c r="F34" s="3105" t="s">
        <v>2461</v>
      </c>
      <c r="G34" s="3105"/>
    </row>
    <row r="35" spans="1:7" ht="19.5" customHeight="1">
      <c r="A35" s="3778"/>
      <c r="B35" s="3775"/>
      <c r="C35" s="3106" t="s">
        <v>2462</v>
      </c>
      <c r="D35" s="3107"/>
      <c r="E35" s="3108">
        <v>0.2</v>
      </c>
      <c r="F35" s="3105" t="s">
        <v>2463</v>
      </c>
      <c r="G35" s="3105"/>
    </row>
    <row r="36" spans="1:7" ht="19.5" customHeight="1">
      <c r="A36" s="3778"/>
      <c r="B36" s="3775"/>
      <c r="C36" s="3106" t="s">
        <v>2464</v>
      </c>
      <c r="D36" s="3107"/>
      <c r="E36" s="3108">
        <v>0.2</v>
      </c>
      <c r="F36" s="3105" t="s">
        <v>2465</v>
      </c>
      <c r="G36" s="3105"/>
    </row>
    <row r="37" spans="1:7" ht="19.5" customHeight="1">
      <c r="A37" s="3778"/>
      <c r="B37" s="3780" t="s">
        <v>2626</v>
      </c>
      <c r="C37" s="3106" t="s">
        <v>2466</v>
      </c>
      <c r="D37" s="3107"/>
      <c r="E37" s="3108">
        <v>0.6</v>
      </c>
      <c r="F37" s="3105" t="s">
        <v>2467</v>
      </c>
      <c r="G37" s="3105"/>
    </row>
    <row r="38" spans="1:7" ht="19.5" customHeight="1">
      <c r="A38" s="3778"/>
      <c r="B38" s="3775"/>
      <c r="C38" s="3106" t="s">
        <v>2468</v>
      </c>
      <c r="D38" s="3107"/>
      <c r="E38" s="3108">
        <v>0.6</v>
      </c>
      <c r="F38" s="3105" t="s">
        <v>2469</v>
      </c>
      <c r="G38" s="3105"/>
    </row>
    <row r="39" spans="1:7" ht="19.5" customHeight="1" thickBot="1">
      <c r="A39" s="3779"/>
      <c r="B39" s="3776"/>
      <c r="C39" s="3109" t="s">
        <v>2470</v>
      </c>
      <c r="D39" s="3110"/>
      <c r="E39" s="3111">
        <v>0.6</v>
      </c>
      <c r="F39" s="3105" t="s">
        <v>2471</v>
      </c>
      <c r="G39" s="3105"/>
    </row>
    <row r="40" spans="1:7" ht="19.5" customHeight="1" thickBot="1">
      <c r="A40" s="3112" t="s">
        <v>2603</v>
      </c>
      <c r="B40" s="3113" t="s">
        <v>2603</v>
      </c>
      <c r="C40" s="3114" t="s">
        <v>2627</v>
      </c>
      <c r="D40" s="3115"/>
      <c r="E40" s="3116">
        <v>1</v>
      </c>
      <c r="F40" s="3105" t="s">
        <v>2472</v>
      </c>
      <c r="G40" s="3105"/>
    </row>
    <row r="41" spans="1:7" ht="19.5" customHeight="1">
      <c r="A41" s="3781" t="s">
        <v>2604</v>
      </c>
      <c r="B41" s="3774" t="s">
        <v>2628</v>
      </c>
      <c r="C41" s="3102" t="s">
        <v>2473</v>
      </c>
      <c r="D41" s="3103"/>
      <c r="E41" s="3104">
        <v>1</v>
      </c>
      <c r="F41" s="3105" t="s">
        <v>2474</v>
      </c>
      <c r="G41" s="3105"/>
    </row>
    <row r="42" spans="1:7" ht="19.5" customHeight="1">
      <c r="A42" s="3782"/>
      <c r="B42" s="3775"/>
      <c r="C42" s="3106" t="s">
        <v>2475</v>
      </c>
      <c r="D42" s="3107"/>
      <c r="E42" s="3108">
        <v>1</v>
      </c>
      <c r="F42" s="3105" t="s">
        <v>2476</v>
      </c>
      <c r="G42" s="3105"/>
    </row>
    <row r="43" spans="1:7" ht="19.5" customHeight="1">
      <c r="A43" s="3782"/>
      <c r="B43" s="3784"/>
      <c r="C43" s="3106" t="s">
        <v>2477</v>
      </c>
      <c r="D43" s="3107"/>
      <c r="E43" s="3108">
        <v>1.5</v>
      </c>
      <c r="F43" s="3105" t="s">
        <v>2478</v>
      </c>
      <c r="G43" s="3105"/>
    </row>
    <row r="44" spans="1:7" ht="19.5" customHeight="1">
      <c r="A44" s="3782"/>
      <c r="B44" s="3117" t="s">
        <v>2629</v>
      </c>
      <c r="C44" s="3106" t="s">
        <v>2630</v>
      </c>
      <c r="D44" s="3107"/>
      <c r="E44" s="3108">
        <v>2</v>
      </c>
      <c r="F44" s="3105" t="s">
        <v>2479</v>
      </c>
      <c r="G44" s="3105"/>
    </row>
    <row r="45" spans="1:7" ht="19.5" customHeight="1">
      <c r="A45" s="3782"/>
      <c r="B45" s="3780" t="s">
        <v>2631</v>
      </c>
      <c r="C45" s="3106" t="s">
        <v>2480</v>
      </c>
      <c r="D45" s="3107"/>
      <c r="E45" s="3108">
        <v>1</v>
      </c>
      <c r="F45" s="3105" t="s">
        <v>2481</v>
      </c>
      <c r="G45" s="3105"/>
    </row>
    <row r="46" spans="1:7" ht="19.5" customHeight="1">
      <c r="A46" s="3782"/>
      <c r="B46" s="3775"/>
      <c r="C46" s="3106" t="s">
        <v>2482</v>
      </c>
      <c r="D46" s="3107"/>
      <c r="E46" s="3108">
        <v>1</v>
      </c>
      <c r="F46" s="3105" t="s">
        <v>2483</v>
      </c>
      <c r="G46" s="3105"/>
    </row>
    <row r="47" spans="1:7" ht="19.5" customHeight="1">
      <c r="A47" s="3782"/>
      <c r="B47" s="3775"/>
      <c r="C47" s="3106" t="s">
        <v>2484</v>
      </c>
      <c r="D47" s="3107"/>
      <c r="E47" s="3108">
        <v>1</v>
      </c>
      <c r="F47" s="3105" t="s">
        <v>2485</v>
      </c>
      <c r="G47" s="3105"/>
    </row>
    <row r="48" spans="1:7" ht="19.5" customHeight="1">
      <c r="A48" s="3782"/>
      <c r="B48" s="3775"/>
      <c r="C48" s="3106" t="s">
        <v>2486</v>
      </c>
      <c r="D48" s="3107"/>
      <c r="E48" s="3108">
        <v>1</v>
      </c>
      <c r="F48" s="3105" t="s">
        <v>2487</v>
      </c>
      <c r="G48" s="3105"/>
    </row>
    <row r="49" spans="1:7" ht="19.5" customHeight="1">
      <c r="A49" s="3782"/>
      <c r="B49" s="3775"/>
      <c r="C49" s="3106" t="s">
        <v>2488</v>
      </c>
      <c r="D49" s="3107"/>
      <c r="E49" s="3108">
        <v>1</v>
      </c>
      <c r="F49" s="3105" t="s">
        <v>2489</v>
      </c>
      <c r="G49" s="3105"/>
    </row>
    <row r="50" spans="1:7" ht="19.5" customHeight="1">
      <c r="A50" s="3782"/>
      <c r="B50" s="3775"/>
      <c r="C50" s="3106" t="s">
        <v>2490</v>
      </c>
      <c r="D50" s="3107"/>
      <c r="E50" s="3108">
        <v>1</v>
      </c>
      <c r="F50" s="3105" t="s">
        <v>2491</v>
      </c>
      <c r="G50" s="3105"/>
    </row>
    <row r="51" spans="1:7" ht="19.5" customHeight="1" thickBot="1">
      <c r="A51" s="3783"/>
      <c r="B51" s="3776"/>
      <c r="C51" s="3109" t="s">
        <v>2492</v>
      </c>
      <c r="D51" s="3110"/>
      <c r="E51" s="3111">
        <v>1</v>
      </c>
      <c r="F51" s="3105" t="s">
        <v>2493</v>
      </c>
      <c r="G51" s="3105"/>
    </row>
    <row r="52" spans="1:7" ht="19.5" customHeight="1">
      <c r="A52" s="3118"/>
      <c r="B52" s="3118"/>
      <c r="C52" s="3118"/>
      <c r="D52" s="3118"/>
      <c r="E52" s="3118"/>
      <c r="F52" s="3118"/>
      <c r="G52" s="3118"/>
    </row>
    <row r="54" spans="1:7" ht="19.5" customHeight="1">
      <c r="A54" s="3119"/>
      <c r="B54" s="3091" t="s">
        <v>2632</v>
      </c>
      <c r="C54" s="3091" t="s">
        <v>2632</v>
      </c>
      <c r="D54" s="3091" t="s">
        <v>2632</v>
      </c>
      <c r="E54" s="3094" t="s">
        <v>2632</v>
      </c>
      <c r="F54" s="3094" t="s">
        <v>2633</v>
      </c>
      <c r="G54" s="3094" t="s">
        <v>2634</v>
      </c>
    </row>
    <row r="55" spans="1:7" ht="19.5" customHeight="1">
      <c r="A55" s="3120"/>
      <c r="B55" s="3094" t="s">
        <v>2601</v>
      </c>
      <c r="C55" s="3094" t="s">
        <v>2601</v>
      </c>
      <c r="D55" s="3094" t="s">
        <v>2601</v>
      </c>
      <c r="E55" s="3091" t="s">
        <v>2602</v>
      </c>
      <c r="F55" s="3091" t="s">
        <v>2604</v>
      </c>
      <c r="G55" s="3091" t="s">
        <v>2635</v>
      </c>
    </row>
    <row r="56" spans="1:7" ht="19.5" customHeight="1">
      <c r="A56" s="3121"/>
      <c r="B56" s="3091">
        <v>1</v>
      </c>
      <c r="C56" s="3091">
        <v>2</v>
      </c>
      <c r="D56" s="3091">
        <v>3</v>
      </c>
      <c r="E56" s="3122" t="s">
        <v>2636</v>
      </c>
      <c r="F56" s="3122" t="s">
        <v>2636</v>
      </c>
      <c r="G56" s="3122" t="s">
        <v>2636</v>
      </c>
    </row>
    <row r="57" spans="1:7" ht="19.5" customHeight="1">
      <c r="A57" s="3123" t="s">
        <v>2589</v>
      </c>
      <c r="B57" s="3091">
        <v>0.7</v>
      </c>
      <c r="C57" s="3091">
        <v>0.4</v>
      </c>
      <c r="D57" s="3091">
        <v>0.3</v>
      </c>
      <c r="E57" s="3122">
        <v>0.3</v>
      </c>
      <c r="F57" s="3091">
        <v>0.3</v>
      </c>
      <c r="G57" s="3091">
        <v>0.2</v>
      </c>
    </row>
    <row r="58" spans="1:7" ht="19.5" customHeight="1">
      <c r="A58" s="3123" t="s">
        <v>2590</v>
      </c>
      <c r="B58" s="3091">
        <v>0.7</v>
      </c>
      <c r="C58" s="3091">
        <v>0.4</v>
      </c>
      <c r="D58" s="3091">
        <v>0.3</v>
      </c>
      <c r="E58" s="3091">
        <v>0.3</v>
      </c>
      <c r="F58" s="3091">
        <v>0.3</v>
      </c>
      <c r="G58" s="3091">
        <v>0.2</v>
      </c>
    </row>
    <row r="59" spans="1:7" ht="19.5" customHeight="1">
      <c r="A59" s="3123" t="s">
        <v>2591</v>
      </c>
      <c r="B59" s="3091">
        <v>0.6</v>
      </c>
      <c r="C59" s="3091">
        <v>0.3</v>
      </c>
      <c r="D59" s="3091">
        <v>0.25</v>
      </c>
      <c r="E59" s="3091">
        <v>0.25</v>
      </c>
      <c r="F59" s="3091">
        <v>0.25</v>
      </c>
      <c r="G59" s="3091">
        <v>0.15</v>
      </c>
    </row>
    <row r="60" spans="1:7" ht="19.5" customHeight="1">
      <c r="A60" s="3123" t="s">
        <v>2592</v>
      </c>
      <c r="B60" s="3091">
        <v>0.6</v>
      </c>
      <c r="C60" s="3091">
        <v>0.3</v>
      </c>
      <c r="D60" s="3091">
        <v>0.25</v>
      </c>
      <c r="E60" s="3091">
        <v>0.25</v>
      </c>
      <c r="F60" s="3091">
        <v>0.25</v>
      </c>
      <c r="G60" s="3091">
        <v>0.15</v>
      </c>
    </row>
    <row r="61" spans="1:7" ht="19.5" customHeight="1">
      <c r="A61" s="3123" t="s">
        <v>2593</v>
      </c>
      <c r="B61" s="3091">
        <v>0.6</v>
      </c>
      <c r="C61" s="3091">
        <v>0.3</v>
      </c>
      <c r="D61" s="3091">
        <v>0.25</v>
      </c>
      <c r="E61" s="3091">
        <v>0.25</v>
      </c>
      <c r="F61" s="3091">
        <v>0.25</v>
      </c>
      <c r="G61" s="3091">
        <v>0.15</v>
      </c>
    </row>
    <row r="62" spans="1:7" ht="19.5" customHeight="1">
      <c r="A62" s="3123" t="s">
        <v>2594</v>
      </c>
      <c r="B62" s="3091">
        <v>0.6</v>
      </c>
      <c r="C62" s="3091">
        <v>0.3</v>
      </c>
      <c r="D62" s="3091">
        <v>0.25</v>
      </c>
      <c r="E62" s="3091">
        <v>0.25</v>
      </c>
      <c r="F62" s="3091">
        <v>0.25</v>
      </c>
      <c r="G62" s="3091">
        <v>0.15</v>
      </c>
    </row>
    <row r="63" spans="1:7" ht="19.5" customHeight="1">
      <c r="A63" s="3123" t="s">
        <v>2595</v>
      </c>
      <c r="B63" s="3091">
        <v>0.6</v>
      </c>
      <c r="C63" s="3091">
        <v>0.3</v>
      </c>
      <c r="D63" s="3091">
        <v>0.25</v>
      </c>
      <c r="E63" s="3091">
        <v>0.25</v>
      </c>
      <c r="F63" s="3091">
        <v>0.25</v>
      </c>
      <c r="G63" s="3091">
        <v>0.15</v>
      </c>
    </row>
    <row r="64" spans="1:7" ht="19.5" customHeight="1">
      <c r="A64" s="3123" t="s">
        <v>2596</v>
      </c>
      <c r="B64" s="3091">
        <v>0.5</v>
      </c>
      <c r="C64" s="3091">
        <v>0.2</v>
      </c>
      <c r="D64" s="3091">
        <v>0.2</v>
      </c>
      <c r="E64" s="3091">
        <v>0.2</v>
      </c>
      <c r="F64" s="3091">
        <v>0.2</v>
      </c>
      <c r="G64" s="3091">
        <v>0.1</v>
      </c>
    </row>
    <row r="65" spans="1:7" ht="19.5" customHeight="1">
      <c r="A65" s="3123" t="s">
        <v>2597</v>
      </c>
      <c r="B65" s="3091">
        <v>0.5</v>
      </c>
      <c r="C65" s="3091">
        <v>0.2</v>
      </c>
      <c r="D65" s="3091">
        <v>0.2</v>
      </c>
      <c r="E65" s="3091">
        <v>0.2</v>
      </c>
      <c r="F65" s="3091">
        <v>0.2</v>
      </c>
      <c r="G65" s="3091">
        <v>0.1</v>
      </c>
    </row>
    <row r="66" spans="1:7" ht="19.5" customHeight="1">
      <c r="A66" s="3123" t="s">
        <v>2598</v>
      </c>
      <c r="B66" s="3091">
        <v>0.5</v>
      </c>
      <c r="C66" s="3091">
        <v>0.2</v>
      </c>
      <c r="D66" s="3091">
        <v>0.2</v>
      </c>
      <c r="E66" s="3091">
        <v>0.2</v>
      </c>
      <c r="F66" s="3091">
        <v>0.2</v>
      </c>
      <c r="G66" s="3091">
        <v>0.1</v>
      </c>
    </row>
    <row r="67" spans="1:7" ht="19.5" customHeight="1">
      <c r="A67" s="3123" t="s">
        <v>2599</v>
      </c>
      <c r="B67" s="3091">
        <v>0.5</v>
      </c>
      <c r="C67" s="3091">
        <v>0.2</v>
      </c>
      <c r="D67" s="3091">
        <v>0.2</v>
      </c>
      <c r="E67" s="3091">
        <v>0.2</v>
      </c>
      <c r="F67" s="3091">
        <v>0.2</v>
      </c>
      <c r="G67" s="3091">
        <v>0.1</v>
      </c>
    </row>
    <row r="68" spans="1:7" ht="19.5" customHeight="1">
      <c r="A68" s="3123" t="s">
        <v>2600</v>
      </c>
      <c r="B68" s="3091">
        <v>0.5</v>
      </c>
      <c r="C68" s="3091">
        <v>0.2</v>
      </c>
      <c r="D68" s="3091">
        <v>0.2</v>
      </c>
      <c r="E68" s="3091">
        <v>0.2</v>
      </c>
      <c r="F68" s="3091">
        <v>0.2</v>
      </c>
      <c r="G68" s="3091">
        <v>0.1</v>
      </c>
    </row>
    <row r="70" spans="1:7" ht="19.5" customHeight="1">
      <c r="A70" s="3124"/>
      <c r="B70" s="3125"/>
      <c r="C70" s="3125"/>
      <c r="D70" s="3125" t="s">
        <v>2637</v>
      </c>
      <c r="E70" s="3125"/>
      <c r="F70" s="3125"/>
    </row>
    <row r="71" spans="1:7" ht="19.5" customHeight="1">
      <c r="A71" s="3117" t="s">
        <v>2638</v>
      </c>
      <c r="B71" s="3117" t="s">
        <v>2639</v>
      </c>
      <c r="C71" s="3117" t="s">
        <v>2640</v>
      </c>
      <c r="D71" s="3117" t="s">
        <v>2641</v>
      </c>
      <c r="E71" s="3117" t="s">
        <v>2642</v>
      </c>
      <c r="F71" s="3117" t="s">
        <v>2643</v>
      </c>
    </row>
    <row r="72" spans="1:7" ht="13.5">
      <c r="A72" s="3117"/>
      <c r="B72" s="3117"/>
      <c r="C72" s="3117" t="s">
        <v>2644</v>
      </c>
      <c r="D72" s="3117"/>
      <c r="E72" s="3117" t="s">
        <v>2615</v>
      </c>
      <c r="F72" s="3117" t="s">
        <v>2615</v>
      </c>
    </row>
    <row r="73" spans="1:7" ht="13.5">
      <c r="A73" s="3117">
        <v>1</v>
      </c>
      <c r="B73" s="3780" t="s">
        <v>2645</v>
      </c>
      <c r="C73" s="3091" t="s">
        <v>2646</v>
      </c>
      <c r="D73" s="3091" t="s">
        <v>2647</v>
      </c>
      <c r="E73" s="3117">
        <v>0.2</v>
      </c>
      <c r="F73" s="3117">
        <v>25</v>
      </c>
    </row>
    <row r="74" spans="1:7" ht="24">
      <c r="A74" s="3117">
        <v>2</v>
      </c>
      <c r="B74" s="3775"/>
      <c r="C74" s="3091" t="s">
        <v>2648</v>
      </c>
      <c r="D74" s="3091" t="s">
        <v>2649</v>
      </c>
      <c r="E74" s="3117">
        <v>0.2</v>
      </c>
      <c r="F74" s="3117">
        <v>25</v>
      </c>
    </row>
    <row r="75" spans="1:7" ht="24">
      <c r="A75" s="3117">
        <v>3</v>
      </c>
      <c r="B75" s="3775"/>
      <c r="C75" s="3091" t="s">
        <v>2650</v>
      </c>
      <c r="D75" s="3091" t="s">
        <v>2651</v>
      </c>
      <c r="E75" s="3117">
        <v>0.2</v>
      </c>
      <c r="F75" s="3117">
        <v>25</v>
      </c>
    </row>
    <row r="76" spans="1:7" ht="13.5">
      <c r="A76" s="3117">
        <v>4</v>
      </c>
      <c r="B76" s="3775"/>
      <c r="C76" s="3091" t="s">
        <v>2652</v>
      </c>
      <c r="D76" s="3091" t="s">
        <v>2653</v>
      </c>
      <c r="E76" s="3117">
        <v>0.15</v>
      </c>
      <c r="F76" s="3117">
        <v>20</v>
      </c>
    </row>
    <row r="77" spans="1:7" ht="24">
      <c r="A77" s="3117">
        <v>5</v>
      </c>
      <c r="B77" s="3775"/>
      <c r="C77" s="3091" t="s">
        <v>2654</v>
      </c>
      <c r="D77" s="3091" t="s">
        <v>2655</v>
      </c>
      <c r="E77" s="3117">
        <v>0.15</v>
      </c>
      <c r="F77" s="3117">
        <v>20</v>
      </c>
    </row>
    <row r="78" spans="1:7" ht="24">
      <c r="A78" s="3117">
        <v>6</v>
      </c>
      <c r="B78" s="3775"/>
      <c r="C78" s="3091" t="s">
        <v>2656</v>
      </c>
      <c r="D78" s="3091" t="s">
        <v>2657</v>
      </c>
      <c r="E78" s="3117">
        <v>0.15</v>
      </c>
      <c r="F78" s="3117">
        <v>20</v>
      </c>
    </row>
    <row r="79" spans="1:7" ht="24">
      <c r="A79" s="3117">
        <v>7</v>
      </c>
      <c r="B79" s="3775"/>
      <c r="C79" s="3091" t="s">
        <v>2658</v>
      </c>
      <c r="D79" s="3091" t="s">
        <v>2659</v>
      </c>
      <c r="E79" s="3117">
        <v>0.15</v>
      </c>
      <c r="F79" s="3117">
        <v>20</v>
      </c>
    </row>
    <row r="80" spans="1:7" ht="24">
      <c r="A80" s="3117">
        <v>8</v>
      </c>
      <c r="B80" s="3775"/>
      <c r="C80" s="3091" t="s">
        <v>2660</v>
      </c>
      <c r="D80" s="3091" t="s">
        <v>2661</v>
      </c>
      <c r="E80" s="3117">
        <v>0.1</v>
      </c>
      <c r="F80" s="3117">
        <v>15</v>
      </c>
    </row>
    <row r="81" spans="1:6" ht="24">
      <c r="A81" s="3117">
        <v>9</v>
      </c>
      <c r="B81" s="3775"/>
      <c r="C81" s="3091" t="s">
        <v>2662</v>
      </c>
      <c r="D81" s="3091" t="s">
        <v>2663</v>
      </c>
      <c r="E81" s="3117">
        <v>0.1</v>
      </c>
      <c r="F81" s="3117">
        <v>15</v>
      </c>
    </row>
    <row r="82" spans="1:6" ht="24">
      <c r="A82" s="3117">
        <v>10</v>
      </c>
      <c r="B82" s="3775"/>
      <c r="C82" s="3091" t="s">
        <v>2664</v>
      </c>
      <c r="D82" s="3091" t="s">
        <v>2665</v>
      </c>
      <c r="E82" s="3117">
        <v>0.1</v>
      </c>
      <c r="F82" s="3117">
        <v>15</v>
      </c>
    </row>
    <row r="83" spans="1:6" ht="24">
      <c r="A83" s="3117">
        <v>11</v>
      </c>
      <c r="B83" s="3775"/>
      <c r="C83" s="3091" t="s">
        <v>2666</v>
      </c>
      <c r="D83" s="3091" t="s">
        <v>2667</v>
      </c>
      <c r="E83" s="3117">
        <v>0.1</v>
      </c>
      <c r="F83" s="3117">
        <v>15</v>
      </c>
    </row>
    <row r="84" spans="1:6" ht="24">
      <c r="A84" s="3117">
        <v>12</v>
      </c>
      <c r="B84" s="3775"/>
      <c r="C84" s="3091" t="s">
        <v>2668</v>
      </c>
      <c r="D84" s="3091" t="s">
        <v>2669</v>
      </c>
      <c r="E84" s="3117">
        <v>0.1</v>
      </c>
      <c r="F84" s="3117">
        <v>15</v>
      </c>
    </row>
    <row r="85" spans="1:6" ht="13.5">
      <c r="A85" s="3117">
        <v>13</v>
      </c>
      <c r="B85" s="3775"/>
      <c r="C85" s="3091" t="s">
        <v>2670</v>
      </c>
      <c r="D85" s="3091" t="s">
        <v>2671</v>
      </c>
      <c r="E85" s="3117">
        <v>0.1</v>
      </c>
      <c r="F85" s="3117">
        <v>15</v>
      </c>
    </row>
    <row r="86" spans="1:6" ht="13.5">
      <c r="A86" s="3117">
        <v>14</v>
      </c>
      <c r="B86" s="3775"/>
      <c r="C86" s="3091" t="s">
        <v>2672</v>
      </c>
      <c r="D86" s="3091" t="s">
        <v>2673</v>
      </c>
      <c r="E86" s="3117">
        <v>0.1</v>
      </c>
      <c r="F86" s="3117">
        <v>15</v>
      </c>
    </row>
    <row r="87" spans="1:6" ht="13.5">
      <c r="A87" s="3117">
        <v>15</v>
      </c>
      <c r="B87" s="3775"/>
      <c r="C87" s="3091" t="s">
        <v>2674</v>
      </c>
      <c r="D87" s="3091" t="s">
        <v>2675</v>
      </c>
      <c r="E87" s="3117">
        <v>0.1</v>
      </c>
      <c r="F87" s="3117">
        <v>15</v>
      </c>
    </row>
    <row r="88" spans="1:6" ht="24">
      <c r="A88" s="3117">
        <v>16</v>
      </c>
      <c r="B88" s="3775"/>
      <c r="C88" s="3091" t="s">
        <v>2676</v>
      </c>
      <c r="D88" s="3091" t="s">
        <v>2677</v>
      </c>
      <c r="E88" s="3117">
        <v>0.1</v>
      </c>
      <c r="F88" s="3117">
        <v>15</v>
      </c>
    </row>
    <row r="89" spans="1:6" ht="24">
      <c r="A89" s="3117">
        <v>17</v>
      </c>
      <c r="B89" s="3784"/>
      <c r="C89" s="3091" t="s">
        <v>2678</v>
      </c>
      <c r="D89" s="3091" t="s">
        <v>2679</v>
      </c>
      <c r="E89" s="3117">
        <v>0.1</v>
      </c>
      <c r="F89" s="3117">
        <v>15</v>
      </c>
    </row>
    <row r="90" spans="1:6" ht="13.5">
      <c r="A90" s="3117">
        <v>18</v>
      </c>
      <c r="B90" s="3780" t="s">
        <v>2680</v>
      </c>
      <c r="C90" s="3091" t="s">
        <v>2681</v>
      </c>
      <c r="D90" s="3091" t="s">
        <v>2682</v>
      </c>
      <c r="E90" s="3117">
        <v>0.2</v>
      </c>
      <c r="F90" s="3117">
        <v>25</v>
      </c>
    </row>
    <row r="91" spans="1:6" ht="24">
      <c r="A91" s="3117">
        <v>19</v>
      </c>
      <c r="B91" s="3775"/>
      <c r="C91" s="3091" t="s">
        <v>2683</v>
      </c>
      <c r="D91" s="3091" t="s">
        <v>2684</v>
      </c>
      <c r="E91" s="3117">
        <v>0.2</v>
      </c>
      <c r="F91" s="3117">
        <v>25</v>
      </c>
    </row>
    <row r="92" spans="1:6" ht="13.5">
      <c r="A92" s="3117">
        <v>20</v>
      </c>
      <c r="B92" s="3775"/>
      <c r="C92" s="3091" t="s">
        <v>2685</v>
      </c>
      <c r="D92" s="3091" t="s">
        <v>2686</v>
      </c>
      <c r="E92" s="3117">
        <v>0.15</v>
      </c>
      <c r="F92" s="3117">
        <v>20</v>
      </c>
    </row>
    <row r="93" spans="1:6" ht="13.5">
      <c r="A93" s="3117">
        <v>21</v>
      </c>
      <c r="B93" s="3775"/>
      <c r="C93" s="3091" t="s">
        <v>2687</v>
      </c>
      <c r="D93" s="3091" t="s">
        <v>2688</v>
      </c>
      <c r="E93" s="3117">
        <v>0.15</v>
      </c>
      <c r="F93" s="3117">
        <v>20</v>
      </c>
    </row>
    <row r="94" spans="1:6" ht="13.5">
      <c r="A94" s="3117">
        <v>22</v>
      </c>
      <c r="B94" s="3775"/>
      <c r="C94" s="3091" t="s">
        <v>2689</v>
      </c>
      <c r="D94" s="3091" t="s">
        <v>2690</v>
      </c>
      <c r="E94" s="3117">
        <v>0.15</v>
      </c>
      <c r="F94" s="3117">
        <v>20</v>
      </c>
    </row>
    <row r="95" spans="1:6" ht="36">
      <c r="A95" s="3117">
        <v>23</v>
      </c>
      <c r="B95" s="3775"/>
      <c r="C95" s="3091" t="s">
        <v>2691</v>
      </c>
      <c r="D95" s="3091" t="s">
        <v>2692</v>
      </c>
      <c r="E95" s="3117">
        <v>0.15</v>
      </c>
      <c r="F95" s="3117">
        <v>20</v>
      </c>
    </row>
    <row r="96" spans="1:6" ht="13.5">
      <c r="A96" s="3117">
        <v>24</v>
      </c>
      <c r="B96" s="3775"/>
      <c r="C96" s="3091" t="s">
        <v>2693</v>
      </c>
      <c r="D96" s="3091" t="s">
        <v>2694</v>
      </c>
      <c r="E96" s="3117">
        <v>0.1</v>
      </c>
      <c r="F96" s="3117">
        <v>15</v>
      </c>
    </row>
    <row r="97" spans="1:6" ht="13.5">
      <c r="A97" s="3117">
        <v>25</v>
      </c>
      <c r="B97" s="3775"/>
      <c r="C97" s="3091" t="s">
        <v>2695</v>
      </c>
      <c r="D97" s="3091" t="s">
        <v>2696</v>
      </c>
      <c r="E97" s="3117">
        <v>0.1</v>
      </c>
      <c r="F97" s="3117">
        <v>15</v>
      </c>
    </row>
    <row r="98" spans="1:6" ht="24">
      <c r="A98" s="3117">
        <v>26</v>
      </c>
      <c r="B98" s="3775"/>
      <c r="C98" s="3091" t="s">
        <v>2697</v>
      </c>
      <c r="D98" s="3091" t="s">
        <v>2698</v>
      </c>
      <c r="E98" s="3117">
        <v>0.1</v>
      </c>
      <c r="F98" s="3117">
        <v>15</v>
      </c>
    </row>
    <row r="99" spans="1:6" ht="24">
      <c r="A99" s="3117">
        <v>27</v>
      </c>
      <c r="B99" s="3775"/>
      <c r="C99" s="3091" t="s">
        <v>2699</v>
      </c>
      <c r="D99" s="3091" t="s">
        <v>2700</v>
      </c>
      <c r="E99" s="3117">
        <v>0.1</v>
      </c>
      <c r="F99" s="3117">
        <v>15</v>
      </c>
    </row>
    <row r="100" spans="1:6" ht="13.5">
      <c r="A100" s="3117">
        <v>28</v>
      </c>
      <c r="B100" s="3775"/>
      <c r="C100" s="3091" t="s">
        <v>2701</v>
      </c>
      <c r="D100" s="3091" t="s">
        <v>2702</v>
      </c>
      <c r="E100" s="3117">
        <v>0.1</v>
      </c>
      <c r="F100" s="3117">
        <v>15</v>
      </c>
    </row>
    <row r="101" spans="1:6" ht="13.5">
      <c r="A101" s="3117">
        <v>29</v>
      </c>
      <c r="B101" s="3775"/>
      <c r="C101" s="3091" t="s">
        <v>2703</v>
      </c>
      <c r="D101" s="3091" t="s">
        <v>2704</v>
      </c>
      <c r="E101" s="3117">
        <v>0.1</v>
      </c>
      <c r="F101" s="3117">
        <v>15</v>
      </c>
    </row>
    <row r="102" spans="1:6" ht="13.5">
      <c r="A102" s="3117">
        <v>30</v>
      </c>
      <c r="B102" s="3775"/>
      <c r="C102" s="3091" t="s">
        <v>2705</v>
      </c>
      <c r="D102" s="3091" t="s">
        <v>2706</v>
      </c>
      <c r="E102" s="3117">
        <v>0.1</v>
      </c>
      <c r="F102" s="3117">
        <v>15</v>
      </c>
    </row>
    <row r="103" spans="1:6" ht="24">
      <c r="A103" s="3117">
        <v>31</v>
      </c>
      <c r="B103" s="3775"/>
      <c r="C103" s="3091" t="s">
        <v>2707</v>
      </c>
      <c r="D103" s="3091" t="s">
        <v>2708</v>
      </c>
      <c r="E103" s="3117">
        <v>0.1</v>
      </c>
      <c r="F103" s="3117">
        <v>15</v>
      </c>
    </row>
    <row r="104" spans="1:6" ht="24">
      <c r="A104" s="3117">
        <v>32</v>
      </c>
      <c r="B104" s="3775"/>
      <c r="C104" s="3091" t="s">
        <v>2709</v>
      </c>
      <c r="D104" s="3091" t="s">
        <v>2710</v>
      </c>
      <c r="E104" s="3117">
        <v>0.1</v>
      </c>
      <c r="F104" s="3117">
        <v>15</v>
      </c>
    </row>
    <row r="105" spans="1:6" ht="24">
      <c r="A105" s="3117">
        <v>33</v>
      </c>
      <c r="B105" s="3775"/>
      <c r="C105" s="3091" t="s">
        <v>2711</v>
      </c>
      <c r="D105" s="3091" t="s">
        <v>2712</v>
      </c>
      <c r="E105" s="3117">
        <v>0.1</v>
      </c>
      <c r="F105" s="3117">
        <v>15</v>
      </c>
    </row>
    <row r="106" spans="1:6" ht="24">
      <c r="A106" s="3117">
        <v>34</v>
      </c>
      <c r="B106" s="3784"/>
      <c r="C106" s="3091" t="s">
        <v>2713</v>
      </c>
      <c r="D106" s="3091" t="s">
        <v>2714</v>
      </c>
      <c r="E106" s="3117">
        <v>0.1</v>
      </c>
      <c r="F106" s="3117">
        <v>15</v>
      </c>
    </row>
    <row r="107" spans="1:6" ht="24">
      <c r="A107" s="3117">
        <v>35</v>
      </c>
      <c r="B107" s="3780" t="s">
        <v>2715</v>
      </c>
      <c r="C107" s="3117" t="s">
        <v>2716</v>
      </c>
      <c r="D107" s="3091" t="s">
        <v>2717</v>
      </c>
      <c r="E107" s="3117">
        <v>0.15</v>
      </c>
      <c r="F107" s="3117">
        <v>20</v>
      </c>
    </row>
    <row r="108" spans="1:6" ht="13.5">
      <c r="A108" s="3117">
        <v>36</v>
      </c>
      <c r="B108" s="3775"/>
      <c r="C108" s="3117" t="s">
        <v>2718</v>
      </c>
      <c r="D108" s="3091" t="s">
        <v>2719</v>
      </c>
      <c r="E108" s="3117">
        <v>0.15</v>
      </c>
      <c r="F108" s="3117">
        <v>20</v>
      </c>
    </row>
    <row r="109" spans="1:6" ht="13.5">
      <c r="A109" s="3117">
        <v>37</v>
      </c>
      <c r="B109" s="3775"/>
      <c r="C109" s="3117" t="s">
        <v>2720</v>
      </c>
      <c r="D109" s="3091" t="s">
        <v>2721</v>
      </c>
      <c r="E109" s="3117">
        <v>0.15</v>
      </c>
      <c r="F109" s="3117">
        <v>20</v>
      </c>
    </row>
    <row r="110" spans="1:6" ht="13.5">
      <c r="A110" s="3117">
        <v>38</v>
      </c>
      <c r="B110" s="3775"/>
      <c r="C110" s="3117" t="s">
        <v>2722</v>
      </c>
      <c r="D110" s="3091" t="s">
        <v>2723</v>
      </c>
      <c r="E110" s="3117">
        <v>0.1</v>
      </c>
      <c r="F110" s="3117">
        <v>15</v>
      </c>
    </row>
    <row r="111" spans="1:6" ht="24">
      <c r="A111" s="3117">
        <v>39</v>
      </c>
      <c r="B111" s="3775"/>
      <c r="C111" s="3117" t="s">
        <v>2724</v>
      </c>
      <c r="D111" s="3091" t="s">
        <v>2725</v>
      </c>
      <c r="E111" s="3117">
        <v>0.1</v>
      </c>
      <c r="F111" s="3117">
        <v>15</v>
      </c>
    </row>
    <row r="112" spans="1:6" ht="24">
      <c r="A112" s="3117">
        <v>40</v>
      </c>
      <c r="B112" s="3784"/>
      <c r="C112" s="3117" t="s">
        <v>2726</v>
      </c>
      <c r="D112" s="3091" t="s">
        <v>2727</v>
      </c>
      <c r="E112" s="3117">
        <v>0.1</v>
      </c>
      <c r="F112" s="3117">
        <v>15</v>
      </c>
    </row>
    <row r="113" spans="1:6" ht="13.5">
      <c r="A113" s="3117">
        <v>41</v>
      </c>
      <c r="B113" s="3785" t="s">
        <v>2728</v>
      </c>
      <c r="C113" s="3117" t="s">
        <v>2729</v>
      </c>
      <c r="D113" s="3091" t="s">
        <v>2730</v>
      </c>
      <c r="E113" s="3117">
        <v>0.1</v>
      </c>
      <c r="F113" s="3117">
        <v>15</v>
      </c>
    </row>
    <row r="114" spans="1:6" ht="13.5">
      <c r="A114" s="3117">
        <v>42</v>
      </c>
      <c r="B114" s="3785"/>
      <c r="C114" s="3117" t="s">
        <v>2731</v>
      </c>
      <c r="D114" s="3091" t="s">
        <v>2732</v>
      </c>
      <c r="E114" s="3117">
        <v>0.1</v>
      </c>
      <c r="F114" s="3117">
        <v>15</v>
      </c>
    </row>
    <row r="115" spans="1:6" ht="24">
      <c r="A115" s="3117">
        <v>43</v>
      </c>
      <c r="B115" s="3785"/>
      <c r="C115" s="3117" t="s">
        <v>2733</v>
      </c>
      <c r="D115" s="3091" t="s">
        <v>2734</v>
      </c>
      <c r="E115" s="3117">
        <v>0.1</v>
      </c>
      <c r="F115" s="3117">
        <v>15</v>
      </c>
    </row>
    <row r="116" spans="1:6" ht="13.5">
      <c r="A116" s="3117">
        <v>44</v>
      </c>
      <c r="B116" s="3780" t="s">
        <v>2735</v>
      </c>
      <c r="C116" s="3117" t="s">
        <v>2736</v>
      </c>
      <c r="D116" s="3091" t="s">
        <v>2737</v>
      </c>
      <c r="E116" s="3117">
        <v>0.1</v>
      </c>
      <c r="F116" s="3117">
        <v>15</v>
      </c>
    </row>
    <row r="117" spans="1:6" ht="24">
      <c r="A117" s="3117">
        <v>45</v>
      </c>
      <c r="B117" s="3784"/>
      <c r="C117" s="3091" t="s">
        <v>2738</v>
      </c>
      <c r="D117" s="3091" t="s">
        <v>2739</v>
      </c>
      <c r="E117" s="3117">
        <v>0.1</v>
      </c>
      <c r="F117" s="3117">
        <v>15</v>
      </c>
    </row>
    <row r="118" spans="1:6" ht="24">
      <c r="A118" s="3117">
        <v>46</v>
      </c>
      <c r="B118" s="3780" t="s">
        <v>2740</v>
      </c>
      <c r="C118" s="3117" t="s">
        <v>2741</v>
      </c>
      <c r="D118" s="3091" t="s">
        <v>2742</v>
      </c>
      <c r="E118" s="3117">
        <v>0.1</v>
      </c>
      <c r="F118" s="3117">
        <v>15</v>
      </c>
    </row>
    <row r="119" spans="1:6" ht="24">
      <c r="A119" s="3117">
        <v>47</v>
      </c>
      <c r="B119" s="3784"/>
      <c r="C119" s="3117" t="s">
        <v>2743</v>
      </c>
      <c r="D119" s="3091" t="s">
        <v>2744</v>
      </c>
      <c r="E119" s="3117">
        <v>0.1</v>
      </c>
      <c r="F119" s="3117">
        <v>15</v>
      </c>
    </row>
    <row r="120" spans="1:6" ht="13.5">
      <c r="A120" s="3117">
        <v>48</v>
      </c>
      <c r="B120" s="3780" t="s">
        <v>2745</v>
      </c>
      <c r="C120" s="3117" t="s">
        <v>2746</v>
      </c>
      <c r="D120" s="3091" t="s">
        <v>2747</v>
      </c>
      <c r="E120" s="3117">
        <v>0.1</v>
      </c>
      <c r="F120" s="3117">
        <v>15</v>
      </c>
    </row>
    <row r="121" spans="1:6" ht="13.5">
      <c r="A121" s="3117">
        <v>49</v>
      </c>
      <c r="B121" s="3784"/>
      <c r="C121" s="3117" t="s">
        <v>2748</v>
      </c>
      <c r="D121" s="3091" t="s">
        <v>2749</v>
      </c>
      <c r="E121" s="3117">
        <v>0.1</v>
      </c>
      <c r="F121" s="3117">
        <v>15</v>
      </c>
    </row>
    <row r="122" spans="1:6" ht="24">
      <c r="A122" s="3117">
        <v>50</v>
      </c>
      <c r="B122" s="3785" t="s">
        <v>2750</v>
      </c>
      <c r="C122" s="3117" t="s">
        <v>2751</v>
      </c>
      <c r="D122" s="3091" t="s">
        <v>2752</v>
      </c>
      <c r="E122" s="3117">
        <v>0.1</v>
      </c>
      <c r="F122" s="3117">
        <v>15</v>
      </c>
    </row>
    <row r="123" spans="1:6" ht="24">
      <c r="A123" s="3117">
        <v>51</v>
      </c>
      <c r="B123" s="3785"/>
      <c r="C123" s="3117" t="s">
        <v>2753</v>
      </c>
      <c r="D123" s="3091" t="s">
        <v>2754</v>
      </c>
      <c r="E123" s="3117">
        <v>0.1</v>
      </c>
      <c r="F123" s="3117">
        <v>15</v>
      </c>
    </row>
    <row r="124" spans="1:6" ht="24">
      <c r="A124" s="3117">
        <v>52</v>
      </c>
      <c r="B124" s="3785" t="s">
        <v>2755</v>
      </c>
      <c r="C124" s="3117" t="s">
        <v>2756</v>
      </c>
      <c r="D124" s="3091" t="s">
        <v>2757</v>
      </c>
      <c r="E124" s="3117">
        <v>0.1</v>
      </c>
      <c r="F124" s="3117">
        <v>15</v>
      </c>
    </row>
    <row r="125" spans="1:6" ht="24">
      <c r="A125" s="3117">
        <v>53</v>
      </c>
      <c r="B125" s="3785"/>
      <c r="C125" s="3117" t="s">
        <v>2758</v>
      </c>
      <c r="D125" s="3091" t="s">
        <v>2759</v>
      </c>
      <c r="E125" s="3117">
        <v>0.1</v>
      </c>
      <c r="F125" s="3117">
        <v>15</v>
      </c>
    </row>
    <row r="126" spans="1:6" ht="13.5">
      <c r="A126" s="3117">
        <v>54</v>
      </c>
      <c r="B126" s="3117" t="s">
        <v>2760</v>
      </c>
      <c r="C126" s="3117" t="s">
        <v>2761</v>
      </c>
      <c r="D126" s="3091" t="s">
        <v>2762</v>
      </c>
      <c r="E126" s="3117">
        <v>0.1</v>
      </c>
      <c r="F126" s="3117">
        <v>15</v>
      </c>
    </row>
    <row r="127" spans="1:6" ht="13.5">
      <c r="A127" s="3117">
        <v>55</v>
      </c>
      <c r="B127" s="3785" t="s">
        <v>2763</v>
      </c>
      <c r="C127" s="3117" t="s">
        <v>2764</v>
      </c>
      <c r="D127" s="3091" t="s">
        <v>2765</v>
      </c>
      <c r="E127" s="3117">
        <v>0.1</v>
      </c>
      <c r="F127" s="3117">
        <v>15</v>
      </c>
    </row>
    <row r="128" spans="1:6" ht="13.5">
      <c r="A128" s="3117">
        <v>56</v>
      </c>
      <c r="B128" s="3785"/>
      <c r="C128" s="3117" t="s">
        <v>2766</v>
      </c>
      <c r="D128" s="3091" t="s">
        <v>2767</v>
      </c>
      <c r="E128" s="3117">
        <v>0.1</v>
      </c>
      <c r="F128" s="3117">
        <v>15</v>
      </c>
    </row>
    <row r="129" spans="1:6" ht="24">
      <c r="A129" s="3117">
        <v>57</v>
      </c>
      <c r="B129" s="3785"/>
      <c r="C129" s="3117" t="s">
        <v>2768</v>
      </c>
      <c r="D129" s="3091" t="s">
        <v>2769</v>
      </c>
      <c r="E129" s="3117">
        <v>0.1</v>
      </c>
      <c r="F129" s="3117">
        <v>15</v>
      </c>
    </row>
    <row r="130" spans="1:6" ht="24">
      <c r="A130" s="3117">
        <v>58</v>
      </c>
      <c r="B130" s="3785" t="s">
        <v>2770</v>
      </c>
      <c r="C130" s="3117" t="s">
        <v>2771</v>
      </c>
      <c r="D130" s="3091" t="s">
        <v>2772</v>
      </c>
      <c r="E130" s="3117">
        <v>0.1</v>
      </c>
      <c r="F130" s="3117">
        <v>15</v>
      </c>
    </row>
    <row r="131" spans="1:6" ht="13.5">
      <c r="A131" s="3117">
        <v>59</v>
      </c>
      <c r="B131" s="3785"/>
      <c r="C131" s="3117" t="s">
        <v>2773</v>
      </c>
      <c r="D131" s="3091" t="s">
        <v>2774</v>
      </c>
      <c r="E131" s="3117">
        <v>0.1</v>
      </c>
      <c r="F131" s="3117">
        <v>15</v>
      </c>
    </row>
    <row r="132" spans="1:6" ht="13.5">
      <c r="A132" s="3117">
        <v>60</v>
      </c>
      <c r="B132" s="3780" t="s">
        <v>2775</v>
      </c>
      <c r="C132" s="3117" t="s">
        <v>2776</v>
      </c>
      <c r="D132" s="3091" t="s">
        <v>2777</v>
      </c>
      <c r="E132" s="3117">
        <v>0.1</v>
      </c>
      <c r="F132" s="3117">
        <v>15</v>
      </c>
    </row>
    <row r="133" spans="1:6" ht="13.5">
      <c r="A133" s="3117">
        <v>61</v>
      </c>
      <c r="B133" s="3784"/>
      <c r="C133" s="3117" t="s">
        <v>2778</v>
      </c>
      <c r="D133" s="3091" t="s">
        <v>2779</v>
      </c>
      <c r="E133" s="3117">
        <v>0.1</v>
      </c>
      <c r="F133" s="3117">
        <v>15</v>
      </c>
    </row>
    <row r="134" spans="1:6" ht="24">
      <c r="A134" s="3117">
        <v>62</v>
      </c>
      <c r="B134" s="3117" t="s">
        <v>2780</v>
      </c>
      <c r="C134" s="3117" t="s">
        <v>2781</v>
      </c>
      <c r="D134" s="3091" t="s">
        <v>2782</v>
      </c>
      <c r="E134" s="3117">
        <v>0.1</v>
      </c>
      <c r="F134" s="3117">
        <v>15</v>
      </c>
    </row>
    <row r="135" spans="1:6" ht="13.5">
      <c r="A135" s="3117">
        <v>63</v>
      </c>
      <c r="B135" s="3785" t="s">
        <v>2783</v>
      </c>
      <c r="C135" s="3117" t="s">
        <v>2784</v>
      </c>
      <c r="D135" s="3091" t="s">
        <v>2785</v>
      </c>
      <c r="E135" s="3117">
        <v>0.1</v>
      </c>
      <c r="F135" s="3117">
        <v>15</v>
      </c>
    </row>
    <row r="136" spans="1:6" ht="13.5">
      <c r="A136" s="3117">
        <v>64</v>
      </c>
      <c r="B136" s="3785"/>
      <c r="C136" s="3117" t="s">
        <v>2786</v>
      </c>
      <c r="D136" s="3091" t="s">
        <v>2787</v>
      </c>
      <c r="E136" s="3117">
        <v>0.1</v>
      </c>
      <c r="F136" s="3117">
        <v>15</v>
      </c>
    </row>
    <row r="137" spans="1:6" ht="13.5">
      <c r="A137" s="3117">
        <v>65</v>
      </c>
      <c r="B137" s="3117" t="s">
        <v>2788</v>
      </c>
      <c r="C137" s="3117" t="s">
        <v>2789</v>
      </c>
      <c r="D137" s="3091" t="s">
        <v>2790</v>
      </c>
      <c r="E137" s="3117">
        <v>0.1</v>
      </c>
      <c r="F137" s="3117">
        <v>15</v>
      </c>
    </row>
    <row r="138" spans="1:6" ht="13.5">
      <c r="A138" s="3117"/>
      <c r="B138" s="3117"/>
      <c r="C138" s="3117"/>
      <c r="D138" s="3117"/>
      <c r="E138" s="3117" t="s">
        <v>2791</v>
      </c>
      <c r="F138" s="3117"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2792</v>
      </c>
      <c r="B1" s="3126"/>
      <c r="C1" s="3126"/>
      <c r="D1" s="3126"/>
      <c r="E1" s="3126"/>
      <c r="F1" s="3126"/>
      <c r="G1" s="3126"/>
      <c r="H1" s="3126"/>
      <c r="I1" s="3126"/>
      <c r="J1" s="3126"/>
      <c r="K1" s="3126"/>
      <c r="L1" s="3126"/>
      <c r="M1" s="3126"/>
      <c r="N1" s="749"/>
    </row>
    <row r="2" spans="1:20">
      <c r="A2" s="3127" t="s">
        <v>2793</v>
      </c>
      <c r="B2" s="3128" t="s">
        <v>2589</v>
      </c>
      <c r="C2" s="3128" t="s">
        <v>2590</v>
      </c>
      <c r="D2" s="3128" t="s">
        <v>2591</v>
      </c>
      <c r="E2" s="3128" t="s">
        <v>2592</v>
      </c>
      <c r="F2" s="3128" t="s">
        <v>2593</v>
      </c>
      <c r="G2" s="3128" t="s">
        <v>2594</v>
      </c>
      <c r="H2" s="3129" t="s">
        <v>2595</v>
      </c>
      <c r="I2" s="3129" t="s">
        <v>2596</v>
      </c>
      <c r="J2" s="3130" t="s">
        <v>2597</v>
      </c>
      <c r="K2" s="3130" t="s">
        <v>2598</v>
      </c>
      <c r="L2" s="3130" t="s">
        <v>2599</v>
      </c>
      <c r="M2" s="3131" t="s">
        <v>2600</v>
      </c>
      <c r="Q2" s="3141" t="s">
        <v>2798</v>
      </c>
      <c r="R2" s="3141" t="s">
        <v>2799</v>
      </c>
      <c r="S2" s="3141" t="s">
        <v>2800</v>
      </c>
      <c r="T2" s="3141" t="s">
        <v>2801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2794</v>
      </c>
      <c r="B93" s="3126"/>
      <c r="C93" s="3126"/>
      <c r="D93" s="3126"/>
      <c r="E93" s="3126"/>
      <c r="F93" s="3126"/>
      <c r="G93" s="3126"/>
      <c r="H93" s="3126"/>
      <c r="I93" s="3126"/>
      <c r="J93" s="3126"/>
      <c r="K93" s="3126"/>
      <c r="L93" s="3126"/>
      <c r="M93" s="3126"/>
    </row>
    <row r="94" spans="1:20">
      <c r="A94" s="3127" t="s">
        <v>2793</v>
      </c>
      <c r="B94" s="3128" t="s">
        <v>2589</v>
      </c>
      <c r="C94" s="3128" t="s">
        <v>2590</v>
      </c>
      <c r="D94" s="3128" t="s">
        <v>2591</v>
      </c>
      <c r="E94" s="3128" t="s">
        <v>2592</v>
      </c>
      <c r="F94" s="3128" t="s">
        <v>2593</v>
      </c>
      <c r="G94" s="3128" t="s">
        <v>2594</v>
      </c>
      <c r="H94" s="3129" t="s">
        <v>2595</v>
      </c>
      <c r="I94" s="3129" t="s">
        <v>2596</v>
      </c>
      <c r="J94" s="3130" t="s">
        <v>2597</v>
      </c>
      <c r="K94" s="3130" t="s">
        <v>2598</v>
      </c>
      <c r="L94" s="3130" t="s">
        <v>2599</v>
      </c>
      <c r="M94" s="3131" t="s">
        <v>2600</v>
      </c>
      <c r="N94" s="750">
        <f>SUMPRODUCT((A95:A184=ROUNDDOWN(基准地价修正!G3,1))*(B94:M94=基准地价修正!G2)*(B95:M184))</f>
        <v>1.2302</v>
      </c>
      <c r="Q94" s="3141" t="s">
        <v>2798</v>
      </c>
      <c r="R94" s="3141" t="s">
        <v>2799</v>
      </c>
      <c r="S94" s="3141" t="s">
        <v>2800</v>
      </c>
      <c r="T94" s="3141" t="s">
        <v>2801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2795</v>
      </c>
      <c r="B185" s="3126"/>
      <c r="C185" s="3126"/>
      <c r="D185" s="3126"/>
      <c r="E185" s="3126"/>
      <c r="F185" s="3126"/>
      <c r="G185" s="3126"/>
      <c r="H185" s="3126"/>
      <c r="I185" s="3126"/>
      <c r="J185" s="3126"/>
      <c r="K185" s="3126"/>
      <c r="L185" s="3126"/>
      <c r="M185" s="3126"/>
    </row>
    <row r="186" spans="1:20">
      <c r="A186" s="3127" t="s">
        <v>2793</v>
      </c>
      <c r="B186" s="3128" t="s">
        <v>2589</v>
      </c>
      <c r="C186" s="3128" t="s">
        <v>2590</v>
      </c>
      <c r="D186" s="3128" t="s">
        <v>2591</v>
      </c>
      <c r="E186" s="3128" t="s">
        <v>2592</v>
      </c>
      <c r="F186" s="3128" t="s">
        <v>2593</v>
      </c>
      <c r="G186" s="3128" t="s">
        <v>2594</v>
      </c>
      <c r="H186" s="3129" t="s">
        <v>2595</v>
      </c>
      <c r="I186" s="3129" t="s">
        <v>2596</v>
      </c>
      <c r="J186" s="3130" t="s">
        <v>2597</v>
      </c>
      <c r="K186" s="3130" t="s">
        <v>2598</v>
      </c>
      <c r="L186" s="3130" t="s">
        <v>2599</v>
      </c>
      <c r="M186" s="3131" t="s">
        <v>2600</v>
      </c>
      <c r="Q186" s="3141" t="s">
        <v>2798</v>
      </c>
      <c r="R186" s="3141" t="s">
        <v>2799</v>
      </c>
      <c r="S186" s="3141" t="s">
        <v>2800</v>
      </c>
      <c r="T186" s="3141" t="s">
        <v>2801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2796</v>
      </c>
      <c r="B277" s="3126"/>
      <c r="C277" s="3126"/>
      <c r="D277" s="3126"/>
      <c r="E277" s="3126"/>
      <c r="F277" s="3126"/>
      <c r="G277" s="3126"/>
      <c r="H277" s="3126"/>
      <c r="I277" s="3126"/>
      <c r="J277" s="3126"/>
      <c r="K277" s="3126"/>
      <c r="L277" s="3126"/>
      <c r="M277" s="3126"/>
    </row>
    <row r="278" spans="1:21">
      <c r="A278" s="3127" t="s">
        <v>2793</v>
      </c>
      <c r="B278" s="3128" t="s">
        <v>2589</v>
      </c>
      <c r="C278" s="3128" t="s">
        <v>2590</v>
      </c>
      <c r="D278" s="3128" t="s">
        <v>2591</v>
      </c>
      <c r="E278" s="3128" t="s">
        <v>2592</v>
      </c>
      <c r="F278" s="3128" t="s">
        <v>2593</v>
      </c>
      <c r="G278" s="3128" t="s">
        <v>2594</v>
      </c>
      <c r="H278" s="3129" t="s">
        <v>2595</v>
      </c>
      <c r="I278" s="3129" t="s">
        <v>2596</v>
      </c>
      <c r="J278" s="3130" t="s">
        <v>2597</v>
      </c>
      <c r="K278" s="3130" t="s">
        <v>2598</v>
      </c>
      <c r="L278" s="3130" t="s">
        <v>2599</v>
      </c>
      <c r="M278" s="3131" t="s">
        <v>2600</v>
      </c>
      <c r="Q278" s="3141" t="s">
        <v>2798</v>
      </c>
      <c r="R278" s="3141" t="s">
        <v>2799</v>
      </c>
      <c r="S278" s="3141" t="s">
        <v>2802</v>
      </c>
      <c r="T278" s="3141" t="s">
        <v>2803</v>
      </c>
      <c r="U278" s="3141" t="s">
        <v>2801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2797</v>
      </c>
      <c r="B369" s="3139"/>
      <c r="C369" s="3139"/>
      <c r="D369" s="3139"/>
      <c r="E369" s="3139"/>
      <c r="F369" s="3139"/>
      <c r="G369" s="3139"/>
      <c r="H369" s="3139"/>
      <c r="I369" s="3139"/>
      <c r="J369" s="3139"/>
      <c r="K369" s="3139"/>
      <c r="L369" s="3139"/>
      <c r="M369" s="3139"/>
    </row>
    <row r="370" spans="1:20">
      <c r="A370" s="3127" t="s">
        <v>2793</v>
      </c>
      <c r="B370" s="3128" t="s">
        <v>2589</v>
      </c>
      <c r="C370" s="3128" t="s">
        <v>2590</v>
      </c>
      <c r="D370" s="3128" t="s">
        <v>2591</v>
      </c>
      <c r="E370" s="3128" t="s">
        <v>2592</v>
      </c>
      <c r="F370" s="3128" t="s">
        <v>2593</v>
      </c>
      <c r="G370" s="3128" t="s">
        <v>2594</v>
      </c>
      <c r="H370" s="3129" t="s">
        <v>2595</v>
      </c>
      <c r="I370" s="3129" t="s">
        <v>2596</v>
      </c>
      <c r="J370" s="3130" t="s">
        <v>2597</v>
      </c>
      <c r="K370" s="3130" t="s">
        <v>2598</v>
      </c>
      <c r="L370" s="3130" t="s">
        <v>2599</v>
      </c>
      <c r="M370" s="3131" t="s">
        <v>2600</v>
      </c>
      <c r="N370" s="750">
        <f>SUMPRODUCT((A371:A460=ROUNDDOWN(基准地价修正!G3,1))*(B370:M370=基准地价修正!G2)*(B371:M460))</f>
        <v>1.1198999999999999</v>
      </c>
      <c r="Q370" s="3141" t="s">
        <v>2798</v>
      </c>
      <c r="R370" s="3141" t="s">
        <v>2799</v>
      </c>
      <c r="S370" s="3141" t="s">
        <v>2800</v>
      </c>
      <c r="T370" s="3141" t="s">
        <v>2801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v>
      </c>
      <c r="B3" s="3471"/>
      <c r="C3" s="3471"/>
      <c r="D3" s="3471"/>
      <c r="E3" s="3471"/>
    </row>
    <row r="4" spans="1:5" ht="19.5" thickBot="1">
      <c r="A4" s="1492"/>
      <c r="B4" s="3469" t="s">
        <v>917</v>
      </c>
      <c r="C4" s="3469"/>
      <c r="D4" s="3469"/>
      <c r="E4" s="1492"/>
    </row>
    <row r="5" spans="1:5" ht="16.5" thickTop="1">
      <c r="A5" s="1490"/>
      <c r="B5" s="3467" t="s">
        <v>909</v>
      </c>
      <c r="C5" s="1493" t="s">
        <v>910</v>
      </c>
      <c r="D5" s="850">
        <f ca="1">结果表!H101</f>
        <v>17896</v>
      </c>
      <c r="E5" s="1490"/>
    </row>
    <row r="6" spans="1:5" ht="15.75">
      <c r="A6" s="1490"/>
      <c r="B6" s="3467"/>
      <c r="C6" s="1493" t="s">
        <v>911</v>
      </c>
      <c r="D6" s="850" t="str">
        <f ca="1">NUMBERSTRING(INT(D5*10000),2)&amp;"元整"</f>
        <v>壹亿柒仟捌佰玖拾陆万元整</v>
      </c>
      <c r="E6" s="1490"/>
    </row>
    <row r="7" spans="1:5" ht="15.75">
      <c r="A7" s="1490"/>
      <c r="B7" s="3472"/>
      <c r="C7" s="1494" t="s">
        <v>912</v>
      </c>
      <c r="D7" s="851">
        <f ca="1">结果表!H102</f>
        <v>6600</v>
      </c>
      <c r="E7" s="1490"/>
    </row>
    <row r="8" spans="1:5" ht="15.75">
      <c r="A8" s="1490"/>
      <c r="B8" s="3473" t="str">
        <f>结果表!E103</f>
        <v>2.估价师知悉的法定优先受偿款</v>
      </c>
      <c r="C8" s="1495" t="s">
        <v>913</v>
      </c>
      <c r="D8" s="851">
        <f>结果表!H103</f>
        <v>0</v>
      </c>
      <c r="E8" s="1490"/>
    </row>
    <row r="9" spans="1:5" ht="15.75">
      <c r="A9" s="1490"/>
      <c r="B9" s="3475"/>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66" t="str">
        <f>结果表!E107</f>
        <v>3.房地产抵押价值</v>
      </c>
      <c r="C13" s="1498" t="s">
        <v>910</v>
      </c>
      <c r="D13" s="853">
        <f ca="1">结果表!H107</f>
        <v>17896</v>
      </c>
      <c r="E13" s="1490"/>
    </row>
    <row r="14" spans="1:5" ht="15.75">
      <c r="A14" s="1490"/>
      <c r="B14" s="3467"/>
      <c r="C14" s="1493" t="s">
        <v>911</v>
      </c>
      <c r="D14" s="850" t="str">
        <f ca="1">NUMBERSTRING(INT(D13*10000),2)&amp;"元整"</f>
        <v>壹亿柒仟捌佰玖拾陆万元整</v>
      </c>
      <c r="E14" s="1490"/>
    </row>
    <row r="15" spans="1:5" ht="15">
      <c r="A15" s="1490"/>
      <c r="B15" s="3472"/>
      <c r="C15" s="1494" t="s">
        <v>921</v>
      </c>
      <c r="D15" s="859">
        <f ca="1">结果表!H108</f>
        <v>6600</v>
      </c>
      <c r="E15" s="1490"/>
    </row>
    <row r="16" spans="1:5" ht="15">
      <c r="A16" s="1490"/>
      <c r="B16" s="3473" t="str">
        <f>结果表!E109</f>
        <v>——</v>
      </c>
      <c r="C16" s="1498" t="s">
        <v>922</v>
      </c>
      <c r="D16" s="1499" t="str">
        <f>结果表!H109</f>
        <v>——</v>
      </c>
      <c r="E16" s="1490"/>
    </row>
    <row r="17" spans="1:5" ht="15.75">
      <c r="A17" s="1490"/>
      <c r="B17" s="3474"/>
      <c r="C17" s="1493" t="s">
        <v>923</v>
      </c>
      <c r="D17" s="850" t="e">
        <f>NUMBERSTRING(INT(D16*10000),2)&amp;"元整"</f>
        <v>#VALUE!</v>
      </c>
      <c r="E17" s="1490"/>
    </row>
    <row r="18" spans="1:5" ht="15">
      <c r="A18" s="1490"/>
      <c r="B18" s="3475"/>
      <c r="C18" s="1494" t="s">
        <v>912</v>
      </c>
      <c r="D18" s="859" t="str">
        <f>结果表!H110</f>
        <v>——</v>
      </c>
      <c r="E18" s="1490"/>
    </row>
    <row r="19" spans="1:5" ht="15.75">
      <c r="A19" s="1490"/>
      <c r="B19" s="3466" t="str">
        <f>结果表!E111</f>
        <v>——</v>
      </c>
      <c r="C19" s="1498" t="s">
        <v>910</v>
      </c>
      <c r="D19" s="851" t="str">
        <f>结果表!H111</f>
        <v>——</v>
      </c>
      <c r="E19" s="1490"/>
    </row>
    <row r="20" spans="1:5" ht="15.75">
      <c r="A20" s="1490"/>
      <c r="B20" s="3467"/>
      <c r="C20" s="1493" t="s">
        <v>923</v>
      </c>
      <c r="D20" s="850" t="e">
        <f>NUMBERSTRING(INT(D19*10000),2)&amp;"元整"</f>
        <v>#VALUE!</v>
      </c>
      <c r="E20" s="1490"/>
    </row>
    <row r="21" spans="1:5" ht="15.75" thickBot="1">
      <c r="A21" s="1490"/>
      <c r="B21" s="3468"/>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31372</v>
      </c>
      <c r="C2" s="2" t="s">
        <v>106</v>
      </c>
      <c r="D2" s="199"/>
      <c r="E2" s="199"/>
      <c r="F2" s="199"/>
      <c r="G2" s="199"/>
    </row>
    <row r="3" spans="1:7" s="200" customFormat="1" ht="18" customHeight="1" thickBot="1">
      <c r="A3" s="203" t="s">
        <v>58</v>
      </c>
      <c r="B3" s="204">
        <f ca="1">ROUND(B2*10000/'数据-汇总表'!E3,0)</f>
        <v>11571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515</v>
      </c>
      <c r="D10" s="845">
        <f>'数据-汇总表'!E6</f>
        <v>27113.21</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542</v>
      </c>
      <c r="D19" s="849">
        <f>'数据-汇总表'!E3</f>
        <v>27113.21</v>
      </c>
      <c r="E19" s="211">
        <f>'数据-取费表'!B31</f>
        <v>200</v>
      </c>
      <c r="F19" s="231"/>
      <c r="G19" s="1" t="s">
        <v>436</v>
      </c>
    </row>
    <row r="20" spans="1:7" s="214" customFormat="1" ht="13.5" customHeight="1">
      <c r="A20" s="777" t="s">
        <v>419</v>
      </c>
      <c r="B20" s="210" t="s">
        <v>77</v>
      </c>
      <c r="C20" s="232">
        <f>ROUND((C5+C19)*F20,0)</f>
        <v>423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737</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19</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1079</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1079</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25252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6350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5558</v>
      </c>
      <c r="D34" s="217"/>
      <c r="E34" s="220"/>
      <c r="F34" s="257">
        <f>IF('数据-取费表'!B24=0,1,'数据-取费表'!N16)</f>
        <v>1</v>
      </c>
      <c r="G34" s="219" t="s">
        <v>89</v>
      </c>
    </row>
    <row r="35" spans="1:7" ht="13.5" customHeight="1">
      <c r="A35" s="780" t="s">
        <v>351</v>
      </c>
      <c r="B35" s="215" t="s">
        <v>33</v>
      </c>
      <c r="C35" s="220">
        <f>ROUND(C34*F35,0)</f>
        <v>167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542</v>
      </c>
      <c r="D37" s="217">
        <f>'数据-汇总表'!E3</f>
        <v>27113.21</v>
      </c>
      <c r="E37" s="249">
        <f>'数据-取费表'!B35</f>
        <v>200</v>
      </c>
      <c r="F37" s="259"/>
      <c r="G37" s="261" t="s">
        <v>92</v>
      </c>
    </row>
    <row r="38" spans="1:7" ht="13.5" customHeight="1">
      <c r="A38" s="780" t="s">
        <v>354</v>
      </c>
      <c r="B38" s="215" t="s">
        <v>36</v>
      </c>
      <c r="C38" s="220">
        <f>ROUND(C34*F38,0)</f>
        <v>83</v>
      </c>
      <c r="D38" s="220"/>
      <c r="E38" s="220"/>
      <c r="F38" s="259">
        <f>'数据-取费表'!B36</f>
        <v>1.4999999999999999E-2</v>
      </c>
      <c r="G38" s="219" t="s">
        <v>90</v>
      </c>
    </row>
    <row r="39" spans="1:7" s="214" customFormat="1" ht="13.5" customHeight="1">
      <c r="A39" s="777" t="s">
        <v>338</v>
      </c>
      <c r="B39" s="210" t="s">
        <v>77</v>
      </c>
      <c r="C39" s="232">
        <f>ROUND(C33*F20,0)</f>
        <v>127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112</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110</v>
      </c>
      <c r="D42" s="238"/>
      <c r="E42" s="238"/>
      <c r="F42" s="239"/>
      <c r="G42" s="3690" t="s">
        <v>94</v>
      </c>
    </row>
    <row r="43" spans="1:7" ht="13.5" customHeight="1">
      <c r="A43" s="780" t="s">
        <v>347</v>
      </c>
      <c r="B43" s="215" t="s">
        <v>426</v>
      </c>
      <c r="C43" s="238">
        <f ca="1">ROUND(IF('数据-取费表'!B22&lt;=1,C39*F22*'数据-取费表'!B21/2,C39*(POWER((1+F22),'数据-取费表'!B21/2)-1)),0)</f>
        <v>2</v>
      </c>
      <c r="D43" s="238"/>
      <c r="E43" s="238"/>
      <c r="F43" s="239"/>
      <c r="G43" s="3691"/>
    </row>
    <row r="44" spans="1:7" ht="13.5" customHeight="1">
      <c r="A44" s="780" t="s">
        <v>348</v>
      </c>
      <c r="B44" s="215" t="s">
        <v>428</v>
      </c>
      <c r="C44" s="238">
        <f ca="1">ROUND(IF('数据-取费表'!B22&lt;=1,C40*F22*'数据-取费表'!B21/2,C40*(POWER((1+F22),'数据-取费表'!B21/2)-1)),4)</f>
        <v>2.9999999999999997E-4</v>
      </c>
      <c r="D44" s="238"/>
      <c r="E44" s="238"/>
      <c r="F44" s="239"/>
      <c r="G44" s="3692"/>
    </row>
    <row r="45" spans="1:7" s="214" customFormat="1" ht="13.5" customHeight="1">
      <c r="A45" s="777" t="s">
        <v>341</v>
      </c>
      <c r="B45" s="244" t="s">
        <v>85</v>
      </c>
      <c r="C45" s="245">
        <f>C46</f>
        <v>324</v>
      </c>
      <c r="D45" s="235">
        <f>C47</f>
        <v>1E-3</v>
      </c>
      <c r="E45" s="236" t="s">
        <v>102</v>
      </c>
      <c r="F45" s="246"/>
      <c r="G45" s="247" t="s">
        <v>434</v>
      </c>
    </row>
    <row r="46" spans="1:7" s="214" customFormat="1" ht="13.5" customHeight="1">
      <c r="A46" s="780" t="s">
        <v>349</v>
      </c>
      <c r="B46" s="248" t="s">
        <v>427</v>
      </c>
      <c r="C46" s="249">
        <f>ROUND((C33+C39)*F27,0)</f>
        <v>324</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7463</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6120</v>
      </c>
      <c r="D51" s="232"/>
      <c r="E51" s="232"/>
      <c r="F51" s="264"/>
      <c r="G51" s="234" t="s">
        <v>37</v>
      </c>
    </row>
    <row r="52" spans="1:7" s="208" customFormat="1" ht="16.5" thickBot="1">
      <c r="A52" s="265" t="s">
        <v>38</v>
      </c>
      <c r="B52" s="266"/>
      <c r="C52" s="267">
        <f ca="1">C31+C51</f>
        <v>31372</v>
      </c>
      <c r="D52" s="266"/>
      <c r="E52" s="266"/>
      <c r="F52" s="266"/>
      <c r="G52" s="268"/>
    </row>
    <row r="55" spans="1:7" ht="15">
      <c r="B55" s="270" t="s">
        <v>39</v>
      </c>
      <c r="C55" s="271"/>
    </row>
    <row r="56" spans="1:7">
      <c r="B56" s="273" t="s">
        <v>40</v>
      </c>
      <c r="C56" s="274">
        <f ca="1">ROUND(C51/C52,3)</f>
        <v>0.19500000000000001</v>
      </c>
    </row>
    <row r="57" spans="1:7">
      <c r="B57" s="273" t="s">
        <v>41</v>
      </c>
      <c r="C57" s="275">
        <f ca="1">1-C56</f>
        <v>0.80499999999999994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8" t="s">
        <v>2835</v>
      </c>
      <c r="B1" s="3788"/>
      <c r="C1" s="3788"/>
      <c r="D1" s="3788"/>
      <c r="E1" s="3788"/>
      <c r="F1" s="3788"/>
      <c r="G1" s="3789"/>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786" t="s">
        <v>2862</v>
      </c>
      <c r="B3" s="3229"/>
      <c r="C3" s="3230" t="s">
        <v>2805</v>
      </c>
      <c r="D3" s="3230" t="s">
        <v>2863</v>
      </c>
      <c r="E3" s="3230" t="s">
        <v>2807</v>
      </c>
      <c r="F3" s="3230" t="s">
        <v>2864</v>
      </c>
      <c r="G3" s="3230" t="s">
        <v>2625</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787"/>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0" t="s">
        <v>3177</v>
      </c>
      <c r="B1" s="3790"/>
    </row>
    <row r="2" spans="1:7" ht="14.25" thickBot="1">
      <c r="A2" s="3254"/>
      <c r="B2" s="3254"/>
    </row>
    <row r="3" spans="1:7" ht="14.25" thickBot="1">
      <c r="A3" s="3254"/>
      <c r="B3" s="3254"/>
      <c r="C3" s="3255" t="s">
        <v>2805</v>
      </c>
      <c r="D3" s="3255" t="s">
        <v>2863</v>
      </c>
      <c r="E3" s="3255" t="s">
        <v>2807</v>
      </c>
      <c r="F3" s="3255" t="s">
        <v>2864</v>
      </c>
      <c r="G3" s="3255" t="s">
        <v>2625</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1" t="s">
        <v>3228</v>
      </c>
      <c r="B1" s="3791"/>
      <c r="C1" s="3791"/>
      <c r="D1" s="3791"/>
      <c r="E1" s="3791"/>
      <c r="F1" s="3792"/>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8" sqref="H8"/>
    </sheetView>
  </sheetViews>
  <sheetFormatPr defaultRowHeight="13.5"/>
  <cols>
    <col min="1" max="1" width="13.875" customWidth="1"/>
    <col min="11" max="17" width="0" hidden="1" customWidth="1"/>
    <col min="25" max="30" width="0" hidden="1" customWidth="1"/>
  </cols>
  <sheetData>
    <row r="1" spans="1:30">
      <c r="A1" s="3220">
        <f>基准地价修正!G23</f>
        <v>45195</v>
      </c>
      <c r="B1" s="3209" t="s">
        <v>2834</v>
      </c>
      <c r="C1" s="3210"/>
      <c r="D1" s="3210"/>
      <c r="E1" s="3210"/>
      <c r="F1" s="3210"/>
      <c r="G1" s="3210"/>
      <c r="H1" s="3210"/>
      <c r="I1" s="3210"/>
      <c r="J1" s="3164"/>
      <c r="K1" s="3210" t="s">
        <v>454</v>
      </c>
      <c r="L1" s="3210"/>
      <c r="M1" s="3210"/>
      <c r="N1" s="3210"/>
      <c r="O1" s="3210"/>
      <c r="P1" s="3210"/>
      <c r="Q1" s="3164"/>
      <c r="R1" s="3793" t="s">
        <v>456</v>
      </c>
      <c r="S1" s="3794"/>
      <c r="T1" s="3794"/>
      <c r="U1" s="3794"/>
      <c r="V1" s="3794"/>
      <c r="W1" s="3794"/>
      <c r="X1" s="3164"/>
      <c r="Y1" s="3793" t="s">
        <v>457</v>
      </c>
      <c r="Z1" s="3794"/>
      <c r="AA1" s="3794"/>
      <c r="AB1" s="3794"/>
      <c r="AC1" s="3794"/>
      <c r="AD1" s="3794"/>
    </row>
    <row r="2" spans="1:30" s="3142" customFormat="1" ht="14.25" thickBot="1">
      <c r="B2" s="3143"/>
      <c r="C2" s="3144"/>
      <c r="D2" s="3145" t="s">
        <v>2804</v>
      </c>
      <c r="E2" s="3146" t="s">
        <v>2805</v>
      </c>
      <c r="F2" s="3146" t="s">
        <v>2806</v>
      </c>
      <c r="G2" s="3146" t="s">
        <v>2807</v>
      </c>
      <c r="H2" s="3146" t="s">
        <v>2808</v>
      </c>
      <c r="I2" s="3146" t="s">
        <v>2625</v>
      </c>
      <c r="J2" s="3147"/>
      <c r="K2" s="3145" t="s">
        <v>2804</v>
      </c>
      <c r="L2" s="3146" t="s">
        <v>2805</v>
      </c>
      <c r="M2" s="3146" t="s">
        <v>2806</v>
      </c>
      <c r="N2" s="3146" t="s">
        <v>2807</v>
      </c>
      <c r="O2" s="3146" t="s">
        <v>2809</v>
      </c>
      <c r="P2" s="3146" t="s">
        <v>2625</v>
      </c>
      <c r="Q2" s="3147"/>
      <c r="R2" s="3145" t="s">
        <v>2804</v>
      </c>
      <c r="S2" s="3146" t="s">
        <v>2805</v>
      </c>
      <c r="T2" s="3146" t="s">
        <v>2806</v>
      </c>
      <c r="U2" s="3146" t="s">
        <v>2810</v>
      </c>
      <c r="V2" s="3146" t="s">
        <v>2811</v>
      </c>
      <c r="W2" s="3146" t="s">
        <v>2625</v>
      </c>
      <c r="X2" s="3147"/>
      <c r="Y2" s="3145" t="s">
        <v>2804</v>
      </c>
      <c r="Z2" s="3146" t="s">
        <v>2805</v>
      </c>
      <c r="AA2" s="3146" t="s">
        <v>2806</v>
      </c>
      <c r="AB2" s="3146" t="s">
        <v>2812</v>
      </c>
      <c r="AC2" s="3146" t="s">
        <v>2811</v>
      </c>
      <c r="AD2" s="3146" t="s">
        <v>2625</v>
      </c>
    </row>
    <row r="3" spans="1:30" s="3160" customFormat="1" ht="12.75">
      <c r="A3" s="3148" t="s">
        <v>2813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3364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3365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3369</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3368</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3366</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3360</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3351</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2814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2815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2816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2817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2818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3362</v>
      </c>
    </row>
    <row r="19" spans="1:30" s="3008" customFormat="1">
      <c r="I19" s="3207" t="s">
        <v>2819</v>
      </c>
    </row>
    <row r="20" spans="1:30" s="3008" customFormat="1"/>
    <row r="21" spans="1:30" s="3208" customFormat="1" ht="12.75">
      <c r="B21" s="3209" t="s">
        <v>2820</v>
      </c>
      <c r="C21" s="3210"/>
      <c r="D21" s="3210"/>
      <c r="E21" s="3210"/>
      <c r="F21" s="3210"/>
      <c r="G21" s="3210"/>
      <c r="H21" s="3210"/>
      <c r="I21" s="3210"/>
      <c r="J21" s="3164"/>
      <c r="K21" s="3210" t="s">
        <v>2821</v>
      </c>
      <c r="L21" s="3210"/>
      <c r="M21" s="3210"/>
      <c r="N21" s="3210"/>
      <c r="O21" s="3210"/>
      <c r="P21" s="3210"/>
      <c r="Q21" s="3164"/>
      <c r="R21" s="3793" t="s">
        <v>2822</v>
      </c>
      <c r="S21" s="3794"/>
      <c r="T21" s="3794"/>
      <c r="U21" s="3794"/>
      <c r="V21" s="3794"/>
      <c r="W21" s="3794"/>
      <c r="X21" s="3164"/>
      <c r="Y21" s="3793" t="s">
        <v>2823</v>
      </c>
      <c r="Z21" s="3794"/>
      <c r="AA21" s="3794"/>
      <c r="AB21" s="3794"/>
      <c r="AC21" s="3794"/>
      <c r="AD21" s="3794"/>
    </row>
    <row r="22" spans="1:30" s="3142" customFormat="1" ht="14.25" thickBot="1">
      <c r="B22" s="3143"/>
      <c r="C22" s="3144"/>
      <c r="D22" s="3145" t="s">
        <v>2824</v>
      </c>
      <c r="E22" s="3146" t="s">
        <v>2825</v>
      </c>
      <c r="F22" s="3146" t="s">
        <v>2826</v>
      </c>
      <c r="G22" s="3146" t="s">
        <v>2827</v>
      </c>
      <c r="H22" s="3146"/>
      <c r="I22" s="3146" t="s">
        <v>2828</v>
      </c>
      <c r="J22" s="3147"/>
      <c r="K22" s="3145" t="s">
        <v>2824</v>
      </c>
      <c r="L22" s="3146" t="s">
        <v>2825</v>
      </c>
      <c r="M22" s="3146" t="s">
        <v>2826</v>
      </c>
      <c r="N22" s="3146" t="s">
        <v>2827</v>
      </c>
      <c r="O22" s="3146"/>
      <c r="P22" s="3146" t="s">
        <v>2828</v>
      </c>
      <c r="Q22" s="3147"/>
      <c r="R22" s="3145" t="s">
        <v>2824</v>
      </c>
      <c r="S22" s="3146" t="s">
        <v>2825</v>
      </c>
      <c r="T22" s="3146" t="s">
        <v>2826</v>
      </c>
      <c r="U22" s="3146" t="s">
        <v>2827</v>
      </c>
      <c r="V22" s="3146"/>
      <c r="W22" s="3146" t="s">
        <v>2828</v>
      </c>
      <c r="X22" s="3147"/>
      <c r="Y22" s="3145" t="s">
        <v>2824</v>
      </c>
      <c r="Z22" s="3146" t="s">
        <v>2825</v>
      </c>
      <c r="AA22" s="3146" t="s">
        <v>2826</v>
      </c>
      <c r="AB22" s="3146" t="s">
        <v>2827</v>
      </c>
      <c r="AC22" s="3146"/>
      <c r="AD22" s="3146" t="s">
        <v>2828</v>
      </c>
    </row>
    <row r="23" spans="1:30" s="3160" customFormat="1" ht="12.75">
      <c r="A23" s="3148" t="s">
        <v>2829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3364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3365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3367</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3368</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3366</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3361</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3351</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2818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25" zoomScale="80" zoomScaleNormal="80" workbookViewId="0">
      <selection activeCell="F7" sqref="F7"/>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0" t="s">
        <v>452</v>
      </c>
      <c r="C1" s="3800"/>
      <c r="D1" s="3800"/>
      <c r="E1" s="3800"/>
      <c r="F1" s="3800"/>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45195</v>
      </c>
      <c r="D1" s="1301" t="s">
        <v>603</v>
      </c>
      <c r="E1" s="1296">
        <f>'数据-取费表'!B22</f>
        <v>1</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2303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13" sqref="R13"/>
    </sheetView>
  </sheetViews>
  <sheetFormatPr defaultRowHeight="13.5"/>
  <sheetData>
    <row r="1" spans="1:1">
      <c r="A1" t="s">
        <v>3388</v>
      </c>
    </row>
  </sheetData>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7"/>
  <sheetViews>
    <sheetView topLeftCell="A58" workbookViewId="0">
      <selection activeCell="A57" sqref="A57"/>
    </sheetView>
  </sheetViews>
  <sheetFormatPr defaultRowHeight="13.5"/>
  <sheetData>
    <row r="1" spans="1:1">
      <c r="A1" s="3452" t="s">
        <v>3409</v>
      </c>
    </row>
    <row r="29" spans="1:1">
      <c r="A29" t="s">
        <v>3410</v>
      </c>
    </row>
    <row r="57" spans="1:1">
      <c r="A57" t="s">
        <v>3411</v>
      </c>
    </row>
  </sheetData>
  <phoneticPr fontId="134" type="noConversion"/>
  <hyperlinks>
    <hyperlink ref="A1" display="https://bj.58.com/fangchan/54898341845907x.shtml?utm_source=market&amp;spm=u-2d2yxv86y3v43nkddh1.BDPCPZ_BT&amp;prd=Y95n5Ujmqcy3%2FaJ1lSKO3Q%3D%3D&amp;houseId=3104946071937025&amp;gpos=136&amp;positionType=commoninfo&amp;cocoTestType=coco_area_expand_test&amp;legoCocoTestType=coco_ar"/>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8"/>
      <c r="B3" s="3478"/>
      <c r="C3" s="3478"/>
      <c r="D3" s="854" t="s">
        <v>925</v>
      </c>
      <c r="E3" s="854" t="s">
        <v>931</v>
      </c>
      <c r="F3" s="854" t="s">
        <v>925</v>
      </c>
      <c r="G3" s="854" t="s">
        <v>926</v>
      </c>
      <c r="H3" s="854" t="s">
        <v>925</v>
      </c>
      <c r="I3" s="854" t="s">
        <v>926</v>
      </c>
    </row>
    <row r="4" spans="1:9" ht="30">
      <c r="A4" s="1504" t="str">
        <f>项目基本情况!S2</f>
        <v>北京市东流水路7号院1号楼房地产</v>
      </c>
      <c r="B4" s="854">
        <f>项目基本情况!C17</f>
        <v>27113.21</v>
      </c>
      <c r="C4" s="854">
        <f>项目基本情况!C18</f>
        <v>52503.79</v>
      </c>
      <c r="D4" s="854">
        <f ca="1">结果表!D118</f>
        <v>7552</v>
      </c>
      <c r="E4" s="854">
        <f ca="1">结果表!E118</f>
        <v>2785</v>
      </c>
      <c r="F4" s="854">
        <f ca="1">结果表!F118</f>
        <v>10344</v>
      </c>
      <c r="G4" s="854">
        <f ca="1">结果表!G118</f>
        <v>3815</v>
      </c>
      <c r="H4" s="854">
        <f ca="1">结果表!H118</f>
        <v>17896</v>
      </c>
      <c r="I4" s="854">
        <f ca="1">结果表!I118</f>
        <v>6600</v>
      </c>
    </row>
    <row r="5" spans="1:9" ht="30" customHeight="1">
      <c r="A5" s="3478" t="s">
        <v>927</v>
      </c>
      <c r="B5" s="3478"/>
      <c r="C5" s="3478"/>
      <c r="D5" s="3478" t="str">
        <f ca="1">结果表!D119</f>
        <v>柒仟伍佰伍拾贰万元整</v>
      </c>
      <c r="E5" s="3478"/>
      <c r="F5" s="3478" t="str">
        <f ca="1">结果表!F119</f>
        <v>壹亿零叁佰肆拾肆万元整</v>
      </c>
      <c r="G5" s="3478"/>
      <c r="H5" s="3478" t="str">
        <f ca="1">结果表!H119</f>
        <v>壹亿柒仟捌佰玖拾陆万元整</v>
      </c>
      <c r="I5" s="3478"/>
    </row>
    <row r="6" spans="1:9" ht="15.75">
      <c r="A6" s="3479" t="str">
        <f>结果表!A120</f>
        <v>估价师知悉的法定优先受偿款</v>
      </c>
      <c r="B6" s="3479"/>
      <c r="C6" s="3479"/>
      <c r="D6" s="3479">
        <f>结果表!D120</f>
        <v>0</v>
      </c>
      <c r="E6" s="3479"/>
      <c r="F6" s="3479"/>
      <c r="G6" s="3479"/>
      <c r="H6" s="3479"/>
      <c r="I6" s="3479"/>
    </row>
    <row r="7" spans="1:9" ht="15">
      <c r="A7" s="3478" t="s">
        <v>927</v>
      </c>
      <c r="B7" s="3478"/>
      <c r="C7" s="3478"/>
      <c r="D7" s="3480" t="str">
        <f>结果表!D121</f>
        <v>零元整</v>
      </c>
      <c r="E7" s="3481"/>
      <c r="F7" s="3481"/>
      <c r="G7" s="3481"/>
      <c r="H7" s="3481"/>
      <c r="I7" s="3482"/>
    </row>
    <row r="8" spans="1:9" ht="15.75">
      <c r="A8" s="3479" t="str">
        <f>结果表!A122</f>
        <v>房地产抵押价值</v>
      </c>
      <c r="B8" s="3479"/>
      <c r="C8" s="3479"/>
      <c r="D8" s="3479">
        <f ca="1">结果表!D122</f>
        <v>17896</v>
      </c>
      <c r="E8" s="3479"/>
      <c r="F8" s="3479"/>
      <c r="G8" s="3479"/>
      <c r="H8" s="3479"/>
      <c r="I8" s="3479"/>
    </row>
    <row r="9" spans="1:9" ht="15">
      <c r="A9" s="3478" t="s">
        <v>927</v>
      </c>
      <c r="B9" s="3478"/>
      <c r="C9" s="3478"/>
      <c r="D9" s="3478" t="str">
        <f ca="1">结果表!D123</f>
        <v>壹亿柒仟捌佰玖拾陆万元整</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927</v>
      </c>
      <c r="B11" s="3478"/>
      <c r="C11" s="3478"/>
      <c r="D11" s="3478" t="e">
        <f>结果表!D125</f>
        <v>#VALUE!</v>
      </c>
      <c r="E11" s="3478"/>
      <c r="F11" s="3478"/>
      <c r="G11" s="3478"/>
      <c r="H11" s="3478"/>
      <c r="I11" s="3478"/>
    </row>
    <row r="12" spans="1:9" ht="15.75">
      <c r="A12" s="3479" t="str">
        <f>结果表!A126</f>
        <v/>
      </c>
      <c r="B12" s="3479"/>
      <c r="C12" s="3479"/>
      <c r="D12" s="3479" t="str">
        <f>结果表!D126</f>
        <v>——</v>
      </c>
      <c r="E12" s="3479"/>
      <c r="F12" s="3479"/>
      <c r="G12" s="3479"/>
      <c r="H12" s="3479"/>
      <c r="I12" s="3479"/>
    </row>
    <row r="13" spans="1:9" ht="15.75" thickBot="1">
      <c r="A13" s="3483" t="s">
        <v>927</v>
      </c>
      <c r="B13" s="3483"/>
      <c r="C13" s="3483"/>
      <c r="D13" s="3483" t="e">
        <f>结果表!D127</f>
        <v>#VALUE!</v>
      </c>
      <c r="E13" s="3483"/>
      <c r="F13" s="3483"/>
      <c r="G13" s="3483"/>
      <c r="H13" s="3483"/>
      <c r="I13" s="3483"/>
    </row>
    <row r="14" spans="1:9" ht="15" thickTop="1">
      <c r="A14" s="3484" t="s">
        <v>932</v>
      </c>
      <c r="B14" s="3484"/>
      <c r="C14" s="3484"/>
      <c r="D14" s="3484"/>
      <c r="E14" s="3484"/>
      <c r="F14" s="3484"/>
      <c r="G14" s="3484"/>
      <c r="H14" s="3484"/>
      <c r="I14" s="348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5" t="s">
        <v>949</v>
      </c>
      <c r="B1" s="3485"/>
      <c r="C1" s="3485"/>
      <c r="D1" s="3485"/>
    </row>
    <row r="2" spans="1:4" ht="18">
      <c r="A2" s="3486" t="s">
        <v>933</v>
      </c>
      <c r="B2" s="3486"/>
      <c r="C2" s="3486"/>
      <c r="D2" s="3486"/>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6" t="s">
        <v>939</v>
      </c>
      <c r="B6" s="3486"/>
      <c r="C6" s="3486"/>
      <c r="D6" s="3486"/>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87"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8" t="str">
        <f>IF(项目基本情况!B8="抵押","4.本次评估估价师所知悉的法定优先受偿款情况说明如下：","——")</f>
        <v>4.本次评估估价师所知悉的法定优先受偿款情况说明如下：</v>
      </c>
      <c r="B14" s="3489"/>
      <c r="C14" s="3489"/>
      <c r="D14" s="3489"/>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1" t="s">
        <v>943</v>
      </c>
      <c r="B16" s="3491"/>
      <c r="C16" s="3491"/>
      <c r="D16" s="3491"/>
    </row>
    <row r="17" spans="1:4" ht="144" customHeight="1">
      <c r="A17" s="3491" t="s">
        <v>944</v>
      </c>
      <c r="B17" s="3491"/>
      <c r="C17" s="3491"/>
      <c r="D17" s="3491"/>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8"/>
      <c r="C20" s="3488"/>
      <c r="D20" s="3488"/>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2"/>
      <c r="C21" s="3492"/>
      <c r="D21" s="3492"/>
    </row>
    <row r="22" spans="1:4" ht="18.75" customHeight="1">
      <c r="A22" s="3493" t="s">
        <v>945</v>
      </c>
      <c r="B22" s="3493"/>
      <c r="C22" s="3493"/>
      <c r="D22" s="349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0">
        <v>42551</v>
      </c>
      <c r="D31" s="34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9" t="s">
        <v>956</v>
      </c>
      <c r="B15" s="3494" t="s">
        <v>109</v>
      </c>
      <c r="C15" s="3495"/>
    </row>
    <row r="16" spans="1:7" ht="13.5">
      <c r="A16" s="3500"/>
      <c r="B16" s="3494" t="s">
        <v>42</v>
      </c>
      <c r="C16" s="3495"/>
    </row>
    <row r="17" spans="1:3" ht="13.5">
      <c r="A17" s="3500"/>
      <c r="B17" s="3497" t="s">
        <v>957</v>
      </c>
      <c r="C17" s="1531" t="s">
        <v>956</v>
      </c>
    </row>
    <row r="18" spans="1:3" ht="13.5">
      <c r="A18" s="3500"/>
      <c r="B18" s="3497"/>
      <c r="C18" s="1531" t="s">
        <v>958</v>
      </c>
    </row>
    <row r="19" spans="1:3" ht="13.5">
      <c r="A19" s="3500"/>
      <c r="B19" s="3497"/>
      <c r="C19" s="1531" t="s">
        <v>959</v>
      </c>
    </row>
    <row r="20" spans="1:3" ht="13.5">
      <c r="A20" s="3501"/>
      <c r="B20" s="3496" t="s">
        <v>960</v>
      </c>
      <c r="C20" s="3495"/>
    </row>
    <row r="21" spans="1:3" ht="13.5">
      <c r="A21" s="1532" t="s">
        <v>961</v>
      </c>
      <c r="B21" s="1533"/>
      <c r="C21" s="1534"/>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1" t="s">
        <v>967</v>
      </c>
    </row>
    <row r="26" spans="1:3" ht="13.5">
      <c r="A26" s="3498"/>
      <c r="B26" s="3497"/>
      <c r="C26" s="1531" t="s">
        <v>968</v>
      </c>
    </row>
    <row r="27" spans="1:3" ht="13.5">
      <c r="A27" s="3498"/>
      <c r="B27" s="3497"/>
      <c r="C27" s="1531" t="s">
        <v>969</v>
      </c>
    </row>
    <row r="28" spans="1:3" ht="13.5">
      <c r="A28" s="3498"/>
      <c r="B28" s="3497"/>
      <c r="C28" s="1531" t="s">
        <v>970</v>
      </c>
    </row>
    <row r="29" spans="1:3" ht="13.5">
      <c r="A29" s="3498"/>
      <c r="B29" s="3497"/>
      <c r="C29" s="1531" t="s">
        <v>971</v>
      </c>
    </row>
    <row r="30" spans="1:3" ht="13.5">
      <c r="A30" s="3498"/>
      <c r="B30" s="3497"/>
      <c r="C30" s="1531" t="s">
        <v>972</v>
      </c>
    </row>
    <row r="31" spans="1:3" ht="13.5">
      <c r="A31" s="3498"/>
      <c r="B31" s="3497"/>
      <c r="C31" s="1531" t="s">
        <v>973</v>
      </c>
    </row>
    <row r="32" spans="1:3" ht="13.5">
      <c r="A32" s="3498"/>
      <c r="B32" s="3497"/>
      <c r="C32" s="1531" t="s">
        <v>974</v>
      </c>
    </row>
    <row r="33" spans="1:3" ht="13.5">
      <c r="A33" s="3498"/>
      <c r="B33" s="3497"/>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45195</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2431</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2" t="s">
        <v>2159</v>
      </c>
      <c r="B17" s="3502"/>
      <c r="C17" s="3502"/>
      <c r="D17" s="3502"/>
      <c r="E17" s="3502"/>
      <c r="F17" s="3502"/>
      <c r="G17" s="3502"/>
      <c r="H17" s="3502"/>
    </row>
    <row r="18" spans="1:8" ht="24" customHeight="1">
      <c r="A18" s="3503" t="s">
        <v>2160</v>
      </c>
      <c r="B18" s="3503"/>
      <c r="C18" s="3503"/>
      <c r="D18" s="2342"/>
      <c r="E18" s="3504" t="s">
        <v>2161</v>
      </c>
      <c r="F18" s="3503"/>
      <c r="G18" s="3503"/>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土地比较法-工业</vt:lpstr>
      <vt:lpstr>土地案例</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成本法</vt:lpstr>
      <vt:lpstr>收益法</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2023-09-26T09:05:41Z</dcterms:modified>
</cp:coreProperties>
</file>